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Net Assets_R" sheetId="1" r:id="rId1"/>
    <sheet name="RECNA_R" sheetId="2" r:id="rId2"/>
    <sheet name="Cash Flow_R" sheetId="3" r:id="rId3"/>
    <sheet name="NA by Fund_R" sheetId="4" r:id="rId4"/>
    <sheet name="RECNA-Unrest CF_R" sheetId="5" r:id="rId5"/>
    <sheet name="CF Oper Rev_R" sheetId="6" r:id="rId6"/>
    <sheet name="Oper Exp_R" sheetId="7" r:id="rId7"/>
    <sheet name="AUX &amp; SO_R" sheetId="8" r:id="rId8"/>
    <sheet name="RECNA-Sel Aux_R" sheetId="9" r:id="rId9"/>
    <sheet name="Loan Funds_R" sheetId="10" r:id="rId10"/>
    <sheet name="Endow &amp; Similar_R" sheetId="11" r:id="rId11"/>
    <sheet name="Res &amp; Unrest Plant_R" sheetId="12" r:id="rId12"/>
    <sheet name="Invest in Plant_R" sheetId="13" r:id="rId13"/>
    <sheet name="Bonds &amp; Notes_R" sheetId="14" r:id="rId14"/>
    <sheet name="Funds Held for Others_R" sheetId="15" r:id="rId15"/>
  </sheets>
  <definedNames>
    <definedName name="ABC">'Res &amp; Unrest Plant_R'!#REF!</definedName>
    <definedName name="ASD" localSheetId="10">'Endow &amp; Similar_R'!$Q$4</definedName>
    <definedName name="ASD" localSheetId="14">'Funds Held for Others_R'!$I$5</definedName>
    <definedName name="ASD" localSheetId="9">'Loan Funds_R'!$O$4</definedName>
    <definedName name="ASD" localSheetId="11">'Res &amp; Unrest Plant_R'!$O$4</definedName>
    <definedName name="ASD">'Oper Exp_R'!$M$4</definedName>
    <definedName name="AsofDate">'Funds Held for Others_R'!$V$5</definedName>
    <definedName name="ASSD" localSheetId="10">'Endow &amp; Similar_R'!$Q$4</definedName>
    <definedName name="ASSD">'Loan Funds_R'!$O$4</definedName>
    <definedName name="NvsASD" localSheetId="7">"V2004-06-30"</definedName>
    <definedName name="NvsASD" localSheetId="5">"V2004-06-30"</definedName>
    <definedName name="NvsASD" localSheetId="10">"V2004-06-30"</definedName>
    <definedName name="NvsASD" localSheetId="14">"V2004-06-30"</definedName>
    <definedName name="NvsASD" localSheetId="12">"V2004-06-30"</definedName>
    <definedName name="NvsASD" localSheetId="9">"V2004-06-30"</definedName>
    <definedName name="NvsASD" localSheetId="3">"V2004-06-30"</definedName>
    <definedName name="NvsASD" localSheetId="6">"V2004-06-30"</definedName>
    <definedName name="NvsASD" localSheetId="8">"V2004-06-30"</definedName>
    <definedName name="NvsASD" localSheetId="4">"V2004-06-30"</definedName>
    <definedName name="NvsASD" localSheetId="11">"V2004-06-30"</definedName>
    <definedName name="NvsASD">"V2002-06-30"</definedName>
    <definedName name="NvsAutoDrillOk" localSheetId="7">"VN"</definedName>
    <definedName name="NvsAutoDrillOk" localSheetId="10">"VN"</definedName>
    <definedName name="NvsAutoDrillOk" localSheetId="9">"VN"</definedName>
    <definedName name="NvsAutoDrillOk" localSheetId="8">"VN"</definedName>
    <definedName name="NvsAutoDrillOk" localSheetId="11">"VN"</definedName>
    <definedName name="NvsAutoDrillOk">"VY"</definedName>
    <definedName name="NvsElapsedTime" localSheetId="7">0.0000604166634730063</definedName>
    <definedName name="NvsElapsedTime" localSheetId="5">0.00013819444575347</definedName>
    <definedName name="NvsElapsedTime" localSheetId="10">0.00139664352172986</definedName>
    <definedName name="NvsElapsedTime" localSheetId="14">0.0000914351912797429</definedName>
    <definedName name="NvsElapsedTime" localSheetId="12">0.00404525463090977</definedName>
    <definedName name="NvsElapsedTime" localSheetId="9">0.000101620367786381</definedName>
    <definedName name="NvsElapsedTime" localSheetId="3">0.000118634263344575</definedName>
    <definedName name="NvsElapsedTime" localSheetId="6">0.00318923611484934</definedName>
    <definedName name="NvsElapsedTime" localSheetId="8">0.0000379629636881873</definedName>
    <definedName name="NvsElapsedTime" localSheetId="4">0.000389351851481479</definedName>
    <definedName name="NvsElapsedTime" localSheetId="11">0.000125347221910488</definedName>
    <definedName name="NvsElapsedTime">0.0269587962975493</definedName>
    <definedName name="NvsEndTime" localSheetId="7">38267.247425463</definedName>
    <definedName name="NvsEndTime" localSheetId="5">38259.329290625</definedName>
    <definedName name="NvsEndTime" localSheetId="10">38267.2579821759</definedName>
    <definedName name="NvsEndTime" localSheetId="14">38259.3370487269</definedName>
    <definedName name="NvsEndTime" localSheetId="12">38209.7346050926</definedName>
    <definedName name="NvsEndTime" localSheetId="9">38267.2481892361</definedName>
    <definedName name="NvsEndTime" localSheetId="3">38267.194365162</definedName>
    <definedName name="NvsEndTime" localSheetId="6">38267.232991088</definedName>
    <definedName name="NvsEndTime" localSheetId="8">38335.6296149306</definedName>
    <definedName name="NvsEndTime" localSheetId="4">38267.2000159722</definedName>
    <definedName name="NvsEndTime" localSheetId="11">38267.1964041667</definedName>
    <definedName name="NvsEndTime">37456.430659375</definedName>
    <definedName name="NvsInstSpec">"%"</definedName>
    <definedName name="NvsLayoutType">"M3"</definedName>
    <definedName name="NvsNplSpec">"%,X,RZF..,CZF.."</definedName>
    <definedName name="NvsPanelEffdt" localSheetId="7">"V2025-12-31"</definedName>
    <definedName name="NvsPanelEffdt" localSheetId="5">"V2099-07-01"</definedName>
    <definedName name="NvsPanelEffdt" localSheetId="10">"V2025-12-31"</definedName>
    <definedName name="NvsPanelEffdt" localSheetId="14">"V2000-07-31"</definedName>
    <definedName name="NvsPanelEffdt" localSheetId="12">"V2099-01-01"</definedName>
    <definedName name="NvsPanelEffdt" localSheetId="9">"V2025-12-31"</definedName>
    <definedName name="NvsPanelEffdt" localSheetId="3">"V2099-01-01"</definedName>
    <definedName name="NvsPanelEffdt" localSheetId="6">"V2025-12-31"</definedName>
    <definedName name="NvsPanelEffdt" localSheetId="8">"V2000-07-01"</definedName>
    <definedName name="NvsPanelEffdt" localSheetId="4">"V2099-01-01"</definedName>
    <definedName name="NvsPanelEffdt" localSheetId="11">"V2099-01-01"</definedName>
    <definedName name="NvsPanelEffdt">"V1900-01-01"</definedName>
    <definedName name="NvsPanelSetid">"VUOFMO"</definedName>
    <definedName name="NvsReqBU" localSheetId="7">"VROLLA"</definedName>
    <definedName name="NvsReqBU" localSheetId="5">"VROLLA"</definedName>
    <definedName name="NvsReqBU" localSheetId="10">"VROLLA"</definedName>
    <definedName name="NvsReqBU" localSheetId="14">"VROLLA"</definedName>
    <definedName name="NvsReqBU" localSheetId="12">"VROLLA"</definedName>
    <definedName name="NvsReqBU" localSheetId="9">"VROLLA"</definedName>
    <definedName name="NvsReqBU" localSheetId="3">"VROLLA"</definedName>
    <definedName name="NvsReqBU" localSheetId="6">"VROLLA"</definedName>
    <definedName name="NvsReqBU" localSheetId="8">"VROLLA"</definedName>
    <definedName name="NvsReqBU" localSheetId="4">"VROLLA"</definedName>
    <definedName name="NvsReqBU" localSheetId="11">"VROLLA"</definedName>
    <definedName name="NvsReqBU">"VKCITY"</definedName>
    <definedName name="NvsReqBUOnly">"VY"</definedName>
    <definedName name="NvsSheetType" localSheetId="7">"M"</definedName>
    <definedName name="NvsSheetType" localSheetId="5">"M"</definedName>
    <definedName name="NvsSheetType" localSheetId="10">"M"</definedName>
    <definedName name="NvsSheetType" localSheetId="14">"M"</definedName>
    <definedName name="NvsSheetType" localSheetId="12">"M"</definedName>
    <definedName name="NvsSheetType" localSheetId="9">"M"</definedName>
    <definedName name="NvsSheetType" localSheetId="3">"M"</definedName>
    <definedName name="NvsSheetType" localSheetId="6">"M"</definedName>
    <definedName name="NvsSheetType" localSheetId="8">"M"</definedName>
    <definedName name="NvsSheetType" localSheetId="4">"M"</definedName>
    <definedName name="NvsSheetType" localSheetId="11">"M"</definedName>
    <definedName name="NvsTransLed">"VN"</definedName>
    <definedName name="NvsTree.GASB_34_35" localSheetId="5">"YNNYN"</definedName>
    <definedName name="NvsTree.GASB_34_35_FUND" localSheetId="5">"YNNYN"</definedName>
    <definedName name="NvsTree.GASB_34_35_FUND" localSheetId="14">"YNNYN"</definedName>
    <definedName name="NvsTree.GASB_34_35_FUND" localSheetId="4">"YNNYN"</definedName>
    <definedName name="NvsTreeASD" localSheetId="7">"V2004-06-30"</definedName>
    <definedName name="NvsTreeASD" localSheetId="5">"V2004-06-30"</definedName>
    <definedName name="NvsTreeASD" localSheetId="10">"V2004-06-30"</definedName>
    <definedName name="NvsTreeASD" localSheetId="14">"V2004-06-30"</definedName>
    <definedName name="NvsTreeASD" localSheetId="12">"V2004-06-30"</definedName>
    <definedName name="NvsTreeASD" localSheetId="9">"V2004-06-30"</definedName>
    <definedName name="NvsTreeASD" localSheetId="3">"V2004-06-30"</definedName>
    <definedName name="NvsTreeASD" localSheetId="6">"V2004-06-30"</definedName>
    <definedName name="NvsTreeASD" localSheetId="8">"V2004-06-30"</definedName>
    <definedName name="NvsTreeASD" localSheetId="4">"V2004-06-30"</definedName>
    <definedName name="NvsTreeASD" localSheetId="11">"V2004-06-30"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7">'AUX &amp; SO_R'!$A$2:$H$24</definedName>
    <definedName name="_xlnm.Print_Area" localSheetId="13">'Bonds &amp; Notes_R'!$A$1:$G$24</definedName>
    <definedName name="_xlnm.Print_Area" localSheetId="2">'Cash Flow_R'!$A$1:$E$59</definedName>
    <definedName name="_xlnm.Print_Area" localSheetId="5">'CF Oper Rev_R'!$B$2:$I$67</definedName>
    <definedName name="_xlnm.Print_Area" localSheetId="10">'Endow &amp; Similar_R'!$B$1:$L$479</definedName>
    <definedName name="_xlnm.Print_Area" localSheetId="14">'Funds Held for Others_R'!$B:$G</definedName>
    <definedName name="_xlnm.Print_Area" localSheetId="12">'Invest in Plant_R'!$B$2:$J$27</definedName>
    <definedName name="_xlnm.Print_Area" localSheetId="9">'Loan Funds_R'!$A$2:$L$61</definedName>
    <definedName name="_xlnm.Print_Area" localSheetId="3">'NA by Fund_R'!$B$2:$W$138</definedName>
    <definedName name="_xlnm.Print_Area" localSheetId="6">'Oper Exp_R'!$B$2:$H$55</definedName>
    <definedName name="_xlnm.Print_Area" localSheetId="1">'RECNA_R'!$A$1:$E$61</definedName>
    <definedName name="_xlnm.Print_Area" localSheetId="11">'Res &amp; Unrest Plant_R'!$B$1:$L$49</definedName>
    <definedName name="_xlnm.Print_Titles" localSheetId="7">'AUX &amp; SO_R'!$2:$6</definedName>
    <definedName name="_xlnm.Print_Titles" localSheetId="5">'CF Oper Rev_R'!$2:$8</definedName>
    <definedName name="_xlnm.Print_Titles" localSheetId="10">'Endow &amp; Similar_R'!$2:$6</definedName>
    <definedName name="_xlnm.Print_Titles" localSheetId="14">'Funds Held for Others_R'!$2:$6</definedName>
    <definedName name="_xlnm.Print_Titles" localSheetId="12">'Invest in Plant_R'!$2:$8</definedName>
    <definedName name="_xlnm.Print_Titles" localSheetId="9">'Loan Funds_R'!$2:$6</definedName>
    <definedName name="_xlnm.Print_Titles" localSheetId="3">'NA by Fund_R'!$2:$10</definedName>
    <definedName name="_xlnm.Print_Titles" localSheetId="4">'RECNA-Unrest CF_R'!$2:$8</definedName>
    <definedName name="_xlnm.Print_Titles" localSheetId="11">'Res &amp; Unrest Plant_R'!$2:$7</definedName>
    <definedName name="RBN" localSheetId="7">'AUX &amp; SO_R'!$J$2</definedName>
    <definedName name="RBN" localSheetId="5">'CF Oper Rev_R'!$L$2</definedName>
    <definedName name="RBN" localSheetId="10">'Endow &amp; Similar_R'!$N$2</definedName>
    <definedName name="RBN" localSheetId="14">'Funds Held for Others_R'!$I$2</definedName>
    <definedName name="RBN" localSheetId="12">'Invest in Plant_R'!$N$4</definedName>
    <definedName name="RBN" localSheetId="9">'Loan Funds_R'!$N$2</definedName>
    <definedName name="RBN" localSheetId="6">'Oper Exp_R'!$R$2</definedName>
    <definedName name="RBN" localSheetId="4">'RECNA-Unrest CF_R'!$R$3</definedName>
    <definedName name="RBN" localSheetId="11">'Res &amp; Unrest Plant_R'!$O$2</definedName>
    <definedName name="RBN">'NA by Fund_R'!$AC$4</definedName>
    <definedName name="RBU" localSheetId="7">'AUX &amp; SO_R'!$M$2</definedName>
    <definedName name="RBU" localSheetId="10">'Endow &amp; Similar_R'!$Q$2</definedName>
    <definedName name="RBU" localSheetId="9">'Loan Funds_R'!$O$2</definedName>
    <definedName name="RBU" localSheetId="11">'Res &amp; Unrest Plant_R'!$O$2</definedName>
    <definedName name="RBU">'Oper Exp_R'!$M$2</definedName>
    <definedName name="RID" localSheetId="10">'Endow &amp; Similar_R'!$Q$3</definedName>
    <definedName name="RID" localSheetId="9">'Loan Funds_R'!$O$3</definedName>
    <definedName name="RID" localSheetId="11">'Res &amp; Unrest Plant_R'!$O$3</definedName>
    <definedName name="RID">'Oper Exp_R'!$M$3</definedName>
  </definedNames>
  <calcPr fullCalcOnLoad="1"/>
</workbook>
</file>

<file path=xl/sharedStrings.xml><?xml version="1.0" encoding="utf-8"?>
<sst xmlns="http://schemas.openxmlformats.org/spreadsheetml/2006/main" count="3719" uniqueCount="2983">
  <si>
    <t>%,VR0418</t>
  </si>
  <si>
    <t>MAEEM BLDG RENOVATION QUAIS</t>
  </si>
  <si>
    <t>%,VR0420</t>
  </si>
  <si>
    <t>FORSEE FAMILY ENGR SCHOLARSHIP</t>
  </si>
  <si>
    <t>%,VR0422</t>
  </si>
  <si>
    <t>ROBERT *KEISER ENDOWED SCHP</t>
  </si>
  <si>
    <t>%,VR0423</t>
  </si>
  <si>
    <t>KENT W *LYNN ENDOWED SCHP</t>
  </si>
  <si>
    <t>%,VR0424</t>
  </si>
  <si>
    <t>MARK X *STRATMAN ENDOWED SCHP</t>
  </si>
  <si>
    <t>%,VR0426</t>
  </si>
  <si>
    <t>R Keiser Endowed Fac</t>
  </si>
  <si>
    <t>%,VR0427</t>
  </si>
  <si>
    <t>MO ASPHALT PAVEMENT FELSHIP</t>
  </si>
  <si>
    <t>%,VR0430</t>
  </si>
  <si>
    <t>MINER FOOTBALL ENDOWED SCHP</t>
  </si>
  <si>
    <t>%,VR0431</t>
  </si>
  <si>
    <t>ELLEN M *HODGES MEMORIAL SCHP</t>
  </si>
  <si>
    <t>%,VR0433</t>
  </si>
  <si>
    <t>HEAGLER SCHP CIVIL ENGR</t>
  </si>
  <si>
    <t>%,VR0434</t>
  </si>
  <si>
    <t>WEISE FRESHMAN ENGR SCHP</t>
  </si>
  <si>
    <t>%,VR0435</t>
  </si>
  <si>
    <t>FRIS ENDOWED SCHOLARSHIP</t>
  </si>
  <si>
    <t>%,VR0436</t>
  </si>
  <si>
    <t>BAILEY ATHLETIC ENDOWMENT</t>
  </si>
  <si>
    <t>%,VR0444</t>
  </si>
  <si>
    <t>MATTHEWS PROF COMP SCI</t>
  </si>
  <si>
    <t>%,VR0445</t>
  </si>
  <si>
    <t>BOAZ SCHP CIVIL</t>
  </si>
  <si>
    <t>%,VR0446</t>
  </si>
  <si>
    <t>PAUL W *ELOE GRAD FELLOWSHIP</t>
  </si>
  <si>
    <t>%,VR0447</t>
  </si>
  <si>
    <t>SICKAFUS ENDOWED</t>
  </si>
  <si>
    <t>%,VR0448</t>
  </si>
  <si>
    <t>BROWNGARD ENDOWED SCHOLARSHIP</t>
  </si>
  <si>
    <t>%,VR0449</t>
  </si>
  <si>
    <t>GRAYSON INTERNET COMPUTING</t>
  </si>
  <si>
    <t>%,VR0450</t>
  </si>
  <si>
    <t>LOVITT INTERNET COMPUTING</t>
  </si>
  <si>
    <t>%,VR0451</t>
  </si>
  <si>
    <t>MCKEE ENDOWED SCHOLARSHIP</t>
  </si>
  <si>
    <t>%,VR0452</t>
  </si>
  <si>
    <t>RICHARD W HANNUM ENDOWED DEV</t>
  </si>
  <si>
    <t>%,VR0453</t>
  </si>
  <si>
    <t>CHEMICAL ENGR FLEXIBLE END FD</t>
  </si>
  <si>
    <t>%,VR0454</t>
  </si>
  <si>
    <t>MO CONFERENCE SCHP</t>
  </si>
  <si>
    <t>%,VR0455</t>
  </si>
  <si>
    <t>RICHARD L *BULLOCK RECRUIT FUN</t>
  </si>
  <si>
    <t>%,VR0456</t>
  </si>
  <si>
    <t>SPRINGER SCHP FUND</t>
  </si>
  <si>
    <t>%,VR0465</t>
  </si>
  <si>
    <t>BLUE KEY SCHP FUND</t>
  </si>
  <si>
    <t>%,VR0467</t>
  </si>
  <si>
    <t>Carlstrom Endowed Schp</t>
  </si>
  <si>
    <t>%,VR0468</t>
  </si>
  <si>
    <t>Mcghee Endowed Scholarship</t>
  </si>
  <si>
    <t>%,VR0469</t>
  </si>
  <si>
    <t>Quenon Endowed Lectureship</t>
  </si>
  <si>
    <t>%,VR0470</t>
  </si>
  <si>
    <t>Thompson Endow Sch Petro Engr</t>
  </si>
  <si>
    <t>%,VR0471</t>
  </si>
  <si>
    <t>Toomey Park Sch Fnd UMR Fresh</t>
  </si>
  <si>
    <t>%,VR0475</t>
  </si>
  <si>
    <t>JAMES SCHP FUND</t>
  </si>
  <si>
    <t>%,VR0476</t>
  </si>
  <si>
    <t>Wright Endowed Schp</t>
  </si>
  <si>
    <t>%,VR0479</t>
  </si>
  <si>
    <t>KISSLINGER METALLURGY ENDOW</t>
  </si>
  <si>
    <t>%,VR0480</t>
  </si>
  <si>
    <t>KISSLINGER ATHLETIC ENDOW</t>
  </si>
  <si>
    <t>%,VR0484</t>
  </si>
  <si>
    <t>CONSTANCE R BROWN EN FD HIS &amp;</t>
  </si>
  <si>
    <t>%,VR0486</t>
  </si>
  <si>
    <t>Finley Endow Scholar Ath</t>
  </si>
  <si>
    <t>%,VR0487</t>
  </si>
  <si>
    <t>DOSHI QUASI ENDOWMENT FUND</t>
  </si>
  <si>
    <t>%,VR0488</t>
  </si>
  <si>
    <t>F H CONRAD CHEM ENGR SCH</t>
  </si>
  <si>
    <t>%,VR0489</t>
  </si>
  <si>
    <t>PHILIP &amp; DIANE WADE ENDOWMENT</t>
  </si>
  <si>
    <t>%,VR0490</t>
  </si>
  <si>
    <t>CONSTANCE BROWN FACULTY EXCELL</t>
  </si>
  <si>
    <t>%,VR0491</t>
  </si>
  <si>
    <t>CHARLES &amp; JEAN NASLUND ENDOWED</t>
  </si>
  <si>
    <t>%,VR0492</t>
  </si>
  <si>
    <t>ASSOCIATED GENERAL CONTRACTORS</t>
  </si>
  <si>
    <t>%,VR0493</t>
  </si>
  <si>
    <t>MICHAEL BRATCHER ENDOWED FUND</t>
  </si>
  <si>
    <t>%,VR0495</t>
  </si>
  <si>
    <t>BROWNING SCHOLARSHIP</t>
  </si>
  <si>
    <t>%,VR0497</t>
  </si>
  <si>
    <t>WILLIAM M BYRNE SCHOLARS</t>
  </si>
  <si>
    <t>%,VR0505</t>
  </si>
  <si>
    <t>WEIR ENDOWED SCHOLARSHIP FUND</t>
  </si>
  <si>
    <t>%,VR0508</t>
  </si>
  <si>
    <t>GLADBACH ENDOWED FUND GEOLOGY</t>
  </si>
  <si>
    <t>%,VR0510</t>
  </si>
  <si>
    <t>GRANT FIELD CAMP SCHOLARSHIP</t>
  </si>
  <si>
    <t>%,VR0511</t>
  </si>
  <si>
    <t>BERNARD R SARCHET DISTINGUISHE</t>
  </si>
  <si>
    <t>%,VR0517</t>
  </si>
  <si>
    <t>LESTER BIRBECK CHAIR</t>
  </si>
  <si>
    <t>%,VR0525</t>
  </si>
  <si>
    <t>WIGGINS ENDOWED FUND HISTORY</t>
  </si>
  <si>
    <t>%,VR0526</t>
  </si>
  <si>
    <t>ENGLISH ALUMNI ENDOWED SCH</t>
  </si>
  <si>
    <t>%,VR0531</t>
  </si>
  <si>
    <t>THOMAS &amp; CAROL VOSS ENDOWED</t>
  </si>
  <si>
    <t>%,VR0532</t>
  </si>
  <si>
    <t>JENNINGS ENDOWED SCHOLARSHIP</t>
  </si>
  <si>
    <t>%,VR0535</t>
  </si>
  <si>
    <t>FRANCES W KERR MEMORIAL FUND</t>
  </si>
  <si>
    <t>%,VR0537</t>
  </si>
  <si>
    <t>LEE ENDOWED SCHOLARSHIP</t>
  </si>
  <si>
    <t>%,VR0541</t>
  </si>
  <si>
    <t>GILBERT R SHOCKLEY ENDOWED SCH</t>
  </si>
  <si>
    <t>%,VR0542</t>
  </si>
  <si>
    <t>FARMER ENDOWMENT PETROLEUM</t>
  </si>
  <si>
    <t>%,VR0543</t>
  </si>
  <si>
    <t>CADOFF ENDOWED SCHP FUND</t>
  </si>
  <si>
    <t>%,VR0544</t>
  </si>
  <si>
    <t>ANHEUSER-BUSCH ENDOWED SCHP</t>
  </si>
  <si>
    <t>%,VR0546</t>
  </si>
  <si>
    <t>WOODARD SCHOLARS ENDOWMENT</t>
  </si>
  <si>
    <t>%,VR0547</t>
  </si>
  <si>
    <t>MUELLER MANUFACTURING ENGR SCH</t>
  </si>
  <si>
    <t>%,VR0548</t>
  </si>
  <si>
    <t>ROBIN R AND PAMELA F MINGO END</t>
  </si>
  <si>
    <t>%,VR0550</t>
  </si>
  <si>
    <t>MATH TEACHER SCHOLARSHIP</t>
  </si>
  <si>
    <t>%,VR0551</t>
  </si>
  <si>
    <t>STUECK END SCHP FD CIVIL ENGR</t>
  </si>
  <si>
    <t>%,VR0553</t>
  </si>
  <si>
    <t>RON ECKELKAMP ENDOWED FELLOW</t>
  </si>
  <si>
    <t>%,VR0554</t>
  </si>
  <si>
    <t>COMP SCI EQUIP END</t>
  </si>
  <si>
    <t>%,VR0555</t>
  </si>
  <si>
    <t>MICHAEL D HURST END FELLOWSHIP</t>
  </si>
  <si>
    <t>%,VR0557</t>
  </si>
  <si>
    <t>JOE VESSELL EXCELLENCE FUND</t>
  </si>
  <si>
    <t>%,VR0558</t>
  </si>
  <si>
    <t>CLARK/ROBERTS ENDOWED SCHP</t>
  </si>
  <si>
    <t>%,VR0559</t>
  </si>
  <si>
    <t>TM ML MCMILLEN SCHOLARSHIP</t>
  </si>
  <si>
    <t>%,VR0562</t>
  </si>
  <si>
    <t>F PREWITT SR ENDOWED SCHOLARSH</t>
  </si>
  <si>
    <t>%,VR4037</t>
  </si>
  <si>
    <t>UMR GRAD PWR ENGR PG</t>
  </si>
  <si>
    <t>%,VR4477</t>
  </si>
  <si>
    <t>RICKETTS SCHOLARS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</si>
  <si>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</si>
  <si>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</si>
  <si>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</si>
  <si>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</t>
  </si>
  <si>
    <t>%,VR0001</t>
  </si>
  <si>
    <t>ACADEMY CHEMICAL EN</t>
  </si>
  <si>
    <t>%,VR0002</t>
  </si>
  <si>
    <t>ACADEMY CE SCHP</t>
  </si>
  <si>
    <t>%,VR0004</t>
  </si>
  <si>
    <t>AEROSPACE ENG ENDOW</t>
  </si>
  <si>
    <t>%,VR0009</t>
  </si>
  <si>
    <t>ANDREWS C E SCHP</t>
  </si>
  <si>
    <t>%,VR0019</t>
  </si>
  <si>
    <t>BEST CIVIL ENG SCHOL</t>
  </si>
  <si>
    <t>%,VR0024</t>
  </si>
  <si>
    <t>JACK &amp; MARY BOYD SCH</t>
  </si>
  <si>
    <t>%,VR0028</t>
  </si>
  <si>
    <t>BUTLER CIVIL ENGR</t>
  </si>
  <si>
    <t>%,VR0029</t>
  </si>
  <si>
    <t>M R CAIN SCHOLARSHIP</t>
  </si>
  <si>
    <t>%,VR0031</t>
  </si>
  <si>
    <t>CARLTON CIVIL ENGR</t>
  </si>
  <si>
    <t>%,VR0032</t>
  </si>
  <si>
    <t>CARR SCHP CHEM ENGR</t>
  </si>
  <si>
    <t>%,VR0038</t>
  </si>
  <si>
    <t>CIV ENG ACH AWARD</t>
  </si>
  <si>
    <t>%,VR0044</t>
  </si>
  <si>
    <t>COMP SCI ALUMNI SCHP</t>
  </si>
  <si>
    <t>%,VR0057</t>
  </si>
  <si>
    <t>P B &amp; J J DOYLE FUND</t>
  </si>
  <si>
    <t>%,VR0080</t>
  </si>
  <si>
    <t>FRAME END SCHP</t>
  </si>
  <si>
    <t>%,VR0085</t>
  </si>
  <si>
    <t>VAC GEVECKER SCHP</t>
  </si>
  <si>
    <t>%,VR0095</t>
  </si>
  <si>
    <t>HATFIELD END SCHP</t>
  </si>
  <si>
    <t>%,VR0097</t>
  </si>
  <si>
    <t>H R HANLEY SCHOLARSH</t>
  </si>
  <si>
    <t>%,VR0102</t>
  </si>
  <si>
    <t>HAVENER SCHP</t>
  </si>
  <si>
    <t>%,VR0104</t>
  </si>
  <si>
    <t>HEAGLER CIV ENG SCH</t>
  </si>
  <si>
    <t>%,VR0108</t>
  </si>
  <si>
    <t>STONEHENGE SCHP</t>
  </si>
  <si>
    <t>%,VR0115</t>
  </si>
  <si>
    <t>J S JOHNSON SCHP</t>
  </si>
  <si>
    <t>%,VR0136</t>
  </si>
  <si>
    <t>MATH &amp; STAT ALUM SCH</t>
  </si>
  <si>
    <t>%,VR0137</t>
  </si>
  <si>
    <t>%,VR0142</t>
  </si>
  <si>
    <t>MCPHERSON FELLOWSHIP</t>
  </si>
  <si>
    <t>%,VR0161</t>
  </si>
  <si>
    <t>NOLTE END FELLOWSHIP</t>
  </si>
  <si>
    <t>%,VR0187</t>
  </si>
  <si>
    <t>NORBERT SCHMIDT FELL</t>
  </si>
  <si>
    <t>%,VR0190</t>
  </si>
  <si>
    <t>SKITEK/HKN SCHP</t>
  </si>
  <si>
    <t>%,VR0207</t>
  </si>
  <si>
    <t>D THOMPSON FELLOW</t>
  </si>
  <si>
    <t>%,VR0209</t>
  </si>
  <si>
    <t>UMR CHEM ENGR GRAD</t>
  </si>
  <si>
    <t>%,VR0218</t>
  </si>
  <si>
    <t>WEI-WEN YU FELLOW</t>
  </si>
  <si>
    <t>%,VR0237</t>
  </si>
  <si>
    <t>ACADEMY CE PROFESSOR</t>
  </si>
  <si>
    <t>%,VR0238</t>
  </si>
  <si>
    <t>ACADEMY OF MECH/AERO ENGR</t>
  </si>
  <si>
    <t>%,VR0241</t>
  </si>
  <si>
    <t>ALUMNI YOUNG FAC AWD</t>
  </si>
  <si>
    <t>%,VR0245</t>
  </si>
  <si>
    <t>CIV ENG FAC STF</t>
  </si>
  <si>
    <t>%,VR0247</t>
  </si>
  <si>
    <t>CIV ENG STU ACT END</t>
  </si>
  <si>
    <t>%,VR0249</t>
  </si>
  <si>
    <t>CIV ENG BLDG RENOV</t>
  </si>
  <si>
    <t>%,VR0253</t>
  </si>
  <si>
    <t>DEV OFF QUASI ENDOW</t>
  </si>
  <si>
    <t>%,VR0254</t>
  </si>
  <si>
    <t>SCHL ENGR END</t>
  </si>
  <si>
    <t>%,VR0255</t>
  </si>
  <si>
    <t>MECH ENGINEERING END</t>
  </si>
  <si>
    <t>%,VR0268</t>
  </si>
  <si>
    <t>HASSELMANN QUASI END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</si>
  <si>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</si>
  <si>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</si>
  <si>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</si>
  <si>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</si>
  <si>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</si>
  <si>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</si>
  <si>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</si>
  <si>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</si>
  <si>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</si>
  <si>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</si>
  <si>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</si>
  <si>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</si>
  <si>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</si>
  <si>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</si>
  <si>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</si>
  <si>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</si>
  <si>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</si>
  <si>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</si>
  <si>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</si>
  <si>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</si>
  <si>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%,V725000</t>
  </si>
  <si>
    <t>Marketing/advertising expense</t>
  </si>
  <si>
    <t>725000</t>
  </si>
  <si>
    <t>%,V725100</t>
  </si>
  <si>
    <t>Advertising</t>
  </si>
  <si>
    <t>725100</t>
  </si>
  <si>
    <t>%,V725300</t>
  </si>
  <si>
    <t>Radio advertising</t>
  </si>
  <si>
    <t>725300</t>
  </si>
  <si>
    <t>%,V725400</t>
  </si>
  <si>
    <t>Newspaper advertising</t>
  </si>
  <si>
    <t>725400</t>
  </si>
  <si>
    <t>%,V725500</t>
  </si>
  <si>
    <t>Marketing A-21 exclusion</t>
  </si>
  <si>
    <t>725500</t>
  </si>
  <si>
    <t>%,V726000</t>
  </si>
  <si>
    <t>Insurance</t>
  </si>
  <si>
    <t>726000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</si>
  <si>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</si>
  <si>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</si>
  <si>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</si>
  <si>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</si>
  <si>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</si>
  <si>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</si>
  <si>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</si>
  <si>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</si>
  <si>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</si>
  <si>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%,V727300</t>
  </si>
  <si>
    <t>Copy service A-21 exclusion</t>
  </si>
  <si>
    <t>727300</t>
  </si>
  <si>
    <t>%,V730000</t>
  </si>
  <si>
    <t>Supplies</t>
  </si>
  <si>
    <t>730000</t>
  </si>
  <si>
    <t>%,V730100</t>
  </si>
  <si>
    <t>Office supplies</t>
  </si>
  <si>
    <t>730100</t>
  </si>
  <si>
    <t>%,V730110</t>
  </si>
  <si>
    <t>Reproc Non-Pt Chg Items</t>
  </si>
  <si>
    <t>730110</t>
  </si>
  <si>
    <t>%,V730130</t>
  </si>
  <si>
    <t>Demurrage</t>
  </si>
  <si>
    <t>730130</t>
  </si>
  <si>
    <t>%,V730160</t>
  </si>
  <si>
    <t>Increase/Decrease inventory</t>
  </si>
  <si>
    <t>730160</t>
  </si>
  <si>
    <t>%,V730200</t>
  </si>
  <si>
    <t>Subscriptions,books,periodical</t>
  </si>
  <si>
    <t>730200</t>
  </si>
  <si>
    <t>%,V730300</t>
  </si>
  <si>
    <t>Instructional supplies</t>
  </si>
  <si>
    <t>730300</t>
  </si>
  <si>
    <t>%,V730400</t>
  </si>
  <si>
    <t>Athletic supplies</t>
  </si>
  <si>
    <t>730400</t>
  </si>
  <si>
    <t>%,V730450</t>
  </si>
  <si>
    <t>Recruiting Supplies</t>
  </si>
  <si>
    <t>730450</t>
  </si>
  <si>
    <t>%,V730500</t>
  </si>
  <si>
    <t>Lab supplies</t>
  </si>
  <si>
    <t>730500</t>
  </si>
  <si>
    <t>%,V730600</t>
  </si>
  <si>
    <t>Student supplies</t>
  </si>
  <si>
    <t>730600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</si>
  <si>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</si>
  <si>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</si>
  <si>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</si>
  <si>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</si>
  <si>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</si>
  <si>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</si>
  <si>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</si>
  <si>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</si>
  <si>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</si>
  <si>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</si>
  <si>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</si>
  <si>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</si>
  <si>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%,V731100</t>
  </si>
  <si>
    <t>Diesel  - off road</t>
  </si>
  <si>
    <t>731100</t>
  </si>
  <si>
    <t>%,V731200</t>
  </si>
  <si>
    <t>Photography</t>
  </si>
  <si>
    <t>731200</t>
  </si>
  <si>
    <t>%,V731300</t>
  </si>
  <si>
    <t>Cleaning supplies</t>
  </si>
  <si>
    <t>731300</t>
  </si>
  <si>
    <t>%,V731400</t>
  </si>
  <si>
    <t>Laundry supplies</t>
  </si>
  <si>
    <t>731400</t>
  </si>
  <si>
    <t>%,V731500</t>
  </si>
  <si>
    <t>Linen supplies</t>
  </si>
  <si>
    <t>731500</t>
  </si>
  <si>
    <t>%,V731600</t>
  </si>
  <si>
    <t>Shop supplies</t>
  </si>
  <si>
    <t>731600</t>
  </si>
  <si>
    <t>%,V731800</t>
  </si>
  <si>
    <t>Hospital supplies-dietary item</t>
  </si>
  <si>
    <t>731800</t>
  </si>
  <si>
    <t>%,V731900</t>
  </si>
  <si>
    <t>Food stores - misc food</t>
  </si>
  <si>
    <t>731900</t>
  </si>
  <si>
    <t>%,V732000</t>
  </si>
  <si>
    <t>Food stores - paper supplies</t>
  </si>
  <si>
    <t>732000</t>
  </si>
  <si>
    <t>%,V732600</t>
  </si>
  <si>
    <t>Food stores - groceries</t>
  </si>
  <si>
    <t>732600</t>
  </si>
  <si>
    <t>%,V732800</t>
  </si>
  <si>
    <t>Food stores - other</t>
  </si>
  <si>
    <t>732800</t>
  </si>
  <si>
    <t>%,V732900</t>
  </si>
  <si>
    <t>Formula</t>
  </si>
  <si>
    <t>732900</t>
  </si>
  <si>
    <t>%,V733000</t>
  </si>
  <si>
    <t>Meat/seafood</t>
  </si>
  <si>
    <t>733000</t>
  </si>
  <si>
    <t>%,V734000</t>
  </si>
  <si>
    <t>Photography dark room supplies</t>
  </si>
  <si>
    <t>734000</t>
  </si>
  <si>
    <t>%,V734100</t>
  </si>
  <si>
    <t>Supplies A-21 exclusion</t>
  </si>
  <si>
    <t>734100</t>
  </si>
  <si>
    <t>%,V738000</t>
  </si>
  <si>
    <t>Dues/memberships</t>
  </si>
  <si>
    <t>738000</t>
  </si>
  <si>
    <t>%,V738100</t>
  </si>
  <si>
    <t>Employees dues to prof assoc</t>
  </si>
  <si>
    <t>738100</t>
  </si>
  <si>
    <t>%,V738200</t>
  </si>
  <si>
    <t>Employees dues to other orgs</t>
  </si>
  <si>
    <t>738200</t>
  </si>
  <si>
    <t>%,V738300</t>
  </si>
  <si>
    <t>University memberships</t>
  </si>
  <si>
    <t>738300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</si>
  <si>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</si>
  <si>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</si>
  <si>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</si>
  <si>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</si>
  <si>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</si>
  <si>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</si>
  <si>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</si>
  <si>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</si>
  <si>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</si>
  <si>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</si>
  <si>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</si>
  <si>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</si>
  <si>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</si>
  <si>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</si>
  <si>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</si>
  <si>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</si>
  <si>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</si>
  <si>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</si>
  <si>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</si>
  <si>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</si>
  <si>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</si>
  <si>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</si>
  <si>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</si>
  <si>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</si>
  <si>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%,V740002</t>
  </si>
  <si>
    <t>Non-capital equipment</t>
  </si>
  <si>
    <t>740002</t>
  </si>
  <si>
    <t>%,V740100</t>
  </si>
  <si>
    <t>Computers - Non Capital</t>
  </si>
  <si>
    <t>740100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</si>
  <si>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</si>
  <si>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</si>
  <si>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</si>
  <si>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</si>
  <si>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</si>
  <si>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</si>
  <si>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%,V740400</t>
  </si>
  <si>
    <t>Classroom Equip - Non Capital</t>
  </si>
  <si>
    <t>740400</t>
  </si>
  <si>
    <t>%,V740500</t>
  </si>
  <si>
    <t>Laboratory - Non Capital</t>
  </si>
  <si>
    <t>740500</t>
  </si>
  <si>
    <t>%,V740600</t>
  </si>
  <si>
    <t>Furniture - Non Capital</t>
  </si>
  <si>
    <t>740600</t>
  </si>
  <si>
    <t>%,V740800</t>
  </si>
  <si>
    <t>Field &amp; Fac Equip Non-Capital</t>
  </si>
  <si>
    <t>740800</t>
  </si>
  <si>
    <t>%,V740900</t>
  </si>
  <si>
    <t>Misc Facilities Charges &lt; 5000</t>
  </si>
  <si>
    <t>740900</t>
  </si>
  <si>
    <t>%,V741100</t>
  </si>
  <si>
    <t>Seeds</t>
  </si>
  <si>
    <t>741100</t>
  </si>
  <si>
    <t>%,V741200</t>
  </si>
  <si>
    <t>Custom harvesting</t>
  </si>
  <si>
    <t>741200</t>
  </si>
  <si>
    <t>%,V741600</t>
  </si>
  <si>
    <t>Rent/Lease Office Equipment</t>
  </si>
  <si>
    <t>741600</t>
  </si>
  <si>
    <t>%,V741610</t>
  </si>
  <si>
    <t>Rent/Lease Office Equip A-21</t>
  </si>
  <si>
    <t>741610</t>
  </si>
  <si>
    <t>%,V742000</t>
  </si>
  <si>
    <t>Other misc expense</t>
  </si>
  <si>
    <t>742000</t>
  </si>
  <si>
    <t>%,V742300</t>
  </si>
  <si>
    <t>Contracts</t>
  </si>
  <si>
    <t>742300</t>
  </si>
  <si>
    <t>%,V742400</t>
  </si>
  <si>
    <t>Payouts</t>
  </si>
  <si>
    <t>742400</t>
  </si>
  <si>
    <t>%,V742600</t>
  </si>
  <si>
    <t>Service charge</t>
  </si>
  <si>
    <t>742600</t>
  </si>
  <si>
    <t>%,V742700</t>
  </si>
  <si>
    <t>Overage/shortage - Expenditure</t>
  </si>
  <si>
    <t>742700</t>
  </si>
  <si>
    <t>%,V743100</t>
  </si>
  <si>
    <t>Field day</t>
  </si>
  <si>
    <t>743100</t>
  </si>
  <si>
    <t>%,V743200</t>
  </si>
  <si>
    <t>Awards</t>
  </si>
  <si>
    <t>743200</t>
  </si>
  <si>
    <t>%,V743300</t>
  </si>
  <si>
    <t>Other dept exp A-21 exclusion</t>
  </si>
  <si>
    <t>743300</t>
  </si>
  <si>
    <t>%,V743600</t>
  </si>
  <si>
    <t>Bank service charges</t>
  </si>
  <si>
    <t>743600</t>
  </si>
  <si>
    <t>%,V743700</t>
  </si>
  <si>
    <t>Credit card charges</t>
  </si>
  <si>
    <t>743700</t>
  </si>
  <si>
    <t>%,V743800</t>
  </si>
  <si>
    <t>Freight(UPS)</t>
  </si>
  <si>
    <t>743800</t>
  </si>
  <si>
    <t>%,V743999</t>
  </si>
  <si>
    <t>Other Expenditures</t>
  </si>
  <si>
    <t>743999</t>
  </si>
  <si>
    <t>%,V750000</t>
  </si>
  <si>
    <t>Professional services</t>
  </si>
  <si>
    <t>750000</t>
  </si>
  <si>
    <t>%,V750100</t>
  </si>
  <si>
    <t>Consulting services</t>
  </si>
  <si>
    <t>750100</t>
  </si>
  <si>
    <t>%,V750300</t>
  </si>
  <si>
    <t>Moving services</t>
  </si>
  <si>
    <t>750300</t>
  </si>
  <si>
    <t>%,V750400</t>
  </si>
  <si>
    <t>Locksmith services</t>
  </si>
  <si>
    <t>750400</t>
  </si>
  <si>
    <t>%,V750800</t>
  </si>
  <si>
    <t>Trash removal/hauling</t>
  </si>
  <si>
    <t>750800</t>
  </si>
  <si>
    <t>%,V750900</t>
  </si>
  <si>
    <t>Other professional fees</t>
  </si>
  <si>
    <t>750900</t>
  </si>
  <si>
    <t>%,V751000</t>
  </si>
  <si>
    <t>Temp services</t>
  </si>
  <si>
    <t>751000</t>
  </si>
  <si>
    <t>%,V751100</t>
  </si>
  <si>
    <t>Security</t>
  </si>
  <si>
    <t>751100</t>
  </si>
  <si>
    <t>%,V751200</t>
  </si>
  <si>
    <t>Continuing Ed Support</t>
  </si>
  <si>
    <t>751200</t>
  </si>
  <si>
    <t>%,V751300</t>
  </si>
  <si>
    <t>Speaker honorium</t>
  </si>
  <si>
    <t>751300</t>
  </si>
  <si>
    <t>%,V751400</t>
  </si>
  <si>
    <t>Profess Serv-A-21 exclusion</t>
  </si>
  <si>
    <t>751400</t>
  </si>
  <si>
    <t>%,V753002</t>
  </si>
  <si>
    <t>Hospital professional services</t>
  </si>
  <si>
    <t>753002</t>
  </si>
  <si>
    <t>%,V755000</t>
  </si>
  <si>
    <t>Use fees</t>
  </si>
  <si>
    <t>755000</t>
  </si>
  <si>
    <t>%,V788200</t>
  </si>
  <si>
    <t>Library Acquisition-NonCapital</t>
  </si>
  <si>
    <t>788200</t>
  </si>
  <si>
    <t>%,V789000</t>
  </si>
  <si>
    <t>Equipment - M &amp; R Non Capital</t>
  </si>
  <si>
    <t>789000</t>
  </si>
  <si>
    <t>%,V789050</t>
  </si>
  <si>
    <t xml:space="preserve">        TOTAL UNEXPENDED PLANT FUNDS</t>
  </si>
  <si>
    <t>%,QAM_CAPITAL_ASSET_BEG_BAL</t>
  </si>
  <si>
    <t>INVESTMENT IN PLANT CAPITAL ASSETS</t>
  </si>
  <si>
    <t>June 30, 2002</t>
  </si>
  <si>
    <t>July 1, 2003</t>
  </si>
  <si>
    <t>Additions</t>
  </si>
  <si>
    <t>Deletions</t>
  </si>
  <si>
    <t>Capital Assets:</t>
  </si>
  <si>
    <t>%,FACCOUNT,V173000,V174000</t>
  </si>
  <si>
    <t>Building</t>
  </si>
  <si>
    <t>%,FACCOUNT,V171000</t>
  </si>
  <si>
    <t>%,FACCOUNT,V172000</t>
  </si>
  <si>
    <t>%,FACCOUNT,V175000</t>
  </si>
  <si>
    <t>Equipment</t>
  </si>
  <si>
    <t>%,FACCOUNT,V177000</t>
  </si>
  <si>
    <t>Livestock</t>
  </si>
  <si>
    <t>%,FACCOUNT,V179000</t>
  </si>
  <si>
    <t>Art &amp; Museum Objects</t>
  </si>
  <si>
    <t>%,FACCOUNT,V176000</t>
  </si>
  <si>
    <t>Library Books</t>
  </si>
  <si>
    <t>%,FACCOUNT,V178000</t>
  </si>
  <si>
    <t>Construction In Progress</t>
  </si>
  <si>
    <t xml:space="preserve">    Total Capital Assets</t>
  </si>
  <si>
    <t>Less Accumulated Depreciation:</t>
  </si>
  <si>
    <t>%,FACCOUNT,V173900,V174900</t>
  </si>
  <si>
    <t>%,FACCOUNT,V172900</t>
  </si>
  <si>
    <t>%,FACCOUNT,V175900</t>
  </si>
  <si>
    <t>Total Accumulated Depreciation</t>
  </si>
  <si>
    <t>Total Investment in Plant Capital Assets, Net</t>
  </si>
  <si>
    <t xml:space="preserve">University of Missouri - Rolla                                                           </t>
  </si>
  <si>
    <t xml:space="preserve">               </t>
  </si>
  <si>
    <t xml:space="preserve">BONDS AND NOTES PAYABLE </t>
  </si>
  <si>
    <t>As of June 30, 2004</t>
  </si>
  <si>
    <t xml:space="preserve">                                                                      </t>
  </si>
  <si>
    <t>Original</t>
  </si>
  <si>
    <t>Issue</t>
  </si>
  <si>
    <t>Defeasance</t>
  </si>
  <si>
    <t>Retired</t>
  </si>
  <si>
    <t xml:space="preserve">Bond Payable:                                                 </t>
  </si>
  <si>
    <t xml:space="preserve"> System Facilities Revenue Bond, Dated November, 1993,</t>
  </si>
  <si>
    <t xml:space="preserve">   Interest Rates 3.4% to 5.5%, Due Serially to 2023</t>
  </si>
  <si>
    <t xml:space="preserve"> System Facilities Revenue Bond Dated June, 2002,</t>
  </si>
  <si>
    <t xml:space="preserve">   Series 2002a Variable Interest Rate, Due November 2032</t>
  </si>
  <si>
    <t xml:space="preserve"> System Facilities Revenue Bond Dated November, 2003,</t>
  </si>
  <si>
    <t xml:space="preserve">   Series 2003a Fixed Rate, Due November 2031</t>
  </si>
  <si>
    <t xml:space="preserve">   Series 2003b Fixed Rate, Due November 2031</t>
  </si>
  <si>
    <t xml:space="preserve">        Less Unamortized Premium/Discount</t>
  </si>
  <si>
    <t xml:space="preserve">        Less Loss on Defeasance</t>
  </si>
  <si>
    <t xml:space="preserve">             Total Bond Payable                                     </t>
  </si>
  <si>
    <t>%,AFT,FDEPTID</t>
  </si>
  <si>
    <t>%,LACTUALS,SYTD,R,FACCOUNT,V350000</t>
  </si>
  <si>
    <t>%,QUGL_GASB_AGENCY_REVENUES,CA.POSTED_TOTAL_AMT,SYTD,R</t>
  </si>
  <si>
    <t>%,QUGL_GASB_AGENCY_EXPENSES,CA.POSTED_TOTAL_AMT,SYTD</t>
  </si>
  <si>
    <t>GASB019R</t>
  </si>
  <si>
    <t>FUNDS HELD FOR OTHERS</t>
  </si>
  <si>
    <t>Agency Funds for Rolla</t>
  </si>
  <si>
    <t>Department Description</t>
  </si>
  <si>
    <t>Hide Column in final report - DEPTID</t>
  </si>
  <si>
    <t>Deposits</t>
  </si>
  <si>
    <t>Withdrawals</t>
  </si>
  <si>
    <t>Balance
June 30, 2004</t>
  </si>
  <si>
    <t>%,VR2006012</t>
  </si>
  <si>
    <t>MARGUERITE ROSS BARNETT MEMORI</t>
  </si>
  <si>
    <t>R2006012</t>
  </si>
  <si>
    <t>%,VR2006013</t>
  </si>
  <si>
    <t>MISSOURI COLLEGE GUARANTEE PRO</t>
  </si>
  <si>
    <t>R2006013</t>
  </si>
  <si>
    <t>%,VR2006018</t>
  </si>
  <si>
    <t>AGENCY SCH FUND FY 01-02</t>
  </si>
  <si>
    <t>R2006018</t>
  </si>
  <si>
    <t>%,VR2006020</t>
  </si>
  <si>
    <t>FORD DIRECT LOAN FY 96-97</t>
  </si>
  <si>
    <t>R2006020</t>
  </si>
  <si>
    <t>%,VR2006021</t>
  </si>
  <si>
    <t>MISSOURI BRIGHT FLIGHT SCH</t>
  </si>
  <si>
    <t>R2006021</t>
  </si>
  <si>
    <t>%,VR2006022</t>
  </si>
  <si>
    <t>MISSOURI GALLAGHER GRANT</t>
  </si>
  <si>
    <t>R2006022</t>
  </si>
  <si>
    <t>%,VR2006023</t>
  </si>
  <si>
    <t>MISSOURI BRIDGE SCHOLARSHIP</t>
  </si>
  <si>
    <t>R2006023</t>
  </si>
  <si>
    <t>%,VR2006056</t>
  </si>
  <si>
    <t>GEAR UP PLUS</t>
  </si>
  <si>
    <t>R2006056</t>
  </si>
  <si>
    <t>%,VR2006057</t>
  </si>
  <si>
    <t>FORD FEDERAL DIRECT LOAN 02-03</t>
  </si>
  <si>
    <t>R2006057</t>
  </si>
  <si>
    <t>%,VR2006058</t>
  </si>
  <si>
    <t>PLUS LOAN</t>
  </si>
  <si>
    <t>R2006058</t>
  </si>
  <si>
    <t>%,VR2006060</t>
  </si>
  <si>
    <t>FORD FEDERAL DIRECT STUDENT</t>
  </si>
  <si>
    <t>R2006060</t>
  </si>
  <si>
    <t>%,VR2006061</t>
  </si>
  <si>
    <t>PLUS LOAN-FY 03/04</t>
  </si>
  <si>
    <t>R2006061</t>
  </si>
  <si>
    <t>%,VR2006062</t>
  </si>
  <si>
    <t>MSM/UMR ALUMNI SCHOLARSHIP</t>
  </si>
  <si>
    <t>R2006062</t>
  </si>
  <si>
    <t>%,VR2006065</t>
  </si>
  <si>
    <t>AGENCY SCHOLARSHIPS 2004-2005</t>
  </si>
  <si>
    <t>R2006065</t>
  </si>
  <si>
    <t>%,VR3002005</t>
  </si>
  <si>
    <t>METER KEY DEPOSIT</t>
  </si>
  <si>
    <t>R3002005</t>
  </si>
  <si>
    <t>%,VR4000033</t>
  </si>
  <si>
    <t>SCH OF M&amp;M ACADEMY</t>
  </si>
  <si>
    <t>R4000033</t>
  </si>
  <si>
    <t>%,VR4004071</t>
  </si>
  <si>
    <t>CERAMIC KEY DEPOSITS HOLDING A</t>
  </si>
  <si>
    <t>R4004071</t>
  </si>
  <si>
    <t>%,VR4005055</t>
  </si>
  <si>
    <t>GEOLOGY &amp; GEOPHYSICS KEY DEPOS</t>
  </si>
  <si>
    <t>R4005055</t>
  </si>
  <si>
    <t>%,VR4005079</t>
  </si>
  <si>
    <t>EIFERT RESEARCH FUNDS-AMER ASS</t>
  </si>
  <si>
    <t>R4005079</t>
  </si>
  <si>
    <t>%,VR4006054</t>
  </si>
  <si>
    <t>KEY DEPOSITS-METALLURGY</t>
  </si>
  <si>
    <t>R4006054</t>
  </si>
  <si>
    <t>%,VR4007040</t>
  </si>
  <si>
    <t>AMERICAN NUCLEAR SOCIETY NUCLE</t>
  </si>
  <si>
    <t>R4007040</t>
  </si>
  <si>
    <t>%,VR5003109</t>
  </si>
  <si>
    <t>ETA KAPPA NU (HKN) INTERNATION</t>
  </si>
  <si>
    <t>R5003109</t>
  </si>
  <si>
    <t>%,VR5005189</t>
  </si>
  <si>
    <t>LAB FEE DEPOSITS - ME &amp; AE &amp; E</t>
  </si>
  <si>
    <t>R5005189</t>
  </si>
  <si>
    <t>%,VR6004016</t>
  </si>
  <si>
    <t>INTERNATIONAL SOCIETY FOR COMP</t>
  </si>
  <si>
    <t>R6004016</t>
  </si>
  <si>
    <t>%,VR6012112</t>
  </si>
  <si>
    <t>ACS SYMPOSIUM-OESS</t>
  </si>
  <si>
    <t>R6012112</t>
  </si>
  <si>
    <t>%,VR6017004</t>
  </si>
  <si>
    <t>UMR ARMY ROTC STONEHENGE BN AC</t>
  </si>
  <si>
    <t>R6017004</t>
  </si>
  <si>
    <t>%,VR7007019</t>
  </si>
  <si>
    <t>APPLIED LANGUAGE INSTITUTE AGE</t>
  </si>
  <si>
    <t>R7007019</t>
  </si>
  <si>
    <t>%,VR7007021</t>
  </si>
  <si>
    <t>MISCELLANEOUS STUDENT FEES</t>
  </si>
  <si>
    <t>R7007021</t>
  </si>
  <si>
    <t>%,VR7010035</t>
  </si>
  <si>
    <t>HOUSING DEPOSITS</t>
  </si>
  <si>
    <t>R7010035</t>
  </si>
  <si>
    <t>%,VR7010036</t>
  </si>
  <si>
    <t>APARTMENT DEPOSITS</t>
  </si>
  <si>
    <t>R7010036</t>
  </si>
  <si>
    <t>%,VR7010037</t>
  </si>
  <si>
    <t>PROG ALLOTMENT</t>
  </si>
  <si>
    <t>R7010037</t>
  </si>
  <si>
    <t>%,VR7010038</t>
  </si>
  <si>
    <t>PROG ALLOTMENT - TJ RES HALL</t>
  </si>
  <si>
    <t>R7010038</t>
  </si>
  <si>
    <t>%,VR7010039</t>
  </si>
  <si>
    <t>QUAD RES HALL STUDENT PROGRAM</t>
  </si>
  <si>
    <t>R7010039</t>
  </si>
  <si>
    <t>%,VR7010040</t>
  </si>
  <si>
    <t>TJ HALL STUDENT PROGRAMMING</t>
  </si>
  <si>
    <t>R7010040</t>
  </si>
  <si>
    <t>%,VR7010041</t>
  </si>
  <si>
    <t>RES HALL ASSN - PROGRAMMING</t>
  </si>
  <si>
    <t>R7010041</t>
  </si>
  <si>
    <t>%,VR7010042</t>
  </si>
  <si>
    <t>TICKETS ON CONSIGNMENT</t>
  </si>
  <si>
    <t>R7010042</t>
  </si>
  <si>
    <t>%,VR7010043</t>
  </si>
  <si>
    <t>NATIONAL RES HALL HONORARY</t>
  </si>
  <si>
    <t>R7010043</t>
  </si>
  <si>
    <t>%,VR7010046</t>
  </si>
  <si>
    <t>RESLIFE APPLICATION FEES</t>
  </si>
  <si>
    <t>R7010046</t>
  </si>
  <si>
    <t>%,VR7012005</t>
  </si>
  <si>
    <t>FACULTY-STAFF GOLF LEAGUE</t>
  </si>
  <si>
    <t>R7012005</t>
  </si>
  <si>
    <t>%,VR7012087</t>
  </si>
  <si>
    <t>INTRAMURAL MANAGERS ACCT</t>
  </si>
  <si>
    <t>R7012087</t>
  </si>
  <si>
    <t>%,VR8005007</t>
  </si>
  <si>
    <t>ALUMNI ASSOCIATION TRANSFERS</t>
  </si>
  <si>
    <t>R8005007</t>
  </si>
  <si>
    <t>%,VR9001205</t>
  </si>
  <si>
    <t>THOMAS JAMES STEWART FUND</t>
  </si>
  <si>
    <t>R9001205</t>
  </si>
  <si>
    <t>%,VR9001206</t>
  </si>
  <si>
    <t>GEORGE ANDERSON UNITRUST</t>
  </si>
  <si>
    <t>R9001206</t>
  </si>
  <si>
    <t>%,VR9001207</t>
  </si>
  <si>
    <t>T JAMES STEWART JR AGENCY</t>
  </si>
  <si>
    <t>R9001207</t>
  </si>
  <si>
    <t>%,VR9001210</t>
  </si>
  <si>
    <t>WAGE EARNINGS ATTACHMENTS</t>
  </si>
  <si>
    <t>R9001210</t>
  </si>
  <si>
    <t>%,VR9004131</t>
  </si>
  <si>
    <t>KEY DEPOSITS</t>
  </si>
  <si>
    <t>R9004131</t>
  </si>
  <si>
    <t>%,VR9004132</t>
  </si>
  <si>
    <t>STUDENT TRAVEL INSURANCE</t>
  </si>
  <si>
    <t>R9004132</t>
  </si>
  <si>
    <t>%,VR9004134</t>
  </si>
  <si>
    <t>CENTURY CLUB - MSM ALUMNI</t>
  </si>
  <si>
    <t>R9004134</t>
  </si>
  <si>
    <t>%,VR9004135</t>
  </si>
  <si>
    <t>STUDENT CHARGE SYSTEM - BOOKST</t>
  </si>
  <si>
    <t>R9004135</t>
  </si>
  <si>
    <t>%,VR9004136</t>
  </si>
  <si>
    <t>STUDENT CHARGE SYSTEM - FOOD S</t>
  </si>
  <si>
    <t>R9004136</t>
  </si>
  <si>
    <t>%,VR9006101</t>
  </si>
  <si>
    <t>BYRD INDIANA STATE SCHOLARSHIP</t>
  </si>
  <si>
    <t>R9006101</t>
  </si>
  <si>
    <t>%,FDEPTID,X,_,FFUND_CODE,TGASB_34_35_FUND,NAGENCY_FUNDS_NONEXP</t>
  </si>
  <si>
    <t>TOTAL AGENCY FUNDS</t>
  </si>
  <si>
    <t>%,QUGL_GASB_35_FIN_STMTS</t>
  </si>
  <si>
    <t>CURRENT FUNDS OPERATING REVENUES</t>
  </si>
  <si>
    <t>Projects 00000</t>
  </si>
  <si>
    <t>Projects GRANT</t>
  </si>
  <si>
    <t>Student Fees -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</si>
  <si>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</si>
  <si>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</si>
  <si>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</si>
  <si>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</si>
  <si>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</si>
  <si>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</si>
  <si>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</si>
  <si>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</si>
  <si>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</si>
  <si>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</si>
  <si>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</si>
  <si>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 xml:space="preserve">    Other Student Fees</t>
  </si>
  <si>
    <t>%,LACTUALS,SYTD,FACCOUNT,TGASB_34_35,X,NSTUDENT AID</t>
  </si>
  <si>
    <t xml:space="preserve">       Net Student Fees</t>
  </si>
  <si>
    <t>Federal Grants and Contracts -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</si>
  <si>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</si>
  <si>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</si>
  <si>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</si>
  <si>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</si>
  <si>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</si>
  <si>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</si>
  <si>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</si>
  <si>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</si>
  <si>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</si>
  <si>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</si>
  <si>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</si>
  <si>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</si>
  <si>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>%,LACTUALS,SYTD</t>
  </si>
  <si>
    <t>%,FACCOUNT,TGASB_34_35,NSALARIES</t>
  </si>
  <si>
    <t>%,FACCOUNT,TGASB_34_35,NSTAFF BENEFITS</t>
  </si>
  <si>
    <t>%,FACCOUNT,TGASB_34_35,NAUX &amp; EDUC ACTIV,NCAPITAL ASSETS,NCAPITAL OFFSET,NOTHER DEPT OPERATING,NPROFESSIONAL &amp; CONSU,NSELF INSURANCE BENE,NSUPPLY_NONCAP ASSET,NUTILITIES</t>
  </si>
  <si>
    <t>ROLLA</t>
  </si>
  <si>
    <t>Run Date:</t>
  </si>
  <si>
    <t>OPERATING EXPENSES BY OBJECT MATRIX</t>
  </si>
  <si>
    <t>PGASB09R</t>
  </si>
  <si>
    <t>Salary &amp; Wage</t>
  </si>
  <si>
    <t>Depreciation</t>
  </si>
  <si>
    <t>Educational &amp; General  (A)</t>
  </si>
  <si>
    <t/>
  </si>
  <si>
    <t>%,QUGL_CUR_FNDS_OBJECT_INSTR,FFUND_CODE,TGASB_34_35_FUND,NCLEARING_ACCTS_UNR,NOPERATIONS_UNR,NRESTR EXPENDABLE,NSELF_INS_UNR,NSVC_OPER_UNR,NAUXILIARIES_CONT_ED</t>
  </si>
  <si>
    <t xml:space="preserve">  Instruction</t>
  </si>
  <si>
    <t>%,QUGL_CUR_FNDS_OBJECT_RESEARCH,FFUND_CODE,TGASB_34_35_FUND,NCLEARING_ACCTS_UNR,NOPERATIONS_UNR,NRESTR EXPENDABLE,NSELF_INS_UNR,NSVC_OPER_UNR,NAUXILIARIES_CONT_ED</t>
  </si>
  <si>
    <t xml:space="preserve">  Research</t>
  </si>
  <si>
    <t>%,QUGL_CUR_FNDS_OBJECT_PUBLIC,FFUND_CODE,TGASB_34_35_FUND,NCLEARING_ACCTS_UNR,NOPERATIONS_UNR,NRESTR EXPENDABLE,NSELF_INS_UNR,NSVC_OPER_UNR,NAUXILIARIES_CONT_ED</t>
  </si>
  <si>
    <t xml:space="preserve">  Public Service</t>
  </si>
  <si>
    <t>%,QUGL_CUR_FNDS_OBJECT_ACADEMIC,FFUND_CODE,TGASB_34_35_FUND,NCLEARING_ACCTS_UNR,NOPERATIONS_UNR,NRESTR EXPENDABLE,NSELF_INS_UNR,NSVC_OPER_UNR,NAUXILIARIES_CONT_ED</t>
  </si>
  <si>
    <t xml:space="preserve">  Academic Support</t>
  </si>
  <si>
    <t>%,QUGL_CUR_FNDS_OBJECT_STUDENT,FFUND_CODE,TGASB_34_35_FUND,NAUXILIARIES_CONT_ED,NCLEARING_ACCTS_UNR,NCUR_FUNDS_RESTEXP,NOPERATIONS_UNR,NSELF_INS_UNR,NSVC_OPER_UNR</t>
  </si>
  <si>
    <t xml:space="preserve">  Student Services  (B)</t>
  </si>
  <si>
    <t>%,QUGL_CUR_FNDS_OBJECT_INSTRSUP,FFUND_CODE,TGASB_34_35_FUND,NCLEARING_ACCTS_UNR,NOPERATIONS_UNR,NRESTR EXPENDABLE,NSELF_INS_UNR,NSVC_OPER_UNR,NAUXILIARIES_CONT_ED</t>
  </si>
  <si>
    <t xml:space="preserve">  Institutional Support  ( C)</t>
  </si>
  <si>
    <t>%,QUGL_CUR_FNDS_OBJECT_OP_MAINT,FFUND_CODE,TGASB_34_35_FUND,NCLEARING_ACCTS_UNR,NOPERATIONS_UNR,NRESTR EXPENDABLE,NSELF_INS_UNR,NSVC_OPER_UNR,NAUXILIARIES_CONT_ED</t>
  </si>
  <si>
    <t xml:space="preserve">  Operation &amp; Maintenance of Plant</t>
  </si>
  <si>
    <t xml:space="preserve">   </t>
  </si>
  <si>
    <t xml:space="preserve">  Scholarships &amp; Fellowships   (D)</t>
  </si>
  <si>
    <t xml:space="preserve">       Total Educational &amp; General</t>
  </si>
  <si>
    <t>%,QUGL_CUR_FNDS_OBJECT_AUX,CA.POSTED_TOTAL_AMT</t>
  </si>
  <si>
    <t xml:space="preserve">  Auxiliary Enterprises  (E)</t>
  </si>
  <si>
    <t xml:space="preserve">       Total Current Funds Operating Expenses</t>
  </si>
  <si>
    <t>%,FFUND_CODE,TGASB_34_35_FUND,NLOAN_FUNDS_NONEXP,NLOAN_FUNDS_UNR,NLOAN_FUNDS_RESTEXP</t>
  </si>
  <si>
    <t>Loan Funds  (F)</t>
  </si>
  <si>
    <t>%,FFUND_CODE,TGASB_34_35_FUND,NENDOW_FUNDS_NONEXP,NENDOW_FUNDS_UNR,NENDOW_FUNDS_RESTEXP</t>
  </si>
  <si>
    <t xml:space="preserve">Endowment Funds  (F)  </t>
  </si>
  <si>
    <t>%,FFUND_CODE,TGASB_34_35_FUND,NPLANT_FUNDS_NONEXP,NPLANT_FUNDS_RESTEXP,NPLANT_FUNDS_UNR</t>
  </si>
  <si>
    <t>Plant Funds  (G)</t>
  </si>
  <si>
    <t xml:space="preserve">       Total Operating Expenses - All Funds</t>
  </si>
  <si>
    <t xml:space="preserve">(A)  Educational and General Expenditures includes all expenditures for the General Operating Fund (0000), the Clearing Fund (0090), Continuing Education (0445, 0450) and the Restricted Current Funds (I.e. Grant and State </t>
  </si>
  <si>
    <t xml:space="preserve">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</si>
  <si>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</si>
  <si>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</si>
  <si>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</si>
  <si>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</si>
  <si>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</si>
  <si>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</si>
  <si>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</si>
  <si>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</si>
  <si>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</si>
  <si>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</si>
  <si>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</si>
  <si>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PGASB10R</t>
  </si>
  <si>
    <t>Net Assets
July 1, 2003</t>
  </si>
  <si>
    <t>Revenues</t>
  </si>
  <si>
    <t>Expenses</t>
  </si>
  <si>
    <t>Non-Operating Revenues, Expenditures &amp; Transfers</t>
  </si>
  <si>
    <t>Net Assets
June 30, 2004</t>
  </si>
  <si>
    <t>Auxiliaries:</t>
  </si>
  <si>
    <t>%,V0100</t>
  </si>
  <si>
    <t>Intercoll Athletics Auxiliary</t>
  </si>
  <si>
    <t>%,V0315</t>
  </si>
  <si>
    <t>Housing</t>
  </si>
  <si>
    <t>%,V0330</t>
  </si>
  <si>
    <t>Parking</t>
  </si>
  <si>
    <t>%,V0350</t>
  </si>
  <si>
    <t>University Centers</t>
  </si>
  <si>
    <t>%,V0360</t>
  </si>
  <si>
    <t>Other Student Auxiliaries</t>
  </si>
  <si>
    <t>%,V0470</t>
  </si>
  <si>
    <t>Golf Course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</si>
  <si>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</si>
  <si>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</si>
  <si>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</si>
  <si>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</si>
  <si>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are to be hidden on final report.</t>
  </si>
  <si>
    <t>%,FFUND_CODE,TGASB_34_35_FUND,NOPERATIONS_UNR</t>
  </si>
  <si>
    <t>Operations</t>
  </si>
  <si>
    <t>%,FFUND_CODE,TGASB_34_35_FUND,NSELF_INS_UNR</t>
  </si>
  <si>
    <t>Self Insurance</t>
  </si>
  <si>
    <t xml:space="preserve">     Grand Totals</t>
  </si>
  <si>
    <t>%,FFUND_CODE,V0315</t>
  </si>
  <si>
    <t>%,FFUND_CODE,V0100</t>
  </si>
  <si>
    <t>%,FFUND_CODE,V0330</t>
  </si>
  <si>
    <t>%,FFUND_CODE,V0350</t>
  </si>
  <si>
    <t>STATEMENT OF REVENUES, EXPENSES AND CHANGES IN NET ASSETS - FOR SELECT AUXILIARY OPERATIONS</t>
  </si>
  <si>
    <t>Housing System</t>
  </si>
  <si>
    <t>Intercollegiate Athletics</t>
  </si>
  <si>
    <t>%,V762000</t>
  </si>
  <si>
    <t>Room and Board Waivers</t>
  </si>
  <si>
    <t>762000</t>
  </si>
  <si>
    <t>%,R,FACCOUNT,TGASB_34_35,X,NSTUDENT FEES,NSTUDENT AID</t>
  </si>
  <si>
    <t xml:space="preserve">  Student Fees</t>
  </si>
  <si>
    <t>%,V420700</t>
  </si>
  <si>
    <t>Taxable Primary-food sales</t>
  </si>
  <si>
    <t>420700</t>
  </si>
  <si>
    <t>%,V430150</t>
  </si>
  <si>
    <t>NonTaxable-Display Advertising</t>
  </si>
  <si>
    <t>430150</t>
  </si>
  <si>
    <t>%,V431600</t>
  </si>
  <si>
    <t>Non Taxable-hous room &amp; board</t>
  </si>
  <si>
    <t>431600</t>
  </si>
  <si>
    <t>%,V432500</t>
  </si>
  <si>
    <t>Student Health-orthopedic</t>
  </si>
  <si>
    <t>432500</t>
  </si>
  <si>
    <t xml:space="preserve">  Sales and Services of Auxiliary and Education Activities</t>
  </si>
  <si>
    <t>%,V494500</t>
  </si>
  <si>
    <t>Misc Revenue-tax non-prim loc</t>
  </si>
  <si>
    <t>494500</t>
  </si>
  <si>
    <t>%,R,FACCOUNT,TGASB_34_35,X,NOTHER OPERATING REV,NFEDERAL GRANTS,NINTEREST NOTES REC,NLOAN FUND DEDUCT,NOTHER GOVT GRANTS,NPATIENT MED SERV,NPRIVATE GRANTS,NSTATE GRANTS</t>
  </si>
  <si>
    <t xml:space="preserve">  Other Operating Revenues</t>
  </si>
  <si>
    <t xml:space="preserve">         Total Operating Revenues</t>
  </si>
  <si>
    <t xml:space="preserve">  Salaries and Wages</t>
  </si>
  <si>
    <t xml:space="preserve">  Staff Benefits</t>
  </si>
  <si>
    <t>%,V601300</t>
  </si>
  <si>
    <t>COGS Food</t>
  </si>
  <si>
    <t>601300</t>
  </si>
  <si>
    <t>%,FACCOUNT,TGASB_34_35,X,NCOGS</t>
  </si>
  <si>
    <t xml:space="preserve">  Cost of Goods Sold</t>
  </si>
  <si>
    <t>%,V810600</t>
  </si>
  <si>
    <t>Vendor fuel oil</t>
  </si>
  <si>
    <t>810600</t>
  </si>
  <si>
    <t>%,FACCOUNT,TGASB_34_35,X,NUTILITIES,NUTILITIES UNIV GENER</t>
  </si>
  <si>
    <t xml:space="preserve">  Utilities</t>
  </si>
  <si>
    <t>%,FACCOUNT,TGASB_34_35,X,NSUPPLY_NONCAP ASSET</t>
  </si>
  <si>
    <t xml:space="preserve">  Supplies and Non Capital Equipment</t>
  </si>
  <si>
    <t>%,FACCOUNT,TGASB_34_35,X,NPROFESSIONAL &amp; CONSU</t>
  </si>
  <si>
    <t xml:space="preserve">  Professional and Consulting Services</t>
  </si>
  <si>
    <t>%,V741500</t>
  </si>
  <si>
    <t>Crop expense A-21 exclusion</t>
  </si>
  <si>
    <t>741500</t>
  </si>
  <si>
    <t>%,V742500</t>
  </si>
  <si>
    <t>Guarantees/options</t>
  </si>
  <si>
    <t>742500</t>
  </si>
  <si>
    <t>%,V743000</t>
  </si>
  <si>
    <t>Semester break expense</t>
  </si>
  <si>
    <t>743000</t>
  </si>
  <si>
    <t>%,FACCOUNT,TGASB_34_35,X,NOTHER DEPT OPERATING,NDISP OF PLANT ASSETS,NSCHOLAR &amp; FELLOW,NCAPITAL ASSETS,NCAPITAL OFFSET,NDEPR,NINVESTMENT IN PLANT,NSELF INSURANCE BENE</t>
  </si>
  <si>
    <t xml:space="preserve">  Other Departmental Operating Expense</t>
  </si>
  <si>
    <t xml:space="preserve">         Total Operating Expenses</t>
  </si>
  <si>
    <t>Operating Income (Loss) before Other Nonoperating</t>
  </si>
  <si>
    <t>Revenues (Expenses) and Transfers</t>
  </si>
  <si>
    <t>Other Nonoperating Revenues (Expenses) and Transfers:</t>
  </si>
  <si>
    <t xml:space="preserve">  Investment and Endowment Income</t>
  </si>
  <si>
    <t>%,R,FACCOUNT,TGASB_34_35,X,NGIFTS</t>
  </si>
  <si>
    <t xml:space="preserve">  Private Gifts</t>
  </si>
  <si>
    <t>%,FACCOUNT,TGASB_34_35,X,NINTEREST CAP DEBT</t>
  </si>
  <si>
    <t xml:space="preserve">  Interest Expense</t>
  </si>
  <si>
    <t>%,R,FACCOUNT,TGASB_34_35,X,NFEDERAL APPROPS,NPAYMENTS TO BENE,NRETIREMENT BENEFITS,NSTATE APPROPS</t>
  </si>
  <si>
    <t xml:space="preserve">  Other Nonoperating Revenues and Expenses</t>
  </si>
  <si>
    <t>%,R,FACCOUNT,TGASB_34_35,X,NTRANSFERS</t>
  </si>
  <si>
    <t xml:space="preserve">  Transfers</t>
  </si>
  <si>
    <t xml:space="preserve">          Net Other Nonoperating Revenues (Expenses)</t>
  </si>
  <si>
    <t xml:space="preserve">             and Transfers</t>
  </si>
  <si>
    <t xml:space="preserve">               Increase (Decrease) in Net Assets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</si>
  <si>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</si>
  <si>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</si>
  <si>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</si>
  <si>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</si>
  <si>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</si>
  <si>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%,R,FACCOUNT,TGASB_34_35,NTRANSFERS</t>
  </si>
  <si>
    <t>LOAN FUNDS</t>
  </si>
  <si>
    <t>PGASB13R</t>
  </si>
  <si>
    <t>Balance
July 1, 2003</t>
  </si>
  <si>
    <t>Gifts, Grants
&amp; Contracts</t>
  </si>
  <si>
    <t>Income from
Student Loans</t>
  </si>
  <si>
    <t>Investments &amp;
Other Income</t>
  </si>
  <si>
    <t>Deductions</t>
  </si>
  <si>
    <t>Transfers
In (Out)</t>
  </si>
  <si>
    <t>RESTRICTED</t>
  </si>
  <si>
    <t>%,VR6001</t>
  </si>
  <si>
    <t>PERKINS LOAN(FEDERAL</t>
  </si>
  <si>
    <t>%,VR6002</t>
  </si>
  <si>
    <t>ICL(FEDERAL)</t>
  </si>
  <si>
    <t>%,VR6003</t>
  </si>
  <si>
    <t>ALLOW DBTFL LOAN-FED</t>
  </si>
  <si>
    <t>%,VR6006</t>
  </si>
  <si>
    <t>ALUMNI STUDENT LOAN</t>
  </si>
  <si>
    <t>%,VR6008</t>
  </si>
  <si>
    <t>A S M E LOAN FUND</t>
  </si>
  <si>
    <t>%,VR6009</t>
  </si>
  <si>
    <t>R A ARMSTRONG LOAN</t>
  </si>
  <si>
    <t>%,VR6010</t>
  </si>
  <si>
    <t>J B ARTHUR LOAN</t>
  </si>
  <si>
    <t>%,VR6011</t>
  </si>
  <si>
    <t>C S BARNARD LOAN</t>
  </si>
  <si>
    <t>%,VR6012</t>
  </si>
  <si>
    <t>EUNICE BEIMDIEK LN</t>
  </si>
  <si>
    <t>%,VR6013</t>
  </si>
  <si>
    <t>BERUTT MEM LOAN</t>
  </si>
  <si>
    <t>%,VR6014</t>
  </si>
  <si>
    <t>JACK BOBBITT LOAN FD</t>
  </si>
  <si>
    <t>%,VR6015</t>
  </si>
  <si>
    <t>BOYD MEM LOAN</t>
  </si>
  <si>
    <t>%,VR6016</t>
  </si>
  <si>
    <t>BOYD/WATTS LOAN</t>
  </si>
  <si>
    <t>%,VR6018</t>
  </si>
  <si>
    <t>HUGH AND FLO BRYANT</t>
  </si>
  <si>
    <t>%,VR6021</t>
  </si>
  <si>
    <t>EBEN R CRUM LOAN</t>
  </si>
  <si>
    <t>%,VR6023</t>
  </si>
  <si>
    <t>PB &amp; JJ DOYLE LN FD</t>
  </si>
  <si>
    <t>%,VR6024</t>
  </si>
  <si>
    <t>ELECT ENG LOAN FD</t>
  </si>
  <si>
    <t>%,VR6026</t>
  </si>
  <si>
    <t>H Q FULLER SCH-LN FD</t>
  </si>
  <si>
    <t>%,VR6027</t>
  </si>
  <si>
    <t>HARTVIGSEN ESTATE FD</t>
  </si>
  <si>
    <t>%,VR6030</t>
  </si>
  <si>
    <t>GOLD LOAN FUND</t>
  </si>
  <si>
    <t>%,VR6031</t>
  </si>
  <si>
    <t>JOHN P HARMON LOAN</t>
  </si>
  <si>
    <t>%,VR6033</t>
  </si>
  <si>
    <t>HASSELMANN LOAN FUND</t>
  </si>
  <si>
    <t>%,VR6036</t>
  </si>
  <si>
    <t>JACKLING LOAN FUND</t>
  </si>
  <si>
    <t>%,VR6038</t>
  </si>
  <si>
    <t>MCBRIDE LOAN/SCHP</t>
  </si>
  <si>
    <t>%,VR6039</t>
  </si>
  <si>
    <t>"M" CLUB LOAN FUND</t>
  </si>
  <si>
    <t>%,VR6042</t>
  </si>
  <si>
    <t>STONE SCHP/LOAN</t>
  </si>
  <si>
    <t>%,VR6044</t>
  </si>
  <si>
    <t>H L PRANGE LOAN</t>
  </si>
  <si>
    <t>%,VR6046</t>
  </si>
  <si>
    <t>RHOADES 32 LOAN FD</t>
  </si>
  <si>
    <t>%,VR6049</t>
  </si>
  <si>
    <t>ROLLA ROTARY CLUB LN</t>
  </si>
  <si>
    <t>%,VR6050</t>
  </si>
  <si>
    <t>D R SCHOOLER MEM LN</t>
  </si>
  <si>
    <t>%,VR6051</t>
  </si>
  <si>
    <t>W T SCHRENK LOAN</t>
  </si>
  <si>
    <t>%,VR6052</t>
  </si>
  <si>
    <t>O M SCOTT LOAN</t>
  </si>
  <si>
    <t>%,VR6053</t>
  </si>
  <si>
    <t>JOHN R STUBBINS LOAN</t>
  </si>
  <si>
    <t>%,VR6054</t>
  </si>
  <si>
    <t>TRAGITT MEM LOAN</t>
  </si>
  <si>
    <t>%,VR6055</t>
  </si>
  <si>
    <t>F E TOWNSEND LOAN</t>
  </si>
  <si>
    <t>%,VR6056</t>
  </si>
  <si>
    <t>UNITED STUDENT AID</t>
  </si>
  <si>
    <t>%,VR6058</t>
  </si>
  <si>
    <t>E W WAGGONER LOAN</t>
  </si>
  <si>
    <t>%,VR6059</t>
  </si>
  <si>
    <t>WESTERN ELECTRIC LN</t>
  </si>
  <si>
    <t>%,VR6061</t>
  </si>
  <si>
    <t>WOMEN'S AUXILIARY LN</t>
  </si>
  <si>
    <t>%,VR6062</t>
  </si>
  <si>
    <t>H E ZOLLER ST N FD</t>
  </si>
  <si>
    <t>%,VR6065</t>
  </si>
  <si>
    <t>ALLOW DBFL NOT NF RE</t>
  </si>
  <si>
    <t>%,VR6066</t>
  </si>
  <si>
    <t>IVA BASORE LOAN</t>
  </si>
  <si>
    <t>%,VR6067</t>
  </si>
  <si>
    <t>Met Engr Alumni Ln</t>
  </si>
  <si>
    <t>%,VR6068</t>
  </si>
  <si>
    <t>CHRISTIAN LOAN FUND</t>
  </si>
  <si>
    <t>%,VR6069</t>
  </si>
  <si>
    <t>FORGIVENESS LOAN</t>
  </si>
  <si>
    <t>%,FPROGRAM_CODE,TPROGRAM,X,NR_LOANPGM,NA_LOANPGM,NK_LOANPGM,NC_LOANPGM,NE_LOANPGM,NS_LOANPGM,NU_LOANPGM,FFUND_CODE,TGASB_34_35_FUND,NLOAN_FUNDS_RESTEXP,NLOAN_FUNDS_NONEXP</t>
  </si>
  <si>
    <t>TOTAL RESTRICTED</t>
  </si>
  <si>
    <t>UNRESTRICTED</t>
  </si>
  <si>
    <t>%,VR6057</t>
  </si>
  <si>
    <t>UMR COMMEMORATIVE LN</t>
  </si>
  <si>
    <t>%,VR6063</t>
  </si>
  <si>
    <t>LOAN PAYTS SUSPENSE</t>
  </si>
  <si>
    <t>%,VR6064</t>
  </si>
  <si>
    <t>ALLOW DBFL NOT UNRES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</si>
  <si>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</si>
  <si>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</si>
  <si>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</si>
  <si>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 xml:space="preserve">        TOTAL LOAN FUNDS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</si>
  <si>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</si>
  <si>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</si>
  <si>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</si>
  <si>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</si>
  <si>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ENDOWMENT AND SIMILAR FUNDS</t>
  </si>
  <si>
    <t>PGASB14R</t>
  </si>
  <si>
    <t>Gifts and
Other
Additions</t>
  </si>
  <si>
    <t>Income (Loss)
added to
Principal</t>
  </si>
  <si>
    <t>Gain (Loss)
on Sale of
Securities</t>
  </si>
  <si>
    <t>ENDOWMENT FUNDS</t>
  </si>
  <si>
    <t>INCOME RESTRICTED -</t>
  </si>
  <si>
    <t>%,VR0000</t>
  </si>
  <si>
    <t>ABBETT SCHP</t>
  </si>
  <si>
    <t>%,VR0003</t>
  </si>
  <si>
    <t>AEROSPACE ENG SCHP</t>
  </si>
  <si>
    <t>%,VR0005</t>
  </si>
  <si>
    <t>ALL AMER SWIM SCHP</t>
  </si>
  <si>
    <t>%,VR0006</t>
  </si>
  <si>
    <t>ALLIED SIGNAL FUND</t>
  </si>
  <si>
    <t>%,VR0007</t>
  </si>
  <si>
    <t>ALUMNI-FAC-FRIENDS</t>
  </si>
  <si>
    <t>%,VR0008</t>
  </si>
  <si>
    <t>MCCRAE-ANDERSON-ROTH</t>
  </si>
  <si>
    <t>%,VR0010</t>
  </si>
  <si>
    <t>J B ARTHUR SCHP</t>
  </si>
  <si>
    <t>%,VR0011</t>
  </si>
  <si>
    <t>ASARCO FDN SCHP</t>
  </si>
  <si>
    <t>%,VR0012</t>
  </si>
  <si>
    <t>AT&amp;T MINORITY SCH</t>
  </si>
  <si>
    <t>%,VR0013</t>
  </si>
  <si>
    <t>R L BANKS END SCHP</t>
  </si>
  <si>
    <t>%,VR0014</t>
  </si>
  <si>
    <t>BALEY SCHOLARS END</t>
  </si>
  <si>
    <t>%,VR0015</t>
  </si>
  <si>
    <t>BARRETT MEM SCHP</t>
  </si>
  <si>
    <t>%,VR0016</t>
  </si>
  <si>
    <t>BASLER SCHP FD</t>
  </si>
  <si>
    <t>%,VR0017</t>
  </si>
  <si>
    <t>BIRBECK END SCHOL</t>
  </si>
  <si>
    <t>%,VR0018</t>
  </si>
  <si>
    <t>BELLIS SCHOLARSHIP</t>
  </si>
  <si>
    <t>%,VR0020</t>
  </si>
  <si>
    <t>BODINE MEM SCHP</t>
  </si>
  <si>
    <t>%,VR0021</t>
  </si>
  <si>
    <t>BOSCH END SCHP</t>
  </si>
  <si>
    <t>%,VR0022</t>
  </si>
  <si>
    <t>BISHOP SCHOLARSHIP</t>
  </si>
  <si>
    <t>%,VR0025</t>
  </si>
  <si>
    <t>BOYD/WATTS SCHP</t>
  </si>
  <si>
    <t>%,VR0026</t>
  </si>
  <si>
    <t>W R BROADDUS SCHP</t>
  </si>
  <si>
    <t>%,VR0027</t>
  </si>
  <si>
    <t>BUDACK SCHP ENGR</t>
  </si>
  <si>
    <t>%,VR0030</t>
  </si>
  <si>
    <t>N LES CLARK END SCHP</t>
  </si>
  <si>
    <t>%,VR0033</t>
  </si>
  <si>
    <t>CASTLEMAN MEM SCHP</t>
  </si>
  <si>
    <t>%,VR0034</t>
  </si>
  <si>
    <t>CERAMIC ENG END SCH</t>
  </si>
  <si>
    <t>%,VR0035</t>
  </si>
  <si>
    <t>CHRISTIAN ACH AWD-CE</t>
  </si>
  <si>
    <t>%,VR0036</t>
  </si>
  <si>
    <t>CHUBB FELLOWSHIP</t>
  </si>
  <si>
    <t>%,VR0037</t>
  </si>
  <si>
    <t>CHAO SCHP/FELLOWSHIP</t>
  </si>
  <si>
    <t>%,VR0039</t>
  </si>
  <si>
    <t>BOOTS CLAYTON SCHOL</t>
  </si>
  <si>
    <t>%,VR0040</t>
  </si>
  <si>
    <t>CLAIR FELLOWSHIP</t>
  </si>
  <si>
    <t>%,VR0041</t>
  </si>
  <si>
    <t>CLEMENT &amp; CUNNINGHAM</t>
  </si>
  <si>
    <t>%,VR0042</t>
  </si>
  <si>
    <t>ANDY &amp; TONI COCHRAN</t>
  </si>
  <si>
    <t>%,VR0043</t>
  </si>
  <si>
    <t>COLE END SCHP</t>
  </si>
  <si>
    <t>%,VR0046</t>
  </si>
  <si>
    <t>I R COOK MEM SCHP</t>
  </si>
  <si>
    <t>%,VR0047</t>
  </si>
  <si>
    <t>COOKSEY MEM AWD</t>
  </si>
  <si>
    <t>%,VR0048</t>
  </si>
  <si>
    <t>J ROBERT COOK SCHP</t>
  </si>
  <si>
    <t>%,VR0049</t>
  </si>
  <si>
    <t>R L COOPER SCHP</t>
  </si>
  <si>
    <t>%,VR0050</t>
  </si>
  <si>
    <t>COTERIE SCHP</t>
  </si>
  <si>
    <t>%,VR0051</t>
  </si>
  <si>
    <t>COGHILL ENDOW SCHP</t>
  </si>
  <si>
    <t>%,VR0052</t>
  </si>
  <si>
    <t>D G CRECELIUS SCHP</t>
  </si>
  <si>
    <t>%,VR0053</t>
  </si>
  <si>
    <t>CROSS COUNTRY ED SCH</t>
  </si>
  <si>
    <t>%,VR0054</t>
  </si>
  <si>
    <t>JOHN DAILY END SCHP</t>
  </si>
  <si>
    <t>%,VR0055</t>
  </si>
  <si>
    <t>F H DEARING ED SCH</t>
  </si>
  <si>
    <t>%,VR0056</t>
  </si>
  <si>
    <t>F E DENNIE MEM SCH</t>
  </si>
  <si>
    <t>%,VR0058</t>
  </si>
  <si>
    <t>DRESSER END SCHP</t>
  </si>
  <si>
    <t>%,VR0059</t>
  </si>
  <si>
    <t>EASLEY SCHOLARSHIP</t>
  </si>
  <si>
    <t>%,VR0060</t>
  </si>
  <si>
    <t>ECK ENDOWED SCHP</t>
  </si>
  <si>
    <t>%,VR0061</t>
  </si>
  <si>
    <t>ECKHOFF ENDOWED SCHP</t>
  </si>
  <si>
    <t>%,VR0062</t>
  </si>
  <si>
    <t>ECONOMICS ALUM SCHP</t>
  </si>
  <si>
    <t>%,VR0063</t>
  </si>
  <si>
    <t>EDWARDS SCH</t>
  </si>
  <si>
    <t>%,VR0064</t>
  </si>
  <si>
    <t>F S ELFRED SCHP</t>
  </si>
  <si>
    <t>%,VR0065</t>
  </si>
  <si>
    <t>END SCHP FOR MIN ENG</t>
  </si>
  <si>
    <t>%,VR0066</t>
  </si>
  <si>
    <t>EMANUEL MEM SCHP</t>
  </si>
  <si>
    <t>%,VR0067</t>
  </si>
  <si>
    <t>ENGLISH SCHP</t>
  </si>
  <si>
    <t>%,VR0068</t>
  </si>
  <si>
    <t>EPPELSHEIMER SCHP</t>
  </si>
  <si>
    <t>%,VR0069</t>
  </si>
  <si>
    <t>FASER END SCHP</t>
  </si>
  <si>
    <t>%,VR0070</t>
  </si>
  <si>
    <t>THOMAS FAUCETT SCH</t>
  </si>
  <si>
    <t>%,VR0071</t>
  </si>
  <si>
    <t>FCR END RES FELLOW</t>
  </si>
  <si>
    <t>%,VR0072</t>
  </si>
  <si>
    <t>FCR UNDERGRAD RES FE</t>
  </si>
  <si>
    <t>%,VR0073</t>
  </si>
  <si>
    <t>S FEDER MEM SCHP</t>
  </si>
  <si>
    <t>%,VR0074</t>
  </si>
  <si>
    <t>FINDLEY SCHP</t>
  </si>
  <si>
    <t>%,VR0075</t>
  </si>
  <si>
    <t>FINLEY FELLOWSHIP CM</t>
  </si>
  <si>
    <t>%,VR0076</t>
  </si>
  <si>
    <t>FINLEY MINORITY SCHP</t>
  </si>
  <si>
    <t>%,VR0077</t>
  </si>
  <si>
    <t>FINLEY SCHP ELEC ENG</t>
  </si>
  <si>
    <t>%,VR0078</t>
  </si>
  <si>
    <t>J L FLEBBE MEM SCHP</t>
  </si>
  <si>
    <t>%,VR0079</t>
  </si>
  <si>
    <t>FORD/EEOC SCHP</t>
  </si>
  <si>
    <t>%,VR0081</t>
  </si>
  <si>
    <t>FREEMAN END SCHP</t>
  </si>
  <si>
    <t>%,VR0082</t>
  </si>
  <si>
    <t>%,VR0083</t>
  </si>
  <si>
    <t>FULTON SCH A &amp; S</t>
  </si>
  <si>
    <t>%,VR0084</t>
  </si>
  <si>
    <t>GEO ENG ENV SCHP</t>
  </si>
  <si>
    <t>%,VR0086</t>
  </si>
  <si>
    <t>GJELSTEEN END SCHP</t>
  </si>
  <si>
    <t>%,VR0087</t>
  </si>
  <si>
    <t>GIESEKE MEM SCHP</t>
  </si>
  <si>
    <t>%,VR0088</t>
  </si>
  <si>
    <t>A F GOLICK AWD METAL</t>
  </si>
  <si>
    <t>%,VR0089</t>
  </si>
  <si>
    <t>GRAHAM SCHOLARSHIP</t>
  </si>
  <si>
    <t>%,VR0090</t>
  </si>
  <si>
    <t>H H GRICE SCH FUND</t>
  </si>
  <si>
    <t>%,VR0091</t>
  </si>
  <si>
    <t>GRIESENAUER SCHP</t>
  </si>
  <si>
    <t>%,VR0092</t>
  </si>
  <si>
    <t>GRIMM EE SCHP</t>
  </si>
  <si>
    <t>%,VR0093</t>
  </si>
  <si>
    <t>C J GRIMM SCHP</t>
  </si>
  <si>
    <t>%,VR0094</t>
  </si>
  <si>
    <t>GUNTHER END SCHOL</t>
  </si>
  <si>
    <t>%,VR0096</t>
  </si>
  <si>
    <t>HAMBLEN COMPUTER SCH</t>
  </si>
  <si>
    <t>%,VR0098</t>
  </si>
  <si>
    <t>HEILBRUNN SCHP</t>
  </si>
  <si>
    <t>%,VR0099</t>
  </si>
  <si>
    <t>ALBERT HAPPY SCHP</t>
  </si>
  <si>
    <t>%,VR0100</t>
  </si>
  <si>
    <t>HENDERSON ENDOWED</t>
  </si>
  <si>
    <t>%,VR0101</t>
  </si>
  <si>
    <t>HELWIG ENDOWED SCHP</t>
  </si>
  <si>
    <t>%,VR0103</t>
  </si>
  <si>
    <t>HERRMAN PERF ARTS AW</t>
  </si>
  <si>
    <t>%,VR0105</t>
  </si>
  <si>
    <t>HEIM SCHP FUND</t>
  </si>
  <si>
    <t>%,VR0106</t>
  </si>
  <si>
    <t>PAT HELL END SCHP</t>
  </si>
  <si>
    <t>%,VR0107</t>
  </si>
  <si>
    <t>HIGHFILL ENDOW SCHP</t>
  </si>
  <si>
    <t>%,VR0109</t>
  </si>
  <si>
    <t>HOPPOCK ATHLETIC SCH</t>
  </si>
  <si>
    <t>%,VR0110</t>
  </si>
  <si>
    <t>HORNER &amp; SHIFRIN SCH</t>
  </si>
  <si>
    <t>%,VR0111</t>
  </si>
  <si>
    <t>HOWERTON SCHP</t>
  </si>
  <si>
    <t>%,VR0112</t>
  </si>
  <si>
    <t>JENKS ENDOWED SCHP</t>
  </si>
  <si>
    <t>%,VR0113</t>
  </si>
  <si>
    <t>ROBERT JENKINS SCHP</t>
  </si>
  <si>
    <t>%,VR0114</t>
  </si>
  <si>
    <t>JOHNS ENDOWED SCHP</t>
  </si>
  <si>
    <t>%,VR0116</t>
  </si>
  <si>
    <t>JAMES JOHNSON SCHP</t>
  </si>
  <si>
    <t>%,VR0117</t>
  </si>
  <si>
    <t>KRUEGER ATH SCHP</t>
  </si>
  <si>
    <t>%,VR0118</t>
  </si>
  <si>
    <t>JAMIESON ENDOW SCHP</t>
  </si>
  <si>
    <t>%,VR0119</t>
  </si>
  <si>
    <t>JONES ENDOWED PROF</t>
  </si>
  <si>
    <t>%,VR0120</t>
  </si>
  <si>
    <t>KAISER SCH-MECH ENGR</t>
  </si>
  <si>
    <t>%,VR0121</t>
  </si>
  <si>
    <t>HIGHFILL SCHP</t>
  </si>
  <si>
    <t>%,VR0122</t>
  </si>
  <si>
    <t>M J KELLY SCHP</t>
  </si>
  <si>
    <t>%,VR0123</t>
  </si>
  <si>
    <t>KITCHEN ATHLETIC SHP</t>
  </si>
  <si>
    <t>%,VR0124</t>
  </si>
  <si>
    <t>MARTIN LUTHER KING</t>
  </si>
  <si>
    <t>%,VR0125</t>
  </si>
  <si>
    <t>KRAUS MEM SCHP</t>
  </si>
  <si>
    <t>%,VR0126</t>
  </si>
  <si>
    <t>HARLEY LADD SCHP</t>
  </si>
  <si>
    <t>%,VR0127</t>
  </si>
  <si>
    <t>LANG FAMILY SCHP</t>
  </si>
  <si>
    <t>%,VR0128</t>
  </si>
  <si>
    <t>LARKIN MEMORIAL SCH</t>
  </si>
  <si>
    <t>%,VR0129</t>
  </si>
  <si>
    <t>LASKO ENDOWED SCHP</t>
  </si>
  <si>
    <t>%,VR0130</t>
  </si>
  <si>
    <t>M B LAYNE SCHP</t>
  </si>
  <si>
    <t>%,VR0131</t>
  </si>
  <si>
    <t>LEAVER ENDOWED SCHP</t>
  </si>
  <si>
    <t>%,VR0132</t>
  </si>
  <si>
    <t>LOVETT EE SCHP</t>
  </si>
  <si>
    <t>%,VR0133</t>
  </si>
  <si>
    <t>F &amp; J LYONS END SCHP</t>
  </si>
  <si>
    <t>%,VR0134</t>
  </si>
  <si>
    <t>F M MACKLIN MEM FD</t>
  </si>
  <si>
    <t>%,VR0135</t>
  </si>
  <si>
    <t>MARCHELLO SCHP</t>
  </si>
  <si>
    <t>%,VR0138</t>
  </si>
  <si>
    <t>MCNABB END SCHP</t>
  </si>
  <si>
    <t>%,VR0139</t>
  </si>
  <si>
    <t>MAX MCCRORY SCHP</t>
  </si>
  <si>
    <t>%,VR0140</t>
  </si>
  <si>
    <t>HASSELMANN SCHP FD</t>
  </si>
  <si>
    <t>%,VR0141</t>
  </si>
  <si>
    <t>MCKEE SCHP</t>
  </si>
  <si>
    <t>%,VR0143</t>
  </si>
  <si>
    <t>MENTZ SCHP</t>
  </si>
  <si>
    <t>%,VR0144</t>
  </si>
  <si>
    <t>METAL ENGR ALUM SCHP</t>
  </si>
  <si>
    <t>%,VR0145</t>
  </si>
  <si>
    <t>MYERS ENDOWED SCHP</t>
  </si>
  <si>
    <t>%,VR0146</t>
  </si>
  <si>
    <t>A J MILES MEM SCHP</t>
  </si>
  <si>
    <t>%,VR0147</t>
  </si>
  <si>
    <t>B MILLER MEM SCHP</t>
  </si>
  <si>
    <t>%,VR0148</t>
  </si>
  <si>
    <t>MONSANTO TBP AWARD</t>
  </si>
  <si>
    <t>%,VR0149</t>
  </si>
  <si>
    <t>MONTGOMERY SCHP</t>
  </si>
  <si>
    <t>%,VR0150</t>
  </si>
  <si>
    <t>MORGAN SCHP</t>
  </si>
  <si>
    <t>%,VR0151</t>
  </si>
  <si>
    <t>MORGAN AND GEOLOGY</t>
  </si>
  <si>
    <t>%,VR0152</t>
  </si>
  <si>
    <t>MURPHY COMPANY SCHOL</t>
  </si>
  <si>
    <t>%,VR0153</t>
  </si>
  <si>
    <t>NAU SCHOLARSHIP</t>
  </si>
  <si>
    <t>%,VR0154</t>
  </si>
  <si>
    <t>E R NEEDLES SCH-C E</t>
  </si>
  <si>
    <t>%,VR0155</t>
  </si>
  <si>
    <t>E R NEEDLES SPEECH</t>
  </si>
  <si>
    <t>%,VR0156</t>
  </si>
  <si>
    <t>NEVINS END SCHP</t>
  </si>
  <si>
    <t>%,VR0157</t>
  </si>
  <si>
    <t>NEVINS SCHP MET ENGR</t>
  </si>
  <si>
    <t>%,VR0158</t>
  </si>
  <si>
    <t>NICODEMUS ACAD ATH</t>
  </si>
  <si>
    <t>%,VR0159</t>
  </si>
  <si>
    <t>OWSLEY SCHP FUND</t>
  </si>
  <si>
    <t>%,VR0160</t>
  </si>
  <si>
    <t>OMURTAG/BALLARD SCH</t>
  </si>
  <si>
    <t>%,VR0162</t>
  </si>
  <si>
    <t>WJ &amp; PW NOLTE SCHP</t>
  </si>
  <si>
    <t>%,VR0163</t>
  </si>
  <si>
    <t>PALMER MEM SCHP</t>
  </si>
  <si>
    <t>%,VR0164</t>
  </si>
  <si>
    <t>PARSONS SCHP</t>
  </si>
  <si>
    <t>%,VR0165</t>
  </si>
  <si>
    <t>LEWIS PAYNE SCHP</t>
  </si>
  <si>
    <t>%,VR0166</t>
  </si>
  <si>
    <t>HG PETERSON SCH FUND</t>
  </si>
  <si>
    <t>%,VR0167</t>
  </si>
  <si>
    <t>PHELPS CO-CITY PANHL</t>
  </si>
  <si>
    <t>%,VR0168</t>
  </si>
  <si>
    <t>P H PIETSCH MEM SCH</t>
  </si>
  <si>
    <t>%,VR0169</t>
  </si>
  <si>
    <t>PINZKE MEM SCHP</t>
  </si>
  <si>
    <t>%,VR0170</t>
  </si>
  <si>
    <t>POGUE END SCHP</t>
  </si>
  <si>
    <t>%,VR0171</t>
  </si>
  <si>
    <t>POLLARD SCHP</t>
  </si>
  <si>
    <t>%,VR0172</t>
  </si>
  <si>
    <t>PORCHEY ENDOW SCHP</t>
  </si>
  <si>
    <t>%,VR0173</t>
  </si>
  <si>
    <t>PREWETT ENDOWED SCHP</t>
  </si>
  <si>
    <t>%,VR0174</t>
  </si>
  <si>
    <t>RADCLIFFE GEO SCHP</t>
  </si>
  <si>
    <t>%,VR0175</t>
  </si>
  <si>
    <t>J A REDDING SCHP</t>
  </si>
  <si>
    <t>%,VR0176</t>
  </si>
  <si>
    <t>T H REESE JR MEM</t>
  </si>
  <si>
    <t>%,VR0177</t>
  </si>
  <si>
    <t>AGNES REMINGTON SCH</t>
  </si>
  <si>
    <t>%,VR0178</t>
  </si>
  <si>
    <t>REMINGTON SCHP</t>
  </si>
  <si>
    <t>%,VR0179</t>
  </si>
  <si>
    <t>RIGGS ENDOWED SCHP</t>
  </si>
  <si>
    <t>%,VR0180</t>
  </si>
  <si>
    <t>ROBERTS CIVIL ENG</t>
  </si>
  <si>
    <t>%,VR0181</t>
  </si>
  <si>
    <t>ROTHBAND MEMORIAL</t>
  </si>
  <si>
    <t>%,VR0182</t>
  </si>
  <si>
    <t>BR SARCHET SCHP FUND</t>
  </si>
  <si>
    <t>%,VR0183</t>
  </si>
  <si>
    <t>SAUER SCHOLARSHIP</t>
  </si>
  <si>
    <t>%,VR0184</t>
  </si>
  <si>
    <t>SCHAFER ENDOW SCHP</t>
  </si>
  <si>
    <t>%,VR0185</t>
  </si>
  <si>
    <t>LAIRD SCHEARER FUND</t>
  </si>
  <si>
    <t>%,VR0186</t>
  </si>
  <si>
    <t>SCHOENTHALER SCHOLAR</t>
  </si>
  <si>
    <t>%,VR0188</t>
  </si>
  <si>
    <t>SENNE CIVIL ENG</t>
  </si>
  <si>
    <t>%,VR0189</t>
  </si>
  <si>
    <t>L T SICKA SCHOLARSHP</t>
  </si>
  <si>
    <t>%,VR0191</t>
  </si>
  <si>
    <t>SOWERS ENDOWED SCHP</t>
  </si>
  <si>
    <t>%,VR0192</t>
  </si>
  <si>
    <t>SMITH ENDOWED SCHP</t>
  </si>
  <si>
    <t>%,VR0193</t>
  </si>
  <si>
    <t>SNELSON SCHOLARSHIP</t>
  </si>
  <si>
    <t>%,VR0194</t>
  </si>
  <si>
    <t>SOULT MEM SCHP</t>
  </si>
  <si>
    <t>%,VR0195</t>
  </si>
  <si>
    <t>SPOKES END SCHP</t>
  </si>
  <si>
    <t>%,VR0196</t>
  </si>
  <si>
    <t>STL COAL CLUB SCHP</t>
  </si>
  <si>
    <t>%,VR0197</t>
  </si>
  <si>
    <t>STEVENS ENDOW SCHP</t>
  </si>
  <si>
    <t>%,VR0198</t>
  </si>
  <si>
    <t>STEWART-FRAIZER SCHP</t>
  </si>
  <si>
    <t>%,VR0199</t>
  </si>
  <si>
    <t>STOCKETT SCHOLARSHIP</t>
  </si>
  <si>
    <t>%,VR0200</t>
  </si>
  <si>
    <t>STONE ENDOWED SCHP</t>
  </si>
  <si>
    <t>%,VR0201</t>
  </si>
  <si>
    <t>B B STRANG MEMORIAL</t>
  </si>
  <si>
    <t>%,VR0202</t>
  </si>
  <si>
    <t>M R STRUNK SCH</t>
  </si>
  <si>
    <t>%,VR0203</t>
  </si>
  <si>
    <t>STUECK SCHP CIVIL EN</t>
  </si>
  <si>
    <t>%,VR0204</t>
  </si>
  <si>
    <t>STOFFER SCHP CHEM</t>
  </si>
  <si>
    <t>%,VR0205</t>
  </si>
  <si>
    <t>JH SUBOW MEM</t>
  </si>
  <si>
    <t>%,VR0206</t>
  </si>
  <si>
    <t>TAYLOR SCHOLARSHIP</t>
  </si>
  <si>
    <t>%,VR0208</t>
  </si>
  <si>
    <t>TODD MEM SCHP</t>
  </si>
  <si>
    <t>%,VR0210</t>
  </si>
  <si>
    <t>UNSELL MEM SCHP</t>
  </si>
  <si>
    <t>%,VR0211</t>
  </si>
  <si>
    <t>VALERIUS SCHP</t>
  </si>
  <si>
    <t>%,VR0212</t>
  </si>
  <si>
    <t>VAN NOSTRAND SCH</t>
  </si>
  <si>
    <t>%,VR0213</t>
  </si>
  <si>
    <t>VICKERS ATH SCH</t>
  </si>
  <si>
    <t>%,VR0214</t>
  </si>
  <si>
    <t>VITEK FELLOWSHIP</t>
  </si>
  <si>
    <t>%,VR0215</t>
  </si>
  <si>
    <t>VOGT ENDOWED FUND</t>
  </si>
  <si>
    <t>%,VR0216</t>
  </si>
  <si>
    <t>HAM WEBB END SCH FD</t>
  </si>
  <si>
    <t>%,VR0217</t>
  </si>
  <si>
    <t>BUD WEISER MEM SCHP</t>
  </si>
  <si>
    <t>%,VR0219</t>
  </si>
  <si>
    <t>WEINER SCHP PLA</t>
  </si>
  <si>
    <t>%,VR0220</t>
  </si>
  <si>
    <t>WEST CHAP PROF ENG</t>
  </si>
  <si>
    <t>%,VR0221</t>
  </si>
  <si>
    <t>CLARK WILSON SCHP</t>
  </si>
  <si>
    <t>%,VR0222</t>
  </si>
  <si>
    <t>WEINER ENDOW PSYCH</t>
  </si>
  <si>
    <t>%,VR0223</t>
  </si>
  <si>
    <t>WEINER ENDOW ECON</t>
  </si>
  <si>
    <t>%,VR0224</t>
  </si>
  <si>
    <t>WEINER ENDOW HISTORY</t>
  </si>
  <si>
    <t>%,VR0225</t>
  </si>
  <si>
    <t>WITT MINE SAFETY SCH</t>
  </si>
  <si>
    <t>%,VR0226</t>
  </si>
  <si>
    <t>WEINER ENDOW ENGLISH</t>
  </si>
  <si>
    <t>%,VR0227</t>
  </si>
  <si>
    <t>WEINER ENDW MGMT SYS</t>
  </si>
  <si>
    <t>%,VR0228</t>
  </si>
  <si>
    <t>WEINER INTERNATIONAL</t>
  </si>
  <si>
    <t>%,VR0229</t>
  </si>
  <si>
    <t>L E WOODMAN MEM SCHP</t>
  </si>
  <si>
    <t>%,VR0230</t>
  </si>
  <si>
    <t>WYATT SCHP</t>
  </si>
  <si>
    <t>%,VR0231</t>
  </si>
  <si>
    <t>WISHERD ENDOW SCHP</t>
  </si>
  <si>
    <t>%,VR0232</t>
  </si>
  <si>
    <t>THOMPSON D SCHOLAR</t>
  </si>
  <si>
    <t>%,VR0233</t>
  </si>
  <si>
    <t>L E YOUNG SCHP</t>
  </si>
  <si>
    <t>%,VR0234</t>
  </si>
  <si>
    <t>MARVIN ZEID SCHP</t>
  </si>
  <si>
    <t>%,VR0235</t>
  </si>
  <si>
    <t>HAYDON ENDOWED SCHOL</t>
  </si>
  <si>
    <t>%,VR0236</t>
  </si>
  <si>
    <t>ACADEMY CHEMICAL ENG</t>
  </si>
  <si>
    <t>%,VR0240</t>
  </si>
  <si>
    <t>BAILEY MISSOURI PROF</t>
  </si>
  <si>
    <t>%,VR0242</t>
  </si>
  <si>
    <t>FRANK APPLEYARD END</t>
  </si>
  <si>
    <t>%,VR0243</t>
  </si>
  <si>
    <t>C E ALUMNI ASSISTANT</t>
  </si>
  <si>
    <t>%,VR0246</t>
  </si>
  <si>
    <t>CLASS OF 1937 FAC EX</t>
  </si>
  <si>
    <t>%,VR0248</t>
  </si>
  <si>
    <t>DAILY MGMT OF TECH</t>
  </si>
  <si>
    <t>%,VR0251</t>
  </si>
  <si>
    <t>ORDER GOLDEN END</t>
  </si>
  <si>
    <t>%,VR0252</t>
  </si>
  <si>
    <t>DAKE-BROWN LIBR ACQ</t>
  </si>
  <si>
    <t>%,VR0256</t>
  </si>
  <si>
    <t>ENG MGMT END ST EXCL</t>
  </si>
  <si>
    <t>%,VR0257</t>
  </si>
  <si>
    <t>ELECT COMP LAB END</t>
  </si>
  <si>
    <t>%,VR0258</t>
  </si>
  <si>
    <t>FACULTY EXCELLENCE</t>
  </si>
  <si>
    <t>%,VR0259</t>
  </si>
  <si>
    <t>FCR MO PROF CHEMISTR</t>
  </si>
  <si>
    <t>%,VR0260</t>
  </si>
  <si>
    <t>FCR ENDOWED EQUP</t>
  </si>
  <si>
    <t>%,VR0261</t>
  </si>
  <si>
    <t>FICK END MINES &amp; MET</t>
  </si>
  <si>
    <t>%,VR0262</t>
  </si>
  <si>
    <t>FINLEY FACULTY ENH</t>
  </si>
  <si>
    <t>%,VR0263</t>
  </si>
  <si>
    <t>FINLEY PROF ELEC ENG</t>
  </si>
  <si>
    <t>%,VR0264</t>
  </si>
  <si>
    <t>FINLEY MO PROF</t>
  </si>
  <si>
    <t>%,VR0265</t>
  </si>
  <si>
    <t>GULF OIL FDN PROF</t>
  </si>
  <si>
    <t>%,VR0267</t>
  </si>
  <si>
    <t>HALLETT FUND</t>
  </si>
  <si>
    <t>%,VR0269</t>
  </si>
  <si>
    <t>HASSELMANN ENDOWMENT</t>
  </si>
  <si>
    <t>%,VR0270</t>
  </si>
  <si>
    <t>HASSELMANN PROF</t>
  </si>
  <si>
    <t>%,VR0271</t>
  </si>
  <si>
    <t>INGRAM LECTURES</t>
  </si>
  <si>
    <t>%,VR0272</t>
  </si>
  <si>
    <t>HOLMES ENDOWED FUND</t>
  </si>
  <si>
    <t>%,VR0273</t>
  </si>
  <si>
    <t>HORST ENDOWED FUND</t>
  </si>
  <si>
    <t>%,VR0274</t>
  </si>
  <si>
    <t>HEILSCHER ENDOWED FD</t>
  </si>
  <si>
    <t>%,VR0279</t>
  </si>
  <si>
    <t>KUMR ENDOW FUND</t>
  </si>
  <si>
    <t>%,VR0282</t>
  </si>
  <si>
    <t>MOELLER BRO ENDOW</t>
  </si>
  <si>
    <t>%,VR0283</t>
  </si>
  <si>
    <t>OMURTAG ENGR END FND</t>
  </si>
  <si>
    <t>%,VR0285</t>
  </si>
  <si>
    <t>REMMERS SPEC LEC ART</t>
  </si>
  <si>
    <t>%,VR0286</t>
  </si>
  <si>
    <t>JACKLING MIN IND FD</t>
  </si>
  <si>
    <t>%,VR0288</t>
  </si>
  <si>
    <t>MATHES PROF CIVIL EN</t>
  </si>
  <si>
    <t>%,VR0289</t>
  </si>
  <si>
    <t>MATTHEWS CANCER RES</t>
  </si>
  <si>
    <t>%,VR0291</t>
  </si>
  <si>
    <t>RUTLEDGE PROF</t>
  </si>
  <si>
    <t>%,VR0293</t>
  </si>
  <si>
    <t>MO SOYBEAN RES PROF</t>
  </si>
  <si>
    <t>%,VR0294</t>
  </si>
  <si>
    <t>SCHLUMBERGER PROF</t>
  </si>
  <si>
    <t>%,VR0296</t>
  </si>
  <si>
    <t>SCOTT-MORRIS AWARD</t>
  </si>
  <si>
    <t>%,VR0297</t>
  </si>
  <si>
    <t>SENNE FACULTY ACHIEV</t>
  </si>
  <si>
    <t>%,VR0298</t>
  </si>
  <si>
    <t>SHALLER END FUND</t>
  </si>
  <si>
    <t>%,VR0299</t>
  </si>
  <si>
    <t>SPHAR ENDOW MINING</t>
  </si>
  <si>
    <t>%,VR0300</t>
  </si>
  <si>
    <t>QUENON MO PROFESSOR</t>
  </si>
  <si>
    <t>%,VR0301</t>
  </si>
  <si>
    <t>TANG MO PROF COMP EN</t>
  </si>
  <si>
    <t>%,VR0302</t>
  </si>
  <si>
    <t>TAPPMEYER ENDOW</t>
  </si>
  <si>
    <t>%,VR0304</t>
  </si>
  <si>
    <t>UMR BAND FUND</t>
  </si>
  <si>
    <t>%,VR0311</t>
  </si>
  <si>
    <t>WEINER MO PROF</t>
  </si>
  <si>
    <t>%,VR0313</t>
  </si>
  <si>
    <t>WILKENS MO PROFESSHP</t>
  </si>
  <si>
    <t>%,VR0314</t>
  </si>
  <si>
    <t>UN PAC/ROCKY MTN PRF</t>
  </si>
  <si>
    <t>%,VR0315</t>
  </si>
  <si>
    <t>WEINER DEV PSYCH</t>
  </si>
  <si>
    <t>%,VR0316</t>
  </si>
  <si>
    <t>WEINER END MGMT SYTM</t>
  </si>
  <si>
    <t>%,VR0317</t>
  </si>
  <si>
    <t>WEINER END ENGLISH</t>
  </si>
  <si>
    <t>%,VR0318</t>
  </si>
  <si>
    <t>WEINER END ECONOMICS</t>
  </si>
  <si>
    <t>%,VR0319</t>
  </si>
  <si>
    <t>WEINER END HISTORY</t>
  </si>
  <si>
    <t>%,VR0320</t>
  </si>
  <si>
    <t>WEINER END P L A</t>
  </si>
  <si>
    <t>%,VR0321</t>
  </si>
  <si>
    <t>WEINER END ARTS/SCI</t>
  </si>
  <si>
    <t>%,VR0322</t>
  </si>
  <si>
    <t>WEINER ENDOW PERFORM</t>
  </si>
  <si>
    <t>%,VR0323</t>
  </si>
  <si>
    <t>WEINER FD LEACH THEA</t>
  </si>
  <si>
    <t>%,VR0324</t>
  </si>
  <si>
    <t>WEINER KUMR END FUND</t>
  </si>
  <si>
    <t>%,VR0325</t>
  </si>
  <si>
    <t>WEINER FUND WRITING</t>
  </si>
  <si>
    <t>%,VR0327</t>
  </si>
  <si>
    <t>Accenture Scholarship Fund</t>
  </si>
  <si>
    <t>%,VR0328</t>
  </si>
  <si>
    <t>BAILEY ENDOWED SCHP</t>
  </si>
  <si>
    <t>%,VR0329</t>
  </si>
  <si>
    <t>BARNETT ENDOW CHEM</t>
  </si>
  <si>
    <t>%,VR0332</t>
  </si>
  <si>
    <t>DAVIES FAMILY SCHP</t>
  </si>
  <si>
    <t>%,VR0336</t>
  </si>
  <si>
    <t>EVENSON MEMORIAL FD</t>
  </si>
  <si>
    <t>%,VR0337</t>
  </si>
  <si>
    <t>FOURNELLE SCHP MET</t>
  </si>
  <si>
    <t>%,VR0343</t>
  </si>
  <si>
    <t>LASKO ATHLETIC FUND</t>
  </si>
  <si>
    <t>%,VR0344</t>
  </si>
  <si>
    <t>LEGSDIN ENGLISH SCHP</t>
  </si>
  <si>
    <t>%,VR0345</t>
  </si>
  <si>
    <t>LEGSDIN ECONOMICS SP</t>
  </si>
  <si>
    <t>%,VR0346</t>
  </si>
  <si>
    <t>NELSON EE FUND</t>
  </si>
  <si>
    <t>%,VR0348</t>
  </si>
  <si>
    <t>PARKER END SCHP</t>
  </si>
  <si>
    <t>%,VR0349</t>
  </si>
  <si>
    <t>PROFESHIP ENGR MGNT</t>
  </si>
  <si>
    <t>%,VR0351</t>
  </si>
  <si>
    <t>SCOTT MEMORIAL FLSHP</t>
  </si>
  <si>
    <t>%,VR0352</t>
  </si>
  <si>
    <t>SNOWDEN ENGR SCHP</t>
  </si>
  <si>
    <t>%,VR0353</t>
  </si>
  <si>
    <t>STUECK CIVIL ENDOW</t>
  </si>
  <si>
    <t>%,VR0354</t>
  </si>
  <si>
    <t>STUECK CORNELIUS END</t>
  </si>
  <si>
    <t>%,VR0355</t>
  </si>
  <si>
    <t>SUMMERS ED FUND</t>
  </si>
  <si>
    <t>%,VR0356</t>
  </si>
  <si>
    <t>UNSELL SCHP CIVIL</t>
  </si>
  <si>
    <t>%,VR0357</t>
  </si>
  <si>
    <t>WARNER MIN ENGR SCHP</t>
  </si>
  <si>
    <t>%,VR0358</t>
  </si>
  <si>
    <t>WIDMER SOFTWARE SCHP</t>
  </si>
  <si>
    <t>%,VR0359</t>
  </si>
  <si>
    <t>WOLF PROFESSORSHIP</t>
  </si>
  <si>
    <t>%,VR0386</t>
  </si>
  <si>
    <t>DOUGLAS END SCHP</t>
  </si>
  <si>
    <t>%,VR0387</t>
  </si>
  <si>
    <t>GARVEY MET SCHP</t>
  </si>
  <si>
    <t>%,VR0388</t>
  </si>
  <si>
    <t>KOCH ENDOWED SCHP</t>
  </si>
  <si>
    <t>%,VR0389</t>
  </si>
  <si>
    <t>PRIESTER SCHP</t>
  </si>
  <si>
    <t>%,VR0390</t>
  </si>
  <si>
    <t>Seminary - A &amp; M</t>
  </si>
  <si>
    <t>%,VR0391</t>
  </si>
  <si>
    <t>Seminary - Endowment General</t>
  </si>
  <si>
    <t>%,VR0392</t>
  </si>
  <si>
    <t>PORTH DIST LECTURE</t>
  </si>
  <si>
    <t>%,VR0394</t>
  </si>
  <si>
    <t>DEUTCH ENDWD FUND</t>
  </si>
  <si>
    <t>%,VR0395</t>
  </si>
  <si>
    <t>MODESITT SCHP FUND</t>
  </si>
  <si>
    <t>%,VR0397</t>
  </si>
  <si>
    <t>VOLK ENDOWED SCHP</t>
  </si>
  <si>
    <t>%,VR0401</t>
  </si>
  <si>
    <t>CENTER STAGE CLUB FD</t>
  </si>
  <si>
    <t>%,VR0402</t>
  </si>
  <si>
    <t>HART SCHOLARSHIP</t>
  </si>
  <si>
    <t>%,VR0403</t>
  </si>
  <si>
    <t>SCHMIDT ENDOWED SCHP</t>
  </si>
  <si>
    <t>%,VR0416</t>
  </si>
  <si>
    <t>JOHN W CLAYPOOL FD MEDICAL RES</t>
  </si>
  <si>
    <t>%,VR0417</t>
  </si>
  <si>
    <t>FORSEE FAMILY ENGR FACULTY FD</t>
  </si>
  <si>
    <t>Vehicle Maint &amp; Repair Non-Cap</t>
  </si>
  <si>
    <t>789050</t>
  </si>
  <si>
    <t>%,V789100</t>
  </si>
  <si>
    <t>M &amp; R Pat Care Equip - Non Cap</t>
  </si>
  <si>
    <t>789100</t>
  </si>
  <si>
    <t>%,V789110</t>
  </si>
  <si>
    <t>Radiology Equip M&amp;R Non Cap</t>
  </si>
  <si>
    <t>789110</t>
  </si>
  <si>
    <t>%,V789200</t>
  </si>
  <si>
    <t>R/MElectr Non-Pat Care Equip</t>
  </si>
  <si>
    <t>789200</t>
  </si>
  <si>
    <t>%,V789300</t>
  </si>
  <si>
    <t>Vendor Serv Contracts Non Cap</t>
  </si>
  <si>
    <t>789300</t>
  </si>
  <si>
    <t>%,V789400</t>
  </si>
  <si>
    <t>Non-Contracted Service</t>
  </si>
  <si>
    <t>789400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</si>
  <si>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</si>
  <si>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</si>
  <si>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</si>
  <si>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</si>
  <si>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</si>
  <si>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</si>
  <si>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%,V791000</t>
  </si>
  <si>
    <t>Landscape &amp; Grnds M&amp;R-Non Cap</t>
  </si>
  <si>
    <t>791000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</si>
  <si>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</si>
  <si>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</si>
  <si>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</si>
  <si>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</si>
  <si>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</si>
  <si>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</si>
  <si>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</si>
  <si>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</si>
  <si>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</si>
  <si>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</si>
  <si>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</si>
  <si>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</si>
  <si>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%,V797500</t>
  </si>
  <si>
    <t>Utility dist-non capital</t>
  </si>
  <si>
    <t>797500</t>
  </si>
  <si>
    <t>%,V800001</t>
  </si>
  <si>
    <t>Utilities-university generated</t>
  </si>
  <si>
    <t>800001</t>
  </si>
  <si>
    <t>%,V810001</t>
  </si>
  <si>
    <t>Utilities-outside vendor</t>
  </si>
  <si>
    <t>810001</t>
  </si>
  <si>
    <t>%,V810100</t>
  </si>
  <si>
    <t>Vendor electricity</t>
  </si>
  <si>
    <t>810100</t>
  </si>
  <si>
    <t>%,V810200</t>
  </si>
  <si>
    <t>Vendor water</t>
  </si>
  <si>
    <t>810200</t>
  </si>
  <si>
    <t>%,V810300</t>
  </si>
  <si>
    <t>Vendor sewer</t>
  </si>
  <si>
    <t>810300</t>
  </si>
  <si>
    <t>%,V810400</t>
  </si>
  <si>
    <t>Vendor propane gas</t>
  </si>
  <si>
    <t>810400</t>
  </si>
  <si>
    <t>%,V810500</t>
  </si>
  <si>
    <t>Vendor natural gas</t>
  </si>
  <si>
    <t>810500</t>
  </si>
  <si>
    <t>%,V810800</t>
  </si>
  <si>
    <t>Vendor - Cable TV Services</t>
  </si>
  <si>
    <t>810800</t>
  </si>
  <si>
    <t>%,V822100</t>
  </si>
  <si>
    <t>Gain/Loss on Disposal-Surplus</t>
  </si>
  <si>
    <t>822100</t>
  </si>
  <si>
    <t>%,V863100</t>
  </si>
  <si>
    <t>Full costing</t>
  </si>
  <si>
    <t>863100</t>
  </si>
  <si>
    <t>%,V863200</t>
  </si>
  <si>
    <t>Full costing (capital pool)</t>
  </si>
  <si>
    <t>863200</t>
  </si>
  <si>
    <t>%,FACCOUNT,TGASB_34_35,X,NAUX &amp; EDUC ACTIV,NOTHER DEPT OPERATING,NPROFESSIONAL &amp; CONSU,NSUPPLY_NONCAP ASSET,NUTILITIES,NINVESTMENT IN PLANT,NSELF INSURANCE BENE</t>
  </si>
  <si>
    <t>%,V764000</t>
  </si>
  <si>
    <t>GASB35 Scholar&amp;Fellow Primary</t>
  </si>
  <si>
    <t>764000</t>
  </si>
  <si>
    <t>%,FACCOUNT,TGASB_34_35,X,NSCHOLAR &amp; FELLOW</t>
  </si>
  <si>
    <t>%,V770000</t>
  </si>
  <si>
    <t>Equipment &gt; $5,000</t>
  </si>
  <si>
    <t>770000</t>
  </si>
  <si>
    <t>%,V777100</t>
  </si>
  <si>
    <t>Computers - Capital</t>
  </si>
  <si>
    <t>777100</t>
  </si>
  <si>
    <t>%,V777300</t>
  </si>
  <si>
    <t>Office Equipment - Capital</t>
  </si>
  <si>
    <t>777300</t>
  </si>
  <si>
    <t>%,V777400</t>
  </si>
  <si>
    <t>Other Equipment - Capital</t>
  </si>
  <si>
    <t>777400</t>
  </si>
  <si>
    <t>%,V777600</t>
  </si>
  <si>
    <t>Laboratory - Capital</t>
  </si>
  <si>
    <t>777600</t>
  </si>
  <si>
    <t>%,V777800</t>
  </si>
  <si>
    <t>Vehicles - Capital</t>
  </si>
  <si>
    <t>777800</t>
  </si>
  <si>
    <t>%,V788100</t>
  </si>
  <si>
    <t>Library Acquisition-Capital</t>
  </si>
  <si>
    <t>788100</t>
  </si>
  <si>
    <t>%,V793000</t>
  </si>
  <si>
    <t>Landscape/Grounds capital</t>
  </si>
  <si>
    <t>793000</t>
  </si>
  <si>
    <t>%,V796500</t>
  </si>
  <si>
    <t>Bldg reno/rehab capital</t>
  </si>
  <si>
    <t>796500</t>
  </si>
  <si>
    <t>%,V797000</t>
  </si>
  <si>
    <t>Bldg repair - capital</t>
  </si>
  <si>
    <t>797000</t>
  </si>
  <si>
    <t>%,V798000</t>
  </si>
  <si>
    <t>Utility dist-capital</t>
  </si>
  <si>
    <t>798000</t>
  </si>
  <si>
    <t>%,V799000</t>
  </si>
  <si>
    <t>New construction proj-building</t>
  </si>
  <si>
    <t>799000</t>
  </si>
  <si>
    <t>%,V799500</t>
  </si>
  <si>
    <t>Other capital improvements</t>
  </si>
  <si>
    <t>799500</t>
  </si>
  <si>
    <t>%,FACCOUNT,TGASB_34_35,X,NCAPITAL ASSETS,NCAPITAL OFFSET</t>
  </si>
  <si>
    <t>Capital Expense</t>
  </si>
  <si>
    <t>%,FACCOUNT,TGASB_34_35,X,NDEPR</t>
  </si>
  <si>
    <t xml:space="preserve">Operating Income (Loss) before State Appropriations </t>
  </si>
  <si>
    <t xml:space="preserve">    and Nonoperating Revenues (Expenses) and Transfers</t>
  </si>
  <si>
    <t>%,R,FACCOUNT,TGASB_34_35,NSTATE APPROPS</t>
  </si>
  <si>
    <t xml:space="preserve">Operating Income (Loss) after State Appropriations, </t>
  </si>
  <si>
    <t xml:space="preserve">    before Nonoperating Revenues (Expenses) and Transfers</t>
  </si>
  <si>
    <t>Nonoperating Revenues (Expenses) and Transfers:</t>
  </si>
  <si>
    <t>%,R,FACCOUNT,TGASB_34_35,X,NFEDERAL APPROPS</t>
  </si>
  <si>
    <t>%,V470000</t>
  </si>
  <si>
    <t>Endowment income</t>
  </si>
  <si>
    <t>470000</t>
  </si>
  <si>
    <t>%,V470500</t>
  </si>
  <si>
    <t>Endowment income -sep invested</t>
  </si>
  <si>
    <t>470500</t>
  </si>
  <si>
    <t>%,V470600</t>
  </si>
  <si>
    <t>Endow Income-Spec Instructions</t>
  </si>
  <si>
    <t>470600</t>
  </si>
  <si>
    <t>%,V475000</t>
  </si>
  <si>
    <t>Investment income</t>
  </si>
  <si>
    <t>475000</t>
  </si>
  <si>
    <t>%,V475600</t>
  </si>
  <si>
    <t>Real gain(loss)-sale of invest</t>
  </si>
  <si>
    <t>475600</t>
  </si>
  <si>
    <t>%,R,FACCOUNT,TGASB_34_35,X,NINVEST &amp; ENDOW INC</t>
  </si>
  <si>
    <t>Investment and Endowment Income</t>
  </si>
  <si>
    <t>%,R,FACCOUNT,TGASB_34_35,NGIFTS</t>
  </si>
  <si>
    <t>%,R,FACCOUNT,TGASB_34_35,X,NINTEREST CAP DEBT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</si>
  <si>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</si>
  <si>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</si>
  <si>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</si>
  <si>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</si>
  <si>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 xml:space="preserve">    Net Nonoperating Revenues (Expenses) before </t>
  </si>
  <si>
    <t>Capital Gifts</t>
  </si>
  <si>
    <t>Capital Grants</t>
  </si>
  <si>
    <t xml:space="preserve">    Net Other Nonoperating Revenues (Expenses) </t>
  </si>
  <si>
    <t xml:space="preserve">        before Transfers</t>
  </si>
  <si>
    <t>%,V861100</t>
  </si>
  <si>
    <t>Mand Trf Out - Debt Retirement</t>
  </si>
  <si>
    <t>861100</t>
  </si>
  <si>
    <t>%,V861300</t>
  </si>
  <si>
    <t>Mand Trf Out - Other</t>
  </si>
  <si>
    <t>861300</t>
  </si>
  <si>
    <t>%,R,FACCOUNT,TGASB_34_35,X,NMANDATORY TRFS</t>
  </si>
  <si>
    <t>%,V391000</t>
  </si>
  <si>
    <t>Non Mandatory Trfs In</t>
  </si>
  <si>
    <t>391000</t>
  </si>
  <si>
    <t>%,V391100</t>
  </si>
  <si>
    <t>Non Man Trf In R&amp;R(NonCapPl)</t>
  </si>
  <si>
    <t>391100</t>
  </si>
  <si>
    <t>%,V391200</t>
  </si>
  <si>
    <t>NonMand Trf In R&amp;R(Cap Pool)</t>
  </si>
  <si>
    <t>391200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</si>
  <si>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</si>
  <si>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</si>
  <si>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</si>
  <si>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</si>
  <si>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</si>
  <si>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</si>
  <si>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</si>
  <si>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</si>
  <si>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</si>
  <si>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%,V862200</t>
  </si>
  <si>
    <t>Non-Mand Out-R&amp;R(capital pool)</t>
  </si>
  <si>
    <t>862200</t>
  </si>
  <si>
    <t>%,V862300</t>
  </si>
  <si>
    <t>Non-Mand Trf Out - Other</t>
  </si>
  <si>
    <t>862300</t>
  </si>
  <si>
    <t>%,R,FACCOUNT,TGASB_34_35,X,NNON MANDATORY TRFS</t>
  </si>
  <si>
    <t>%,V393000</t>
  </si>
  <si>
    <t>Other Allocations/Transfers In</t>
  </si>
  <si>
    <t>393000</t>
  </si>
  <si>
    <t>%,V863001</t>
  </si>
  <si>
    <t>Other Allocations/Transfer Out</t>
  </si>
  <si>
    <t>863001</t>
  </si>
  <si>
    <t>%,V865000</t>
  </si>
  <si>
    <t>Work Study/SEOG</t>
  </si>
  <si>
    <t>865000</t>
  </si>
  <si>
    <t>%,V868000</t>
  </si>
  <si>
    <t>868000</t>
  </si>
  <si>
    <t>%,V868300</t>
  </si>
  <si>
    <t>Cont Ed Income Sharing</t>
  </si>
  <si>
    <t>868300</t>
  </si>
  <si>
    <t>%,R,FACCOUNT,TGASB_34_35,X,NINTER CAMPUS TRFS,NINTRA FUND TRFS</t>
  </si>
  <si>
    <t>%,R,FACCOUNT,TGASB_34_35,X,NGEN REVENUE ALLOC</t>
  </si>
  <si>
    <t>General Revenue Allocations</t>
  </si>
  <si>
    <t xml:space="preserve">             Net Nonoperating Revenues (Expenses) </t>
  </si>
  <si>
    <t xml:space="preserve">                     and Transfers</t>
  </si>
  <si>
    <t>%,V300000</t>
  </si>
  <si>
    <t>Net Assets (Fund Equity)</t>
  </si>
  <si>
    <t>300000</t>
  </si>
  <si>
    <t>%,LACTUALS,SBAL,R,FACCOUNT,TGASB_34_35,X,NNET ASSETS</t>
  </si>
  <si>
    <t>%,VR0276</t>
  </si>
  <si>
    <t>R &amp; B HOOVER ENDOW</t>
  </si>
  <si>
    <t>%,VR0277</t>
  </si>
  <si>
    <t>KAPPA SIGMA ED FUND</t>
  </si>
  <si>
    <t>%,VR0278</t>
  </si>
  <si>
    <t>KOPLAR EXCEL TEACH</t>
  </si>
  <si>
    <t>%,VR0287</t>
  </si>
  <si>
    <t>MATH &amp; STAT CONTING</t>
  </si>
  <si>
    <t>%,VR0290</t>
  </si>
  <si>
    <t>NEWNAM ENDOWMENT</t>
  </si>
  <si>
    <t>%,VR0292</t>
  </si>
  <si>
    <t>L &amp; B SARCHET ENDOW</t>
  </si>
  <si>
    <t>%,VR0295</t>
  </si>
  <si>
    <t>MINES &amp; METAL EQUIP</t>
  </si>
  <si>
    <t>%,VR0303</t>
  </si>
  <si>
    <t>UMR ACADEMY CE EQUIP</t>
  </si>
  <si>
    <t>%,VR0305</t>
  </si>
  <si>
    <t>UMR CHEM ENGR FAC</t>
  </si>
  <si>
    <t>%,VR0306</t>
  </si>
  <si>
    <t>UMR CHEM ENGR EQUIP</t>
  </si>
  <si>
    <t>%,VR0307</t>
  </si>
  <si>
    <t>UMR CIVIL ENG EQUIP</t>
  </si>
  <si>
    <t>%,VR0308</t>
  </si>
  <si>
    <t>UMR ECE EQUIP FUND</t>
  </si>
  <si>
    <t>%,VR0309</t>
  </si>
  <si>
    <t>UMR ENDOW PER ARTS</t>
  </si>
  <si>
    <t>%,VR0310</t>
  </si>
  <si>
    <t>UMR MEM SCHP FD</t>
  </si>
  <si>
    <t>%,VR0312</t>
  </si>
  <si>
    <t>SINEATH PACKAGING EN</t>
  </si>
  <si>
    <t>%,VR0458</t>
  </si>
  <si>
    <t>GRAINGER AWARDS</t>
  </si>
  <si>
    <t>%,VR4359</t>
  </si>
  <si>
    <t>ISDC DEVELOPMENT</t>
  </si>
  <si>
    <t>%,FPROGRAM_CODE,TGASB_34_35_PROGRAM,X,NENDOWMENT,NLOAN,NRESTGIFTS,FFUND_CODE,TGASB_34_35_FUND,NQUASI_ENDOW_EXPEND,NQUASI_ENDOW_NONEXP</t>
  </si>
  <si>
    <t>INCOME UNRESTRICTED -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</si>
  <si>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</si>
  <si>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</si>
  <si>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</si>
  <si>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</t>
  </si>
  <si>
    <t>UNITRUST FUNDS -</t>
  </si>
  <si>
    <t>%,VR0363</t>
  </si>
  <si>
    <t>ANDERSON CHAR REM TR</t>
  </si>
  <si>
    <t>%,VR0364</t>
  </si>
  <si>
    <t>K W ANDREWS C R T</t>
  </si>
  <si>
    <t>%,VR0366</t>
  </si>
  <si>
    <t>DESJARDINS ANN TRUST</t>
  </si>
  <si>
    <t>%,VR0367</t>
  </si>
  <si>
    <t>THOMAS STEWART UNITR</t>
  </si>
  <si>
    <t>%,VR0368</t>
  </si>
  <si>
    <t>T JAMES STEWART, JR</t>
  </si>
  <si>
    <t>%,VR0478</t>
  </si>
  <si>
    <t>Horst Charitable Remainder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</si>
  <si>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</si>
  <si>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</si>
  <si>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</si>
  <si>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%,VR0371</t>
  </si>
  <si>
    <t>CRUM POOLED INCOME</t>
  </si>
  <si>
    <t>%,VR0375</t>
  </si>
  <si>
    <t>G HARR LIFE INCOME</t>
  </si>
  <si>
    <t>%,VR0377</t>
  </si>
  <si>
    <t>KAMPER POOLED INCOME</t>
  </si>
  <si>
    <t>%,VR0378</t>
  </si>
  <si>
    <t>KOEPPEL POOLED INC</t>
  </si>
  <si>
    <t>%,VR0379</t>
  </si>
  <si>
    <t>MARKLEY POOLED INC</t>
  </si>
  <si>
    <t>%,VR0380</t>
  </si>
  <si>
    <t>PFEIFER POOLED INC</t>
  </si>
  <si>
    <t>%,VR0382</t>
  </si>
  <si>
    <t>NEUSTAEDTER P I F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</si>
  <si>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</si>
  <si>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</si>
  <si>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</si>
  <si>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</si>
  <si>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</si>
  <si>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 TOTAL UNITRUST, LIFE INCOME &amp; CHARITABLE GIFT FUNDS</t>
  </si>
  <si>
    <t xml:space="preserve"> 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</si>
  <si>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</si>
  <si>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</si>
  <si>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</si>
  <si>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</si>
  <si>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</si>
  <si>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</si>
  <si>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</si>
  <si>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PGASB15R</t>
  </si>
  <si>
    <t>Program</t>
  </si>
  <si>
    <t xml:space="preserve">
Balance</t>
  </si>
  <si>
    <t>State
Appropriations
and State</t>
  </si>
  <si>
    <t>Gifts and</t>
  </si>
  <si>
    <t>Investment &amp;</t>
  </si>
  <si>
    <t>Bond</t>
  </si>
  <si>
    <t>Transfers In</t>
  </si>
  <si>
    <t>Balance</t>
  </si>
  <si>
    <t>Code</t>
  </si>
  <si>
    <t>Bond Funds</t>
  </si>
  <si>
    <t>Grants</t>
  </si>
  <si>
    <t>Other Income</t>
  </si>
  <si>
    <t>Proceeds</t>
  </si>
  <si>
    <t>(Out)</t>
  </si>
  <si>
    <t>RESTRICTED:</t>
  </si>
  <si>
    <t>%,VR8101</t>
  </si>
  <si>
    <t>CAP ST. APPROP-PHASE II</t>
  </si>
  <si>
    <t>R8101</t>
  </si>
  <si>
    <t>%,VR8150</t>
  </si>
  <si>
    <t>CAP ST APPROP - ENGR EQUIP</t>
  </si>
  <si>
    <t>R8150</t>
  </si>
  <si>
    <t>%,VR8300</t>
  </si>
  <si>
    <t>HAVENER CENTER</t>
  </si>
  <si>
    <t>R8300</t>
  </si>
  <si>
    <t>%,VR8302</t>
  </si>
  <si>
    <t>NEW RESIDENCE HALL BUILDING #1</t>
  </si>
  <si>
    <t>R8302</t>
  </si>
  <si>
    <t>%,VR8303</t>
  </si>
  <si>
    <t>NEW RESIDENCE HALL #2</t>
  </si>
  <si>
    <t>R8303</t>
  </si>
  <si>
    <t>%,VR8500</t>
  </si>
  <si>
    <t>CIVIL ENGINEERING</t>
  </si>
  <si>
    <t>R8500</t>
  </si>
  <si>
    <t>%,VR8501</t>
  </si>
  <si>
    <t>R8501</t>
  </si>
  <si>
    <t>%,VR8502</t>
  </si>
  <si>
    <t>REPL TRACK</t>
  </si>
  <si>
    <t>R8502</t>
  </si>
  <si>
    <t>%,VR8503</t>
  </si>
  <si>
    <t>PHYSICAL RECREATION FACILITY</t>
  </si>
  <si>
    <t>R8503</t>
  </si>
  <si>
    <t>%,VR8504</t>
  </si>
  <si>
    <t>SCHRENK CHEMISTRY BUILDING</t>
  </si>
  <si>
    <t>R8504</t>
  </si>
  <si>
    <t>%,VR8505</t>
  </si>
  <si>
    <t>ROCK MECH BLDG 4 RENOVATION</t>
  </si>
  <si>
    <t>R8505</t>
  </si>
  <si>
    <t>%,VR8506</t>
  </si>
  <si>
    <t>BULLMAN CHAIRBACK SEAT FUND</t>
  </si>
  <si>
    <t>R8506</t>
  </si>
  <si>
    <t>%,VR8507</t>
  </si>
  <si>
    <t>CIVIL GREENHOUSE</t>
  </si>
  <si>
    <t>R8507</t>
  </si>
  <si>
    <t>%,VR8508</t>
  </si>
  <si>
    <t>MECH ENGR ADDITION/RENOVATION</t>
  </si>
  <si>
    <t>R8508</t>
  </si>
  <si>
    <t>%,VR8509</t>
  </si>
  <si>
    <t>GALE BULLMAN BLEACHER REPLMENT</t>
  </si>
  <si>
    <t>R8509</t>
  </si>
  <si>
    <t>%,VR8611</t>
  </si>
  <si>
    <t>HAVENER CENTER ASSOCIATED PROJ</t>
  </si>
  <si>
    <t>R8611</t>
  </si>
  <si>
    <t>%,VR8705</t>
  </si>
  <si>
    <t>CAMPUS RESERVES</t>
  </si>
  <si>
    <t>R8705</t>
  </si>
  <si>
    <t>%,FPROGRAM_CODE,X,_,FFUND_CODE,TGASB_34_35_FUND,NUNEXP_RANDR_RESTEXP</t>
  </si>
  <si>
    <t xml:space="preserve">    TOTAL RESTRICTED</t>
  </si>
  <si>
    <t>UNRESTRICTED:</t>
  </si>
  <si>
    <t>%,VR8600</t>
  </si>
  <si>
    <t>FRAT SITE DEV</t>
  </si>
  <si>
    <t>R8600</t>
  </si>
  <si>
    <t>%,VR8702</t>
  </si>
  <si>
    <t>CLASSROOM REPS</t>
  </si>
  <si>
    <t>R8702</t>
  </si>
  <si>
    <t>%,VR8703</t>
  </si>
  <si>
    <t>MECH ENG ADD &amp; REN</t>
  </si>
  <si>
    <t>R8703</t>
  </si>
  <si>
    <t>%,VR8732</t>
  </si>
  <si>
    <t>SAMPLES CHAR RESERVE</t>
  </si>
  <si>
    <t>R8732</t>
  </si>
  <si>
    <t>%,VR8737</t>
  </si>
  <si>
    <t>RESERVE-FACLTY OTHR HOUSNG REP</t>
  </si>
  <si>
    <t>R8737</t>
  </si>
  <si>
    <t>%,VR8739</t>
  </si>
  <si>
    <t>RESERVE-ACAD COMP EQUIP</t>
  </si>
  <si>
    <t>R8739</t>
  </si>
  <si>
    <t>%,VR8740</t>
  </si>
  <si>
    <t>RESERVE-INFO TECH EQUIP REPL</t>
  </si>
  <si>
    <t>R8740</t>
  </si>
  <si>
    <t>%,VR8743</t>
  </si>
  <si>
    <t>SPEC REMODELING PROJ</t>
  </si>
  <si>
    <t>R8743</t>
  </si>
  <si>
    <t>%,VR8744</t>
  </si>
  <si>
    <t>PROPERTY PURCHASE</t>
  </si>
  <si>
    <t>R8744</t>
  </si>
  <si>
    <t>%,VR8745</t>
  </si>
  <si>
    <t>RESERVE-CBX REPLACEMENT</t>
  </si>
  <si>
    <t>R8745</t>
  </si>
  <si>
    <t>%,VR8748</t>
  </si>
  <si>
    <t>RESERVE-GOLF COURSE</t>
  </si>
  <si>
    <t>R8748</t>
  </si>
  <si>
    <t>%,VR8766</t>
  </si>
  <si>
    <t>NEW RESIDENCE HALL</t>
  </si>
  <si>
    <t>R8766</t>
  </si>
  <si>
    <t>%,VR8767</t>
  </si>
  <si>
    <t>WET LAB BUILDING PROGRAMMING</t>
  </si>
  <si>
    <t>R8767</t>
  </si>
  <si>
    <t>%,VR8770</t>
  </si>
  <si>
    <t>UNIV DR ENHANCEMENTS</t>
  </si>
  <si>
    <t>R8770</t>
  </si>
  <si>
    <t>%,VR8771</t>
  </si>
  <si>
    <t>RENOVATION OF UNIV CTR E</t>
  </si>
  <si>
    <t>R8771</t>
  </si>
  <si>
    <t>%,VR8772</t>
  </si>
  <si>
    <t>RENOVATION OF COMP SCI 107</t>
  </si>
  <si>
    <t>R8772</t>
  </si>
  <si>
    <t>%,FPROGRAM_CODE,X,_,FFUND_CODE,TGASB_34_35_FUND,NUNEXP_AND_RANDR_UNR</t>
  </si>
  <si>
    <t xml:space="preserve">    TOTAL UNRESTRICTED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</si>
  <si>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</si>
  <si>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</si>
  <si>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</si>
  <si>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</si>
  <si>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</si>
  <si>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Total Federal Grants and Contracts</t>
  </si>
  <si>
    <t>%,V491000</t>
  </si>
  <si>
    <t>Grants - state</t>
  </si>
  <si>
    <t>%,LACTUALS,SYTD,R,FACCOUNT,TGASB_34_35,X,NOTHER GOVT GRANTS,NSTATE GRANTS</t>
  </si>
  <si>
    <t>%,V493200</t>
  </si>
  <si>
    <t>Grants-businesses-cash</t>
  </si>
  <si>
    <t>%,V493300</t>
  </si>
  <si>
    <t>Grants-businesses-non cash</t>
  </si>
  <si>
    <t>%,V493600</t>
  </si>
  <si>
    <t>Grants-other foundations</t>
  </si>
  <si>
    <t>%,V493700</t>
  </si>
  <si>
    <t>Grants-other organization-cash</t>
  </si>
  <si>
    <t>%,LACTUALS,SYTD,R,FACCOUNT,TGASB_34_35,X,NPRIVATE GRANTS</t>
  </si>
  <si>
    <t>%,LACTUALS,SYTD,R,FACCOUNT,TGASB_34_35,X,NSALES OF AUX/EDUC</t>
  </si>
  <si>
    <t>Auxiliary Enterprises -</t>
  </si>
  <si>
    <t xml:space="preserve">    Patient Care Facilities</t>
  </si>
  <si>
    <t xml:space="preserve">    Housing and Dining Services</t>
  </si>
  <si>
    <t xml:space="preserve">    Bookstores</t>
  </si>
  <si>
    <t xml:space="preserve">    Other Auxiliary Enterprises</t>
  </si>
  <si>
    <t>%,R,FACCOUNT,TGASB_34_35,NPATIENT MED SERV</t>
  </si>
  <si>
    <t>Patient Medical Services</t>
  </si>
  <si>
    <t>%,LACTUALS,SYTD,R,FACCOUNT,TGASB_34_35,X,NINTEREST NOTES REC,NLOAN FUND DEDUCT</t>
  </si>
  <si>
    <t>Other Operating Revenues -</t>
  </si>
  <si>
    <t>%,FACCOUNT,V499100</t>
  </si>
  <si>
    <t xml:space="preserve">    F&amp;A Recover</t>
  </si>
  <si>
    <t xml:space="preserve">    Other</t>
  </si>
  <si>
    <t xml:space="preserve">          Total Operating Revenues</t>
  </si>
  <si>
    <t>Hidden Row Below</t>
  </si>
  <si>
    <t>%,LACTUALS,SYTD,R,FACCOUNT,TGASB_34_35,NOTHER OPERATING REV</t>
  </si>
  <si>
    <t>Other Operating Revenue - Other</t>
  </si>
  <si>
    <t xml:space="preserve"> </t>
  </si>
  <si>
    <t>%,ATF,FDESCR,UDESCR</t>
  </si>
  <si>
    <t>%,C</t>
  </si>
  <si>
    <t>University of Missouri - Rolla</t>
  </si>
  <si>
    <t>STATEMENTS OF NET ASSETS</t>
  </si>
  <si>
    <t>As of June 30, 2004 and 2003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</si>
  <si>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</si>
  <si>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</si>
  <si>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</si>
  <si>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</si>
  <si>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</si>
  <si>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</si>
  <si>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</si>
  <si>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Pledges Receivable, net</t>
  </si>
  <si>
    <t>Current Notes Receivable, net</t>
  </si>
  <si>
    <t>Inventories</t>
  </si>
  <si>
    <t>Prepaid Expenses and Other Current Assets</t>
  </si>
  <si>
    <t xml:space="preserve">          Total Current Assets</t>
  </si>
  <si>
    <t>Noncurrent Assets:</t>
  </si>
  <si>
    <t>Pledges Receivable, net</t>
  </si>
  <si>
    <t>Notes Receivable, net</t>
  </si>
  <si>
    <t>Deferred Charges and Other Assets*</t>
  </si>
  <si>
    <t>Long Term Investments</t>
  </si>
  <si>
    <t>Capital Assets, net</t>
  </si>
  <si>
    <t xml:space="preserve">          Total Noncurrent Assets</t>
  </si>
  <si>
    <t>Total Assets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</si>
  <si>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</si>
  <si>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</si>
  <si>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</si>
  <si>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</si>
  <si>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</si>
  <si>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</si>
  <si>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</si>
  <si>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</si>
  <si>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</si>
  <si>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>Bonds and Notes Payable, current</t>
  </si>
  <si>
    <t xml:space="preserve">          Total Current Liabilities</t>
  </si>
  <si>
    <t>Noncurrent Liabilities:</t>
  </si>
  <si>
    <t>Bonds and Notes Payable*</t>
  </si>
  <si>
    <t xml:space="preserve">          Total Noncurrent Liabilities</t>
  </si>
  <si>
    <t>Total Liabilities</t>
  </si>
  <si>
    <t>Net Assets</t>
  </si>
  <si>
    <t>Invested in Capital Assets, Net of Related Debt</t>
  </si>
  <si>
    <t>Restricted:</t>
  </si>
  <si>
    <t>Nonexpendable*</t>
  </si>
  <si>
    <t>Expendable*</t>
  </si>
  <si>
    <t>Unrestricted</t>
  </si>
  <si>
    <t xml:space="preserve">          Total Net Assets</t>
  </si>
  <si>
    <t>Total Liabilities and Net Assets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</si>
  <si>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</si>
  <si>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</si>
  <si>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</si>
  <si>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</si>
  <si>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>*Certain 2003 balances have been reclassified to conform to the 2004 presentation.</t>
  </si>
  <si>
    <t xml:space="preserve">STATEMENTS OF REVENUES, EXPENSES AND CHANGES IN NET ASSETS </t>
  </si>
  <si>
    <t xml:space="preserve">For the Years Ended June 30, 2004 and 2003 </t>
  </si>
  <si>
    <t>Operating Revenues: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</si>
  <si>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</si>
  <si>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</si>
  <si>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</si>
  <si>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</si>
  <si>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</si>
  <si>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</si>
  <si>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</si>
  <si>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</si>
  <si>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 xml:space="preserve">   Housing and Dining Services</t>
  </si>
  <si>
    <t xml:space="preserve">   Bookstores</t>
  </si>
  <si>
    <t xml:space="preserve">   Other Auxilliary Enterprises</t>
  </si>
  <si>
    <t>Notes Receivable Interest Income, net of Fees</t>
  </si>
  <si>
    <t>Other Operating Revenues</t>
  </si>
  <si>
    <t xml:space="preserve">       Total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</si>
  <si>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</si>
  <si>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</si>
  <si>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</si>
  <si>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</si>
  <si>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</si>
  <si>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</si>
  <si>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 xml:space="preserve">       Total Operating Expenses</t>
  </si>
  <si>
    <t xml:space="preserve">Operating Income (Loss) before State Appropriations and </t>
  </si>
  <si>
    <t xml:space="preserve">    Nonoperating Revenues (Expenses) and Transfers</t>
  </si>
  <si>
    <t>State Appropriations</t>
  </si>
  <si>
    <t>Operating Income (Loss) after State Appropriations, before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</si>
  <si>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</si>
  <si>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</si>
  <si>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</si>
  <si>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</si>
  <si>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</si>
  <si>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</si>
  <si>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 xml:space="preserve">    Net Nonoperating Revenues (Expenses) before</t>
  </si>
  <si>
    <t xml:space="preserve">        Capital and Endowment Additions and Transfers</t>
  </si>
  <si>
    <t>State Capital Appropriations and State Bond Funds</t>
  </si>
  <si>
    <t>Capital Gifts and Grants</t>
  </si>
  <si>
    <t>Private Gifts for Endowment Purposes</t>
  </si>
  <si>
    <t>Mandatory Transfers In (Out)</t>
  </si>
  <si>
    <t>Non Mandatory Transfers In (Out)</t>
  </si>
  <si>
    <t>Intra Fund Transfers In (Out)</t>
  </si>
  <si>
    <t xml:space="preserve">     Net Other Nonoperating Revenues (Expenses)</t>
  </si>
  <si>
    <t xml:space="preserve">             Increase (Decrease) in Net Assets</t>
  </si>
  <si>
    <t>Net Assets, Beginning of Year</t>
  </si>
  <si>
    <t>Net Assets, End of Year</t>
  </si>
  <si>
    <t>STATEMENTS OF CASH FLOWS</t>
  </si>
  <si>
    <t>For the Years Ended June 30, 2004 and 2003</t>
  </si>
  <si>
    <t>Cash Flows from Operating Activities:</t>
  </si>
  <si>
    <t>Federal, State and Private Grants and Contracts</t>
  </si>
  <si>
    <t>Sales and Services of Educational Activities and Other Auxiliaries</t>
  </si>
  <si>
    <t>Student Housing Fees</t>
  </si>
  <si>
    <t>Payments to Suppliers</t>
  </si>
  <si>
    <t>Payments to Employees</t>
  </si>
  <si>
    <t>Payments for Benefits</t>
  </si>
  <si>
    <t>Payments for Scholarships and Fellowships</t>
  </si>
  <si>
    <t>Student Loans Issued</t>
  </si>
  <si>
    <t>Student Loans Collected</t>
  </si>
  <si>
    <t>Student Loan Interest and Fees</t>
  </si>
  <si>
    <t>Other Receipts, net</t>
  </si>
  <si>
    <t>Net Cash Used in Operating Activities</t>
  </si>
  <si>
    <t>Cash Flows from Investing Activities:</t>
  </si>
  <si>
    <t>Interest and Dividends on Investments</t>
  </si>
  <si>
    <t>Purchase of Investments, net of Sales and Maturities</t>
  </si>
  <si>
    <t>Net Cash Provided by (Used In) Investing Activities</t>
  </si>
  <si>
    <t>Cash Flows from Capital and Related Financing Activities:</t>
  </si>
  <si>
    <t>Capital State Appropriations</t>
  </si>
  <si>
    <t>Proceeds from Sales of Capital Assets</t>
  </si>
  <si>
    <t>Purchase of Capital Assets</t>
  </si>
  <si>
    <t>Proceeds from Issuance of Capital Debt, net</t>
  </si>
  <si>
    <t>Principal Payments on Capital Debt</t>
  </si>
  <si>
    <t>Escrow Deposit on Defeasance</t>
  </si>
  <si>
    <t>Payments on Cost of Debt Issuance</t>
  </si>
  <si>
    <t>Interest Payments on Capital Debt</t>
  </si>
  <si>
    <t>Net Cash Provided by (Used in) Capital and Related Financing Activities</t>
  </si>
  <si>
    <t>Cash Flows from Noncapital Financing Activities:</t>
  </si>
  <si>
    <t>State Educational Appropriations</t>
  </si>
  <si>
    <t>Endowment and Similar Funds Gifts</t>
  </si>
  <si>
    <t>Other Noncapital Receipts, including Net Transfers</t>
  </si>
  <si>
    <t>Deposits of Affiliates</t>
  </si>
  <si>
    <t>Net Cash Provided by Noncapital Financing Activities</t>
  </si>
  <si>
    <t>Net Increase (Decrease) in Cash and Cash Equivalents</t>
  </si>
  <si>
    <t>Cash and Cash Equivalents, Beginning of Year</t>
  </si>
  <si>
    <t>Cash and Cash Equivalents, End of Year</t>
  </si>
  <si>
    <t xml:space="preserve">Reconciliation of Operating Income (Loss) to Net Cash </t>
  </si>
  <si>
    <t>Provided by (Used in) Operating Activities:</t>
  </si>
  <si>
    <t>Operating Income (Loss)</t>
  </si>
  <si>
    <t xml:space="preserve">Adjustments to Reconcile Operating Income (Loss) to Net Cash </t>
  </si>
  <si>
    <t>Depreciation Expense</t>
  </si>
  <si>
    <t>Changes in Assets and Liabilities:</t>
  </si>
  <si>
    <t xml:space="preserve">     Accounts Receivable, Net</t>
  </si>
  <si>
    <t xml:space="preserve">     Inventory, Prepaid Expenses and Other Assets</t>
  </si>
  <si>
    <t xml:space="preserve">     Notes Receivable</t>
  </si>
  <si>
    <t xml:space="preserve">     Accounts Payable</t>
  </si>
  <si>
    <t xml:space="preserve">     Accrued Liabilities</t>
  </si>
  <si>
    <t xml:space="preserve">    Deferred Revenue</t>
  </si>
  <si>
    <t>Net Cash Provided by (Used in) Operating Activities</t>
  </si>
  <si>
    <t>%,QKRDJ_UGL_GASB_35_FIN_STMTS_BS,SBAL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</si>
  <si>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</si>
  <si>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</si>
  <si>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</si>
  <si>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</si>
  <si>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</si>
  <si>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</si>
  <si>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</si>
  <si>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</si>
  <si>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</si>
  <si>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</si>
  <si>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</si>
  <si>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</si>
  <si>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</si>
  <si>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</si>
  <si>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</si>
  <si>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</si>
  <si>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</si>
  <si>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2004-06-30</t>
  </si>
  <si>
    <t>Rolla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</si>
  <si>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</si>
  <si>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</si>
  <si>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</si>
  <si>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</si>
  <si>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</si>
  <si>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</si>
  <si>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</si>
  <si>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</si>
  <si>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</si>
  <si>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</si>
  <si>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</si>
  <si>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</si>
  <si>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</si>
  <si>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</si>
  <si>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</si>
  <si>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</si>
  <si>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</si>
  <si>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</si>
  <si>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</si>
  <si>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</si>
  <si>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</si>
  <si>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</si>
  <si>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</si>
  <si>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</si>
  <si>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</si>
  <si>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%,V114000</t>
  </si>
  <si>
    <t>Cash on deposit</t>
  </si>
  <si>
    <t>114000</t>
  </si>
  <si>
    <t>%,V121000</t>
  </si>
  <si>
    <t>Temp Invest - Gen Pool 2</t>
  </si>
  <si>
    <t>121000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</si>
  <si>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</si>
  <si>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</si>
  <si>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</si>
  <si>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</si>
  <si>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</si>
  <si>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</si>
  <si>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</si>
  <si>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</si>
  <si>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</si>
  <si>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</si>
  <si>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</si>
  <si>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</si>
  <si>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</si>
  <si>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</si>
  <si>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</si>
  <si>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</si>
  <si>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</si>
  <si>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</si>
  <si>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</si>
  <si>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</si>
  <si>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</si>
  <si>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</si>
  <si>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</si>
  <si>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</si>
  <si>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</si>
  <si>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</si>
  <si>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</si>
  <si>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</si>
  <si>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</si>
  <si>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%,V130000</t>
  </si>
  <si>
    <t>Current Pledges Receivable</t>
  </si>
  <si>
    <t>130000</t>
  </si>
  <si>
    <t>%,FACCOUNT,TGASB_34_35,X,NCURRENT PLEDGES REC</t>
  </si>
  <si>
    <t>%,V132000</t>
  </si>
  <si>
    <t>Accts rec - students</t>
  </si>
  <si>
    <t>132000</t>
  </si>
  <si>
    <t>%,V132200</t>
  </si>
  <si>
    <t>Accounts Receivable-PS AR/BI</t>
  </si>
  <si>
    <t>132200</t>
  </si>
  <si>
    <t>%,V132500</t>
  </si>
  <si>
    <t>Accts rec - miscellaneous</t>
  </si>
  <si>
    <t>132500</t>
  </si>
  <si>
    <t>%,V140000</t>
  </si>
  <si>
    <t>Allow for uncoll student accts</t>
  </si>
  <si>
    <t>140000</t>
  </si>
  <si>
    <t>%,V160000</t>
  </si>
  <si>
    <t>Suspense</t>
  </si>
  <si>
    <t>160000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</si>
  <si>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</si>
  <si>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</si>
  <si>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</si>
  <si>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</si>
  <si>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</si>
  <si>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</si>
  <si>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</si>
  <si>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</si>
  <si>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</si>
  <si>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</si>
  <si>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</si>
  <si>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</si>
  <si>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</si>
  <si>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</si>
  <si>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%,V138250</t>
  </si>
  <si>
    <t>Student Loans Outstanding-S T</t>
  </si>
  <si>
    <t>138250</t>
  </si>
  <si>
    <t>%,FACCOUNT,TGASB_34_35,X,NCURRENT NOTES REC</t>
  </si>
  <si>
    <t>%,FACCOUNT,TGASB_34_35,X,NDUE FROM OTHER FUNDS</t>
  </si>
  <si>
    <t>Due from Other Funds</t>
  </si>
  <si>
    <t>%,FACCOUNT,TGASB_34_35,X,NRESTRICTED CASH</t>
  </si>
  <si>
    <t>Restricted Cash and Cash Equivalents</t>
  </si>
  <si>
    <t>%,V130500</t>
  </si>
  <si>
    <t>Pledges Receivable</t>
  </si>
  <si>
    <t>130500</t>
  </si>
  <si>
    <t>%,FACCOUNT,TGASB_34_35,X,NPLEDGES RECEIVABLE</t>
  </si>
  <si>
    <t>%,V135000</t>
  </si>
  <si>
    <t>Student loans rec -collections</t>
  </si>
  <si>
    <t>135000</t>
  </si>
  <si>
    <t>%,V136000</t>
  </si>
  <si>
    <t>Student loans rec-loans issued</t>
  </si>
  <si>
    <t>136000</t>
  </si>
  <si>
    <t>%,V137000</t>
  </si>
  <si>
    <t>Student loans-outstanding loan</t>
  </si>
  <si>
    <t>137000</t>
  </si>
  <si>
    <t>%,V137500</t>
  </si>
  <si>
    <t>Allow for uncoll student loans</t>
  </si>
  <si>
    <t>137500</t>
  </si>
  <si>
    <t>%,FACCOUNT,TGASB_34_35,X,NNOTES  RECEIVABLE</t>
  </si>
  <si>
    <t>%,V165100</t>
  </si>
  <si>
    <t>Bond issue cost</t>
  </si>
  <si>
    <t>165100</t>
  </si>
  <si>
    <t>%,FACCOUNT,TGASB_34_35,X,NDEFERRED AND OTHER</t>
  </si>
  <si>
    <t>Deferred Charges and Other Assets</t>
  </si>
  <si>
    <t>%,V122000</t>
  </si>
  <si>
    <t>Long term inv -seminary funds</t>
  </si>
  <si>
    <t>122000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</si>
  <si>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</si>
  <si>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</si>
  <si>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</si>
  <si>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</si>
  <si>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</si>
  <si>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</si>
  <si>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</si>
  <si>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</si>
  <si>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</si>
  <si>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%,V122400</t>
  </si>
  <si>
    <t>Long term inv-spec instr-balan</t>
  </si>
  <si>
    <t>122400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</si>
  <si>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</si>
  <si>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</si>
  <si>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</si>
  <si>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</si>
  <si>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</si>
  <si>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</si>
  <si>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</si>
  <si>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</si>
  <si>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</si>
  <si>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</si>
  <si>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</si>
  <si>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</si>
  <si>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</si>
  <si>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</si>
  <si>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</si>
  <si>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</si>
  <si>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</si>
  <si>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</si>
  <si>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</si>
  <si>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</si>
  <si>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</si>
  <si>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</si>
  <si>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</si>
  <si>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</si>
  <si>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</si>
  <si>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%,V175500</t>
  </si>
  <si>
    <t>Equipment in Process</t>
  </si>
  <si>
    <t>175500</t>
  </si>
  <si>
    <t>%,V175900</t>
  </si>
  <si>
    <t>Furn &amp; equip - accum deprec</t>
  </si>
  <si>
    <t>175900</t>
  </si>
  <si>
    <t>%,V176000</t>
  </si>
  <si>
    <t>Books</t>
  </si>
  <si>
    <t>176000</t>
  </si>
  <si>
    <t>%,V178000</t>
  </si>
  <si>
    <t>Construction in progress</t>
  </si>
  <si>
    <t>178000</t>
  </si>
  <si>
    <t>%,V179000</t>
  </si>
  <si>
    <t>Art &amp; museum objects</t>
  </si>
  <si>
    <t>179000</t>
  </si>
  <si>
    <t>%,FACCOUNT,TGASB_34_35,X,NCAPITAL_ASSETS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</si>
  <si>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</si>
  <si>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</si>
  <si>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</si>
  <si>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</si>
  <si>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</si>
  <si>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</si>
  <si>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%,V211003</t>
  </si>
  <si>
    <t>Estimated payables</t>
  </si>
  <si>
    <t>211003</t>
  </si>
  <si>
    <t>%,V215000</t>
  </si>
  <si>
    <t>Missouri 2% Entertainment Tax</t>
  </si>
  <si>
    <t>215000</t>
  </si>
  <si>
    <t>%,R,FACCOUNT,TGASB_34_35,X,NACCOUNTS_PAYABLE,NOTHER_ACCRUALS</t>
  </si>
  <si>
    <t>%,V220000</t>
  </si>
  <si>
    <t>Accr salary &amp; ben (auto feed)</t>
  </si>
  <si>
    <t>220000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</si>
  <si>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</si>
  <si>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</si>
  <si>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</si>
  <si>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</si>
  <si>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</si>
  <si>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</si>
  <si>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</si>
  <si>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</si>
  <si>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</si>
  <si>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</si>
  <si>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</si>
  <si>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%,V231000</t>
  </si>
  <si>
    <t>Def rev-student fees</t>
  </si>
  <si>
    <t>231000</t>
  </si>
  <si>
    <t>%,V232000</t>
  </si>
  <si>
    <t>Def rev-room &amp; board</t>
  </si>
  <si>
    <t>232000</t>
  </si>
  <si>
    <t>%,V233000</t>
  </si>
  <si>
    <t>Def rev - other</t>
  </si>
  <si>
    <t>233000</t>
  </si>
  <si>
    <t>%,R,FACCOUNT,TGASB_34_35,X,NDEFERRED_REV</t>
  </si>
  <si>
    <t>Deferred Revenue, Current</t>
  </si>
  <si>
    <t>%,V226000</t>
  </si>
  <si>
    <t>Payroll Withholdings-Employee</t>
  </si>
  <si>
    <t>226000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</si>
  <si>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</si>
  <si>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</si>
  <si>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</si>
  <si>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</si>
  <si>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</si>
  <si>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</si>
  <si>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</si>
  <si>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</si>
  <si>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</si>
  <si>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</si>
  <si>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%,V252500</t>
  </si>
  <si>
    <t>Current Bonds Payable</t>
  </si>
  <si>
    <t>252500</t>
  </si>
  <si>
    <t>%,R,FACCOUNT,TGASB_34_35,X,NCURRENT BONDS PAYABL</t>
  </si>
  <si>
    <t>%,R,FACCOUNT,TGASB_34_35,X,NDUE TO OTHER FUNDS</t>
  </si>
  <si>
    <t>Due to Other Funds</t>
  </si>
  <si>
    <t>%,R,FACCOUNT,TGASB_34_35,X,NDEFERRED REVENUE</t>
  </si>
  <si>
    <t>%,R,FACCOUNT,TGASB_34_35,X,NCAPITAL LEASE OBLIG</t>
  </si>
  <si>
    <t>Capital Lease Obligations</t>
  </si>
  <si>
    <t>%,V162000</t>
  </si>
  <si>
    <t>Discount on bonds pay</t>
  </si>
  <si>
    <t>162000</t>
  </si>
  <si>
    <t>%,V163000</t>
  </si>
  <si>
    <t>Deferred Loss Bond Refin</t>
  </si>
  <si>
    <t>163000</t>
  </si>
  <si>
    <t>%,V252000</t>
  </si>
  <si>
    <t>Bonds pay</t>
  </si>
  <si>
    <t>252000</t>
  </si>
  <si>
    <t>%,R,FACCOUNT,TGASB_34_35,X,NBONDS_NOTES PAYABLE</t>
  </si>
  <si>
    <t>Bonds and Notes Payable</t>
  </si>
  <si>
    <t xml:space="preserve">  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</si>
  <si>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</si>
  <si>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</si>
  <si>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</si>
  <si>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</si>
  <si>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</si>
  <si>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</si>
  <si>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  Total Net Assets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</si>
  <si>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</si>
  <si>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</si>
  <si>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</si>
  <si>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</si>
  <si>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</si>
  <si>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%,V0720</t>
  </si>
  <si>
    <t>%,V0725</t>
  </si>
  <si>
    <t>%,V0730</t>
  </si>
  <si>
    <t>%,V0740</t>
  </si>
  <si>
    <t>%,V0795</t>
  </si>
  <si>
    <t>%,V0805</t>
  </si>
  <si>
    <t>%,V0815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</si>
  <si>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</si>
  <si>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</si>
  <si>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</si>
  <si>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</si>
  <si>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</si>
  <si>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</si>
  <si>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</si>
  <si>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Building Services</t>
  </si>
  <si>
    <t>Campus Plng, Design, Constr</t>
  </si>
  <si>
    <t>Central Mail</t>
  </si>
  <si>
    <t>Computing Services</t>
  </si>
  <si>
    <t>Printing</t>
  </si>
  <si>
    <t>Science Instru Shop</t>
  </si>
  <si>
    <t>Telecommunications</t>
  </si>
  <si>
    <t>Service Operations - Funds 0700 through 0899</t>
  </si>
  <si>
    <t>Self Insurance Funds - Funds 0900 through 0999</t>
  </si>
  <si>
    <t>Total Unrestricted Current Funds</t>
  </si>
  <si>
    <t>%,V400100</t>
  </si>
  <si>
    <t>Undergrad summer fees-resident</t>
  </si>
  <si>
    <t>400100</t>
  </si>
  <si>
    <t>%,V400200</t>
  </si>
  <si>
    <t>Undergrad summer fees-non res</t>
  </si>
  <si>
    <t>400200</t>
  </si>
  <si>
    <t>%,V400300</t>
  </si>
  <si>
    <t>Undergrad fall fees - resident</t>
  </si>
  <si>
    <t>400300</t>
  </si>
  <si>
    <t>%,V400400</t>
  </si>
  <si>
    <t>Undergrad fall fees - non res</t>
  </si>
  <si>
    <t>400400</t>
  </si>
  <si>
    <t>%,V400500</t>
  </si>
  <si>
    <t>Undergrad winter fees - res</t>
  </si>
  <si>
    <t>400500</t>
  </si>
  <si>
    <t>%,V400600</t>
  </si>
  <si>
    <t>Undergrad winter fees -non res</t>
  </si>
  <si>
    <t>400600</t>
  </si>
  <si>
    <t>%,V402000</t>
  </si>
  <si>
    <t>Grad educ summer fees- res</t>
  </si>
  <si>
    <t>402000</t>
  </si>
  <si>
    <t>%,V402100</t>
  </si>
  <si>
    <t>Grad educ summer fees- non-res</t>
  </si>
  <si>
    <t>402100</t>
  </si>
  <si>
    <t>%,V402200</t>
  </si>
  <si>
    <t>Grad educ fall fees-resident</t>
  </si>
  <si>
    <t>402200</t>
  </si>
  <si>
    <t>%,V402300</t>
  </si>
  <si>
    <t>Grad educ fall fees-non-res</t>
  </si>
  <si>
    <t>402300</t>
  </si>
  <si>
    <t>%,V402400</t>
  </si>
  <si>
    <t>Grad educ winter fees-resident</t>
  </si>
  <si>
    <t>402400</t>
  </si>
  <si>
    <t>%,V402500</t>
  </si>
  <si>
    <t>Grad educ winter fees-non-res</t>
  </si>
  <si>
    <t>402500</t>
  </si>
  <si>
    <t>%,V403000</t>
  </si>
  <si>
    <t>Ext noncredit oncampus</t>
  </si>
  <si>
    <t>403000</t>
  </si>
  <si>
    <t>%,V403050</t>
  </si>
  <si>
    <t>Ext noncredit oncampus-res</t>
  </si>
  <si>
    <t>403050</t>
  </si>
  <si>
    <t>%,V403200</t>
  </si>
  <si>
    <t>Ext noncredit offcampus</t>
  </si>
  <si>
    <t>403200</t>
  </si>
  <si>
    <t>%,V403400</t>
  </si>
  <si>
    <t>Ext credit oncampus</t>
  </si>
  <si>
    <t>403400</t>
  </si>
  <si>
    <t>%,V403700</t>
  </si>
  <si>
    <t>Ext Credit Off Campus</t>
  </si>
  <si>
    <t>403700</t>
  </si>
  <si>
    <t>%,V403750</t>
  </si>
  <si>
    <t>Ext Credit Ofcampus - Resident</t>
  </si>
  <si>
    <t>403750</t>
  </si>
  <si>
    <t>%,V404000</t>
  </si>
  <si>
    <t>Supplemental fees-summer ungrd</t>
  </si>
  <si>
    <t>404000</t>
  </si>
  <si>
    <t>%,V404010</t>
  </si>
  <si>
    <t>Supp Fees - Summer Grad Prof</t>
  </si>
  <si>
    <t>404010</t>
  </si>
  <si>
    <t>%,V404100</t>
  </si>
  <si>
    <t>Supplemental fees-fall ungrd</t>
  </si>
  <si>
    <t>404100</t>
  </si>
  <si>
    <t>%,V404110</t>
  </si>
  <si>
    <t>Supp Fee - Fall Grad Proff</t>
  </si>
  <si>
    <t>404110</t>
  </si>
  <si>
    <t>%,V404200</t>
  </si>
  <si>
    <t>Supplemental fees-winter ungrd</t>
  </si>
  <si>
    <t>404200</t>
  </si>
  <si>
    <t>%,V404210</t>
  </si>
  <si>
    <t>Supp Fee - Winter Grad Prof</t>
  </si>
  <si>
    <t>404210</t>
  </si>
  <si>
    <t>%,V404500</t>
  </si>
  <si>
    <t>Instructional computing-summer</t>
  </si>
  <si>
    <t>404500</t>
  </si>
  <si>
    <t>%,V404510</t>
  </si>
  <si>
    <t>Instructional Computing - fall</t>
  </si>
  <si>
    <t>404510</t>
  </si>
  <si>
    <t>%,V404520</t>
  </si>
  <si>
    <t>Instructional comput - winter</t>
  </si>
  <si>
    <t>404520</t>
  </si>
  <si>
    <t>%,V405000</t>
  </si>
  <si>
    <t>Other misc educational fees</t>
  </si>
  <si>
    <t>405000</t>
  </si>
  <si>
    <t>%,V406000</t>
  </si>
  <si>
    <t>Activ &amp; facility fees-summer</t>
  </si>
  <si>
    <t>406000</t>
  </si>
  <si>
    <t>%,V406001</t>
  </si>
  <si>
    <t>Activity &amp; Facility Fees</t>
  </si>
  <si>
    <t>406001</t>
  </si>
  <si>
    <t>%,V406010</t>
  </si>
  <si>
    <t>Activ &amp; Fac Fees-Sum-Undergrad</t>
  </si>
  <si>
    <t>406010</t>
  </si>
  <si>
    <t>%,V406100</t>
  </si>
  <si>
    <t>Activity &amp; facility fees-fall</t>
  </si>
  <si>
    <t>406100</t>
  </si>
  <si>
    <t>%,V406200</t>
  </si>
  <si>
    <t>Activ &amp; facility fees-winter</t>
  </si>
  <si>
    <t>406200</t>
  </si>
  <si>
    <t>%,V406220</t>
  </si>
  <si>
    <t>Act&amp;Fac Fees winter grad&amp;prof</t>
  </si>
  <si>
    <t>406220</t>
  </si>
  <si>
    <t>%,R,FACCOUNT,TGASB_34_35,X,NSTUDENT FEES</t>
  </si>
  <si>
    <t>Student Fees</t>
  </si>
  <si>
    <t>%,V760001</t>
  </si>
  <si>
    <t>Student aid</t>
  </si>
  <si>
    <t>760001</t>
  </si>
  <si>
    <t>%,V760100</t>
  </si>
  <si>
    <t>Undergraduate resident</t>
  </si>
  <si>
    <t>760100</t>
  </si>
  <si>
    <t>%,V760200</t>
  </si>
  <si>
    <t>Undergraduate non-resident</t>
  </si>
  <si>
    <t>760200</t>
  </si>
  <si>
    <t>%,V760300</t>
  </si>
  <si>
    <t>Graduate   resident</t>
  </si>
  <si>
    <t>760300</t>
  </si>
  <si>
    <t>%,V760400</t>
  </si>
  <si>
    <t>Graduate  non-resident</t>
  </si>
  <si>
    <t>760400</t>
  </si>
  <si>
    <t>%,V760700</t>
  </si>
  <si>
    <t>Undergrad fee waivers resident</t>
  </si>
  <si>
    <t>760700</t>
  </si>
  <si>
    <t>%,V760800</t>
  </si>
  <si>
    <t>Undergrad fee waivers non res</t>
  </si>
  <si>
    <t>760800</t>
  </si>
  <si>
    <t>%,V760900</t>
  </si>
  <si>
    <t>Graduate fee waivers resident</t>
  </si>
  <si>
    <t>760900</t>
  </si>
  <si>
    <t>%,V761000</t>
  </si>
  <si>
    <t>Graduate fee waivers non res</t>
  </si>
  <si>
    <t>761000</t>
  </si>
  <si>
    <t>%,V763000</t>
  </si>
  <si>
    <t>GASB35 Scholar&amp;Fellow Offset</t>
  </si>
  <si>
    <t>763000</t>
  </si>
  <si>
    <t>%,FACCOUNT,TGASB_34_35,X,NSTUDENT AID</t>
  </si>
  <si>
    <t xml:space="preserve">     Net Student Fees</t>
  </si>
  <si>
    <t>%,R,FACCOUNT,TGASB_34_35,X,NFEDERAL GRANTS</t>
  </si>
  <si>
    <t>%,R,FACCOUNT,TGASB_34_35,X,NOTHER GOVT GRANTS,NSTATE GRANTS</t>
  </si>
  <si>
    <t>%,R,FACCOUNT,TGASB_34_35,X,NPRIVATE GRANTS</t>
  </si>
  <si>
    <t>%,V420001</t>
  </si>
  <si>
    <t>Sales of aux enter/educ activ</t>
  </si>
  <si>
    <t>420001</t>
  </si>
  <si>
    <t>%,V420100</t>
  </si>
  <si>
    <t>Taxable Primary sales aux/educ</t>
  </si>
  <si>
    <t>420100</t>
  </si>
  <si>
    <t>%,V420200</t>
  </si>
  <si>
    <t>Taxable Primary-athletic sales</t>
  </si>
  <si>
    <t>420200</t>
  </si>
  <si>
    <t>%,V420400</t>
  </si>
  <si>
    <t>Taxable Primary-concert ticket</t>
  </si>
  <si>
    <t>420400</t>
  </si>
  <si>
    <t>%,V421300</t>
  </si>
  <si>
    <t>Taxable Primary-ticket sales</t>
  </si>
  <si>
    <t>421300</t>
  </si>
  <si>
    <t>%,V425000</t>
  </si>
  <si>
    <t>Taxable -Non Primary location</t>
  </si>
  <si>
    <t>425000</t>
  </si>
  <si>
    <t>%,V430000</t>
  </si>
  <si>
    <t>Non Taxable sales</t>
  </si>
  <si>
    <t>430000</t>
  </si>
  <si>
    <t>%,V430160</t>
  </si>
  <si>
    <t>NonTaxable-ClassifiedAdvertisi</t>
  </si>
  <si>
    <t>430160</t>
  </si>
  <si>
    <t>%,V431200</t>
  </si>
  <si>
    <t>Non Taxable-conference revenue</t>
  </si>
  <si>
    <t>431200</t>
  </si>
  <si>
    <t>%,V431400</t>
  </si>
  <si>
    <t>Non Taxable-department charges</t>
  </si>
  <si>
    <t>431400</t>
  </si>
  <si>
    <t>%,V432200</t>
  </si>
  <si>
    <t>Non Taxable-user fees</t>
  </si>
  <si>
    <t>432200</t>
  </si>
  <si>
    <t>%,V432520</t>
  </si>
  <si>
    <t>Over / Short - Revenues</t>
  </si>
  <si>
    <t>432520</t>
  </si>
  <si>
    <t>%,R,FACCOUNT,TGASB_34_35,X,NSALES OF AUX/EDUC</t>
  </si>
  <si>
    <t>Sales and Services of Education Activities</t>
  </si>
  <si>
    <t>Auxiliary Enterprises:</t>
  </si>
  <si>
    <t xml:space="preserve">   Patient Care Facilities</t>
  </si>
  <si>
    <t>%,R,FACCOUNT,TGASB_34_35,X,NPATIENT MED SERV</t>
  </si>
  <si>
    <t xml:space="preserve">   Other Medical Services</t>
  </si>
  <si>
    <t>%,R,FACCOUNT,TGASB_34_35,X,NINTEREST NOTES REC,NLOAN FUND DEDUCT</t>
  </si>
  <si>
    <t>%,V494001</t>
  </si>
  <si>
    <t>Misc Revenue</t>
  </si>
  <si>
    <t>494001</t>
  </si>
  <si>
    <t>%,V494100</t>
  </si>
  <si>
    <t>Misc Revenue-tax primary Loc</t>
  </si>
  <si>
    <t>494100</t>
  </si>
  <si>
    <t>%,V495000</t>
  </si>
  <si>
    <t>Misc Revenue-non taxable</t>
  </si>
  <si>
    <t>495000</t>
  </si>
  <si>
    <t>%,V495050</t>
  </si>
  <si>
    <t>Royalties</t>
  </si>
  <si>
    <t>495050</t>
  </si>
  <si>
    <t>%,V495100</t>
  </si>
  <si>
    <t>Non tax misc rev-photo copy</t>
  </si>
  <si>
    <t>495100</t>
  </si>
  <si>
    <t>%,V495300</t>
  </si>
  <si>
    <t>Non tax misc rev-rental income</t>
  </si>
  <si>
    <t>495300</t>
  </si>
  <si>
    <t>%,V495400</t>
  </si>
  <si>
    <t>Non tax misc rev-clearing</t>
  </si>
  <si>
    <t>495400</t>
  </si>
  <si>
    <t>%,V495500</t>
  </si>
  <si>
    <t>Non tax m r-service &amp; repairs</t>
  </si>
  <si>
    <t>495500</t>
  </si>
  <si>
    <t>%,V496300</t>
  </si>
  <si>
    <t>Non tax m r-used equipment</t>
  </si>
  <si>
    <t>496300</t>
  </si>
  <si>
    <t>%,V496400</t>
  </si>
  <si>
    <t>Non tax m r-warranty repair</t>
  </si>
  <si>
    <t>496400</t>
  </si>
  <si>
    <t>%,V499100</t>
  </si>
  <si>
    <t>Recov of F &amp; A-applicable f&amp;a</t>
  </si>
  <si>
    <t>499100</t>
  </si>
  <si>
    <t>%,V499300</t>
  </si>
  <si>
    <t>RecovReq</t>
  </si>
  <si>
    <t>499300</t>
  </si>
  <si>
    <t>%,R,FACCOUNT,TGASB_34_35,X,NOTHER OPERATING REV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</si>
  <si>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</si>
  <si>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</si>
  <si>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</si>
  <si>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</si>
  <si>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</si>
  <si>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</si>
  <si>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</si>
  <si>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</si>
  <si>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</si>
  <si>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</si>
  <si>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</si>
  <si>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</si>
  <si>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</si>
  <si>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S&amp;W-Exempt executive/admin</t>
  </si>
  <si>
    <t>705100</t>
  </si>
  <si>
    <t>%,V705200</t>
  </si>
  <si>
    <t>S&amp;W-Exempt professional</t>
  </si>
  <si>
    <t>705200</t>
  </si>
  <si>
    <t>%,V706200</t>
  </si>
  <si>
    <t>S&amp;W-Non-Exempt technical</t>
  </si>
  <si>
    <t>706200</t>
  </si>
  <si>
    <t>%,V706300</t>
  </si>
  <si>
    <t>S&amp;W-Office/clerical</t>
  </si>
  <si>
    <t>706300</t>
  </si>
  <si>
    <t>%,V706400</t>
  </si>
  <si>
    <t>S&amp;W-Non-Exempt crafts &amp; trades</t>
  </si>
  <si>
    <t>706400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</si>
  <si>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</si>
  <si>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</si>
  <si>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</si>
  <si>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</si>
  <si>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</si>
  <si>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</si>
  <si>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</si>
  <si>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</si>
  <si>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</si>
  <si>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</si>
  <si>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</si>
  <si>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</si>
  <si>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%,FACCOUNT,TGASB_34_35,X,NSALARIES</t>
  </si>
  <si>
    <t>%,V710000</t>
  </si>
  <si>
    <t>710000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</si>
  <si>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</si>
  <si>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</si>
  <si>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</si>
  <si>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</si>
  <si>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</si>
  <si>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</si>
  <si>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</si>
  <si>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</si>
  <si>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</si>
  <si>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</si>
  <si>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</si>
  <si>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</si>
  <si>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</si>
  <si>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</si>
  <si>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</si>
  <si>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</si>
  <si>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</si>
  <si>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</si>
  <si>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%,V710800</t>
  </si>
  <si>
    <t>SB-Non-exempt technical</t>
  </si>
  <si>
    <t>710800</t>
  </si>
  <si>
    <t>%,V710900</t>
  </si>
  <si>
    <t>SB-Non-exempt office/clerical</t>
  </si>
  <si>
    <t>710900</t>
  </si>
  <si>
    <t>%,V711000</t>
  </si>
  <si>
    <t>SB-Non-exempt crafts and trade</t>
  </si>
  <si>
    <t>711000</t>
  </si>
  <si>
    <t>%,V711100</t>
  </si>
  <si>
    <t>SB-Non-exempt service</t>
  </si>
  <si>
    <t>711100</t>
  </si>
  <si>
    <t>%,V711200</t>
  </si>
  <si>
    <t>SB-Non-exempt students</t>
  </si>
  <si>
    <t>711200</t>
  </si>
  <si>
    <t>%,V714000</t>
  </si>
  <si>
    <t>SB-Educational assist-summer</t>
  </si>
  <si>
    <t>714000</t>
  </si>
  <si>
    <t>%,V714100</t>
  </si>
  <si>
    <t>SB-Educational assist-fall</t>
  </si>
  <si>
    <t>714100</t>
  </si>
  <si>
    <t>%,V715000</t>
  </si>
  <si>
    <t>SB-Moving expense</t>
  </si>
  <si>
    <t>715000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</si>
  <si>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</si>
  <si>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</si>
  <si>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</si>
  <si>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</si>
  <si>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</si>
  <si>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</si>
  <si>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</si>
  <si>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%,V450000</t>
  </si>
  <si>
    <t>Internal sales &amp; services</t>
  </si>
  <si>
    <t>450000</t>
  </si>
  <si>
    <t>%,V450200</t>
  </si>
  <si>
    <t>Lab collections</t>
  </si>
  <si>
    <t>450200</t>
  </si>
  <si>
    <t>%,V450800</t>
  </si>
  <si>
    <t>Related party revenue</t>
  </si>
  <si>
    <t>450800</t>
  </si>
  <si>
    <t>%,V600000</t>
  </si>
  <si>
    <t>Cost of Goods Sold</t>
  </si>
  <si>
    <t>600000</t>
  </si>
  <si>
    <t>%,V600300</t>
  </si>
  <si>
    <t>COGS Beverage</t>
  </si>
  <si>
    <t>600300</t>
  </si>
  <si>
    <t>%,V600500</t>
  </si>
  <si>
    <t>COGS Clothing</t>
  </si>
  <si>
    <t>600500</t>
  </si>
  <si>
    <t>%,V600800</t>
  </si>
  <si>
    <t>COGS Computer supplies</t>
  </si>
  <si>
    <t>600800</t>
  </si>
  <si>
    <t>%,V601100</t>
  </si>
  <si>
    <t>COGS Custom publishing</t>
  </si>
  <si>
    <t>601100</t>
  </si>
  <si>
    <t>%,V601500</t>
  </si>
  <si>
    <t>COGS General books</t>
  </si>
  <si>
    <t>601500</t>
  </si>
  <si>
    <t>%,V603700</t>
  </si>
  <si>
    <t>COGS Software</t>
  </si>
  <si>
    <t>603700</t>
  </si>
  <si>
    <t>%,V720001</t>
  </si>
  <si>
    <t>Department operating expense</t>
  </si>
  <si>
    <t>720001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</si>
  <si>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</si>
  <si>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</si>
  <si>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</si>
  <si>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</si>
  <si>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</si>
  <si>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</si>
  <si>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</si>
  <si>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</si>
  <si>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</si>
  <si>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</si>
  <si>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</si>
  <si>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</si>
  <si>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</si>
  <si>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</si>
  <si>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</si>
  <si>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%,V721410</t>
  </si>
  <si>
    <t>Charter Travel</t>
  </si>
  <si>
    <t>721410</t>
  </si>
  <si>
    <t>%,V721430</t>
  </si>
  <si>
    <t>Team Travel</t>
  </si>
  <si>
    <t>721430</t>
  </si>
  <si>
    <t>%,V721450</t>
  </si>
  <si>
    <t>Recruiting Travel</t>
  </si>
  <si>
    <t>721450</t>
  </si>
  <si>
    <t>%,V721460</t>
  </si>
  <si>
    <t>Public Relations</t>
  </si>
  <si>
    <t>721460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</si>
  <si>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</si>
  <si>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</si>
  <si>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</si>
  <si>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</si>
  <si>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</si>
  <si>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</si>
  <si>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</si>
  <si>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</si>
  <si>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</si>
  <si>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</si>
  <si>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</si>
  <si>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</si>
  <si>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</si>
  <si>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</si>
  <si>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</si>
  <si>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</si>
  <si>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</si>
  <si>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</si>
  <si>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</si>
  <si>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</si>
  <si>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</si>
  <si>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</si>
  <si>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</si>
  <si>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</si>
  <si>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</si>
  <si>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</si>
  <si>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</si>
  <si>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</si>
  <si>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</si>
  <si>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</si>
  <si>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</si>
  <si>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</si>
  <si>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</si>
  <si>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</si>
  <si>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</si>
  <si>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</si>
  <si>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</si>
  <si>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</si>
  <si>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</si>
  <si>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</si>
  <si>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</si>
  <si>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</si>
  <si>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</si>
  <si>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</si>
  <si>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</si>
  <si>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%,V723500</t>
  </si>
  <si>
    <t>Postage A-21 exclusion</t>
  </si>
  <si>
    <t>723500</t>
  </si>
  <si>
    <t>%,V724000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</si>
</sst>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_(* \(#,##0\);_(* &quot;&quot;??_);_(@_)"/>
    <numFmt numFmtId="167" formatCode="_(* #,##0.0_);_(* \(#,##0.0\);_(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#,##0.0_);[Red]\(#,##0.0\)"/>
    <numFmt numFmtId="172" formatCode="_(&quot;$&quot;* #,##0.0_);_(&quot;$&quot;* \(#,##0.0\);_(&quot;$&quot;* &quot;-&quot;??_);_(@_)"/>
    <numFmt numFmtId="173" formatCode="yyyy\-mm\-dd"/>
    <numFmt numFmtId="174" formatCode="mm/dd/yyyy"/>
    <numFmt numFmtId="175" formatCode="0.00_);\(0.00\)"/>
    <numFmt numFmtId="176" formatCode="mmmm\ d\,\ yyyy"/>
    <numFmt numFmtId="177" formatCode="[$-409]dddd\,\ mmmm\ dd\,\ yyyy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9"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1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3" fillId="2" borderId="2" xfId="15" applyNumberFormat="1" applyFont="1" applyFill="1" applyBorder="1" applyAlignment="1">
      <alignment horizontal="left"/>
    </xf>
    <xf numFmtId="164" fontId="4" fillId="2" borderId="3" xfId="15" applyNumberFormat="1" applyFont="1" applyFill="1" applyBorder="1" applyAlignment="1">
      <alignment/>
    </xf>
    <xf numFmtId="164" fontId="5" fillId="2" borderId="3" xfId="15" applyNumberFormat="1" applyFont="1" applyFill="1" applyBorder="1" applyAlignment="1">
      <alignment/>
    </xf>
    <xf numFmtId="164" fontId="6" fillId="2" borderId="3" xfId="15" applyNumberFormat="1" applyFont="1" applyFill="1" applyBorder="1" applyAlignment="1">
      <alignment/>
    </xf>
    <xf numFmtId="164" fontId="5" fillId="2" borderId="4" xfId="15" applyNumberFormat="1" applyFont="1" applyFill="1" applyBorder="1" applyAlignment="1">
      <alignment/>
    </xf>
    <xf numFmtId="164" fontId="7" fillId="0" borderId="0" xfId="15" applyNumberFormat="1" applyFont="1" applyFill="1" applyAlignment="1">
      <alignment/>
    </xf>
    <xf numFmtId="164" fontId="4" fillId="2" borderId="5" xfId="15" applyNumberFormat="1" applyFont="1" applyFill="1" applyBorder="1" applyAlignment="1">
      <alignment horizontal="left"/>
    </xf>
    <xf numFmtId="164" fontId="4" fillId="2" borderId="0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164" fontId="6" fillId="2" borderId="0" xfId="15" applyNumberFormat="1" applyFont="1" applyFill="1" applyBorder="1" applyAlignment="1">
      <alignment/>
    </xf>
    <xf numFmtId="164" fontId="5" fillId="2" borderId="1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164" fontId="8" fillId="2" borderId="5" xfId="15" applyNumberFormat="1" applyFont="1" applyFill="1" applyBorder="1" applyAlignment="1">
      <alignment/>
    </xf>
    <xf numFmtId="164" fontId="8" fillId="2" borderId="0" xfId="15" applyNumberFormat="1" applyFont="1" applyFill="1" applyBorder="1" applyAlignment="1">
      <alignment/>
    </xf>
    <xf numFmtId="164" fontId="8" fillId="2" borderId="0" xfId="15" applyNumberFormat="1" applyFont="1" applyFill="1" applyBorder="1" applyAlignment="1">
      <alignment horizontal="center"/>
    </xf>
    <xf numFmtId="164" fontId="9" fillId="2" borderId="0" xfId="15" applyNumberFormat="1" applyFont="1" applyFill="1" applyBorder="1" applyAlignment="1">
      <alignment horizontal="center"/>
    </xf>
    <xf numFmtId="164" fontId="8" fillId="2" borderId="1" xfId="15" applyNumberFormat="1" applyFont="1" applyFill="1" applyBorder="1" applyAlignment="1">
      <alignment/>
    </xf>
    <xf numFmtId="164" fontId="10" fillId="0" borderId="0" xfId="15" applyNumberFormat="1" applyFont="1" applyFill="1" applyAlignment="1">
      <alignment/>
    </xf>
    <xf numFmtId="164" fontId="10" fillId="0" borderId="6" xfId="15" applyNumberFormat="1" applyFont="1" applyFill="1" applyBorder="1" applyAlignment="1">
      <alignment/>
    </xf>
    <xf numFmtId="164" fontId="10" fillId="0" borderId="7" xfId="15" applyNumberFormat="1" applyFont="1" applyFill="1" applyBorder="1" applyAlignment="1">
      <alignment/>
    </xf>
    <xf numFmtId="1" fontId="10" fillId="0" borderId="8" xfId="15" applyNumberFormat="1" applyFont="1" applyFill="1" applyBorder="1" applyAlignment="1">
      <alignment horizontal="center"/>
    </xf>
    <xf numFmtId="1" fontId="11" fillId="0" borderId="8" xfId="15" applyNumberFormat="1" applyFont="1" applyFill="1" applyBorder="1" applyAlignment="1">
      <alignment horizontal="center"/>
    </xf>
    <xf numFmtId="164" fontId="10" fillId="0" borderId="8" xfId="15" applyNumberFormat="1" applyFont="1" applyFill="1" applyBorder="1" applyAlignment="1">
      <alignment/>
    </xf>
    <xf numFmtId="164" fontId="11" fillId="0" borderId="7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42" fontId="2" fillId="0" borderId="7" xfId="15" applyNumberFormat="1" applyFont="1" applyFill="1" applyBorder="1" applyAlignment="1" quotePrefix="1">
      <alignment/>
    </xf>
    <xf numFmtId="41" fontId="0" fillId="0" borderId="8" xfId="15" applyNumberFormat="1" applyFont="1" applyFill="1" applyBorder="1" applyAlignment="1">
      <alignment/>
    </xf>
    <xf numFmtId="41" fontId="2" fillId="0" borderId="7" xfId="15" applyNumberFormat="1" applyFont="1" applyFill="1" applyBorder="1" applyAlignment="1" quotePrefix="1">
      <alignment/>
    </xf>
    <xf numFmtId="41" fontId="2" fillId="0" borderId="7" xfId="15" applyNumberFormat="1" applyFont="1" applyFill="1" applyBorder="1" applyAlignment="1">
      <alignment/>
    </xf>
    <xf numFmtId="41" fontId="10" fillId="0" borderId="8" xfId="15" applyNumberFormat="1" applyFont="1" applyFill="1" applyBorder="1" applyAlignment="1">
      <alignment/>
    </xf>
    <xf numFmtId="41" fontId="11" fillId="0" borderId="7" xfId="15" applyNumberFormat="1" applyFont="1" applyFill="1" applyBorder="1" applyAlignment="1">
      <alignment/>
    </xf>
    <xf numFmtId="42" fontId="10" fillId="0" borderId="8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164" fontId="2" fillId="0" borderId="6" xfId="15" applyNumberFormat="1" applyFont="1" applyFill="1" applyBorder="1" applyAlignment="1" quotePrefix="1">
      <alignment/>
    </xf>
    <xf numFmtId="164" fontId="0" fillId="0" borderId="3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164" fontId="3" fillId="2" borderId="2" xfId="15" applyNumberFormat="1" applyFont="1" applyFill="1" applyBorder="1" applyAlignment="1">
      <alignment/>
    </xf>
    <xf numFmtId="164" fontId="4" fillId="2" borderId="3" xfId="15" applyNumberFormat="1" applyFont="1" applyFill="1" applyBorder="1" applyAlignment="1">
      <alignment horizontal="left"/>
    </xf>
    <xf numFmtId="164" fontId="4" fillId="2" borderId="0" xfId="15" applyNumberFormat="1" applyFont="1" applyFill="1" applyBorder="1" applyAlignment="1">
      <alignment horizontal="left"/>
    </xf>
    <xf numFmtId="0" fontId="5" fillId="2" borderId="4" xfId="21" applyFont="1" applyFill="1" applyBorder="1">
      <alignment/>
      <protection/>
    </xf>
    <xf numFmtId="0" fontId="7" fillId="0" borderId="0" xfId="21" applyFont="1">
      <alignment/>
      <protection/>
    </xf>
    <xf numFmtId="164" fontId="4" fillId="2" borderId="5" xfId="15" applyNumberFormat="1" applyFont="1" applyFill="1" applyBorder="1" applyAlignment="1">
      <alignment/>
    </xf>
    <xf numFmtId="0" fontId="13" fillId="2" borderId="1" xfId="21" applyFont="1" applyFill="1" applyBorder="1">
      <alignment/>
      <protection/>
    </xf>
    <xf numFmtId="0" fontId="0" fillId="0" borderId="0" xfId="21" applyFont="1">
      <alignment/>
      <protection/>
    </xf>
    <xf numFmtId="0" fontId="5" fillId="2" borderId="1" xfId="21" applyFont="1" applyFill="1" applyBorder="1">
      <alignment/>
      <protection/>
    </xf>
    <xf numFmtId="164" fontId="4" fillId="2" borderId="9" xfId="15" applyNumberFormat="1" applyFont="1" applyFill="1" applyBorder="1" applyAlignment="1">
      <alignment horizontal="left"/>
    </xf>
    <xf numFmtId="0" fontId="13" fillId="2" borderId="10" xfId="21" applyFont="1" applyFill="1" applyBorder="1">
      <alignment/>
      <protection/>
    </xf>
    <xf numFmtId="164" fontId="14" fillId="0" borderId="6" xfId="15" applyNumberFormat="1" applyFont="1" applyFill="1" applyBorder="1" applyAlignment="1">
      <alignment/>
    </xf>
    <xf numFmtId="164" fontId="14" fillId="0" borderId="11" xfId="15" applyNumberFormat="1" applyFont="1" applyFill="1" applyBorder="1" applyAlignment="1">
      <alignment/>
    </xf>
    <xf numFmtId="0" fontId="10" fillId="0" borderId="8" xfId="21" applyFont="1" applyBorder="1" applyAlignment="1">
      <alignment horizontal="center"/>
      <protection/>
    </xf>
    <xf numFmtId="164" fontId="10" fillId="0" borderId="0" xfId="15" applyNumberFormat="1" applyFont="1" applyFill="1" applyBorder="1" applyAlignment="1">
      <alignment horizontal="center"/>
    </xf>
    <xf numFmtId="164" fontId="10" fillId="0" borderId="6" xfId="15" applyNumberFormat="1" applyFont="1" applyFill="1" applyBorder="1" applyAlignment="1">
      <alignment horizontal="left"/>
    </xf>
    <xf numFmtId="164" fontId="10" fillId="0" borderId="7" xfId="15" applyNumberFormat="1" applyFont="1" applyFill="1" applyBorder="1" applyAlignment="1">
      <alignment horizontal="left"/>
    </xf>
    <xf numFmtId="10" fontId="0" fillId="0" borderId="8" xfId="28" applyNumberFormat="1" applyFont="1" applyFill="1" applyBorder="1" applyAlignment="1">
      <alignment/>
    </xf>
    <xf numFmtId="10" fontId="0" fillId="0" borderId="0" xfId="28" applyNumberFormat="1" applyFont="1" applyFill="1" applyBorder="1" applyAlignment="1">
      <alignment/>
    </xf>
    <xf numFmtId="0" fontId="0" fillId="0" borderId="8" xfId="21" applyFont="1" applyBorder="1">
      <alignment/>
      <protection/>
    </xf>
    <xf numFmtId="42" fontId="0" fillId="0" borderId="0" xfId="15" applyNumberFormat="1" applyFont="1" applyFill="1" applyBorder="1" applyAlignment="1">
      <alignment/>
    </xf>
    <xf numFmtId="0" fontId="0" fillId="0" borderId="0" xfId="21" applyFont="1" applyBorder="1">
      <alignment/>
      <protection/>
    </xf>
    <xf numFmtId="41" fontId="10" fillId="0" borderId="0" xfId="15" applyNumberFormat="1" applyFont="1" applyFill="1" applyBorder="1" applyAlignment="1">
      <alignment/>
    </xf>
    <xf numFmtId="0" fontId="10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64" fontId="10" fillId="0" borderId="7" xfId="15" applyNumberFormat="1" applyFont="1" applyFill="1" applyBorder="1" applyAlignment="1">
      <alignment/>
    </xf>
    <xf numFmtId="0" fontId="10" fillId="0" borderId="0" xfId="21" applyFont="1" applyBorder="1">
      <alignment/>
      <protection/>
    </xf>
    <xf numFmtId="0" fontId="10" fillId="0" borderId="7" xfId="21" applyFont="1" applyBorder="1">
      <alignment/>
      <protection/>
    </xf>
    <xf numFmtId="42" fontId="10" fillId="0" borderId="0" xfId="15" applyNumberFormat="1" applyFont="1" applyFill="1" applyBorder="1" applyAlignment="1">
      <alignment/>
    </xf>
    <xf numFmtId="0" fontId="0" fillId="0" borderId="3" xfId="21" applyFont="1" applyBorder="1">
      <alignment/>
      <protection/>
    </xf>
    <xf numFmtId="38" fontId="15" fillId="2" borderId="3" xfId="0" applyNumberFormat="1" applyFont="1" applyFill="1" applyBorder="1" applyAlignment="1">
      <alignment/>
    </xf>
    <xf numFmtId="37" fontId="13" fillId="2" borderId="3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3" fillId="2" borderId="0" xfId="0" applyNumberFormat="1" applyFont="1" applyFill="1" applyBorder="1" applyAlignment="1">
      <alignment/>
    </xf>
    <xf numFmtId="37" fontId="13" fillId="2" borderId="0" xfId="0" applyNumberFormat="1" applyFont="1" applyFill="1" applyBorder="1" applyAlignment="1">
      <alignment/>
    </xf>
    <xf numFmtId="39" fontId="13" fillId="2" borderId="1" xfId="0" applyNumberFormat="1" applyFont="1" applyFill="1" applyBorder="1" applyAlignment="1">
      <alignment/>
    </xf>
    <xf numFmtId="164" fontId="8" fillId="2" borderId="5" xfId="15" applyNumberFormat="1" applyFont="1" applyFill="1" applyBorder="1" applyAlignment="1">
      <alignment horizontal="left"/>
    </xf>
    <xf numFmtId="164" fontId="14" fillId="0" borderId="2" xfId="15" applyNumberFormat="1" applyFont="1" applyFill="1" applyBorder="1" applyAlignment="1">
      <alignment horizontal="left"/>
    </xf>
    <xf numFmtId="38" fontId="0" fillId="0" borderId="3" xfId="0" applyNumberFormat="1" applyFont="1" applyFill="1" applyBorder="1" applyAlignment="1">
      <alignment/>
    </xf>
    <xf numFmtId="0" fontId="10" fillId="0" borderId="6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38" fontId="10" fillId="0" borderId="6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7" xfId="0" applyNumberFormat="1" applyFont="1" applyFill="1" applyBorder="1" applyAlignment="1">
      <alignment/>
    </xf>
    <xf numFmtId="37" fontId="0" fillId="0" borderId="6" xfId="15" applyNumberFormat="1" applyFont="1" applyFill="1" applyBorder="1" applyAlignment="1">
      <alignment/>
    </xf>
    <xf numFmtId="39" fontId="10" fillId="0" borderId="8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/>
    </xf>
    <xf numFmtId="42" fontId="0" fillId="0" borderId="6" xfId="17" applyNumberFormat="1" applyFont="1" applyFill="1" applyBorder="1" applyAlignment="1">
      <alignment/>
    </xf>
    <xf numFmtId="42" fontId="0" fillId="0" borderId="8" xfId="17" applyNumberFormat="1" applyFont="1" applyFill="1" applyBorder="1" applyAlignment="1">
      <alignment/>
    </xf>
    <xf numFmtId="41" fontId="0" fillId="0" borderId="6" xfId="15" applyNumberFormat="1" applyFont="1" applyFill="1" applyBorder="1" applyAlignment="1">
      <alignment/>
    </xf>
    <xf numFmtId="41" fontId="0" fillId="0" borderId="8" xfId="15" applyNumberFormat="1" applyFont="1" applyFill="1" applyBorder="1" applyAlignment="1">
      <alignment/>
    </xf>
    <xf numFmtId="41" fontId="10" fillId="0" borderId="6" xfId="15" applyNumberFormat="1" applyFont="1" applyFill="1" applyBorder="1" applyAlignment="1">
      <alignment/>
    </xf>
    <xf numFmtId="41" fontId="10" fillId="0" borderId="8" xfId="15" applyNumberFormat="1" applyFont="1" applyFill="1" applyBorder="1" applyAlignment="1">
      <alignment/>
    </xf>
    <xf numFmtId="42" fontId="10" fillId="0" borderId="6" xfId="17" applyNumberFormat="1" applyFont="1" applyFill="1" applyBorder="1" applyAlignment="1">
      <alignment/>
    </xf>
    <xf numFmtId="42" fontId="10" fillId="0" borderId="8" xfId="17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42" fontId="0" fillId="0" borderId="0" xfId="15" applyNumberFormat="1" applyFont="1" applyFill="1" applyAlignment="1">
      <alignment/>
    </xf>
    <xf numFmtId="42" fontId="0" fillId="0" borderId="3" xfId="0" applyNumberFormat="1" applyFont="1" applyFill="1" applyBorder="1" applyAlignment="1">
      <alignment/>
    </xf>
    <xf numFmtId="37" fontId="0" fillId="0" borderId="0" xfId="15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8" fontId="10" fillId="0" borderId="0" xfId="0" applyNumberFormat="1" applyFont="1" applyFill="1" applyBorder="1" applyAlignment="1">
      <alignment/>
    </xf>
    <xf numFmtId="37" fontId="0" fillId="0" borderId="9" xfId="15" applyNumberFormat="1" applyFont="1" applyFill="1" applyBorder="1" applyAlignment="1">
      <alignment/>
    </xf>
    <xf numFmtId="39" fontId="2" fillId="0" borderId="0" xfId="15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42" fontId="10" fillId="0" borderId="12" xfId="0" applyNumberFormat="1" applyFont="1" applyFill="1" applyBorder="1" applyAlignment="1">
      <alignment/>
    </xf>
    <xf numFmtId="39" fontId="10" fillId="0" borderId="0" xfId="0" applyNumberFormat="1" applyFont="1" applyFill="1" applyAlignment="1">
      <alignment/>
    </xf>
    <xf numFmtId="164" fontId="0" fillId="0" borderId="0" xfId="15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6" fillId="2" borderId="0" xfId="15" applyNumberFormat="1" applyFont="1" applyFill="1" applyAlignment="1">
      <alignment/>
    </xf>
    <xf numFmtId="164" fontId="3" fillId="2" borderId="3" xfId="15" applyNumberFormat="1" applyFont="1" applyFill="1" applyBorder="1" applyAlignment="1">
      <alignment/>
    </xf>
    <xf numFmtId="164" fontId="17" fillId="2" borderId="3" xfId="15" applyNumberFormat="1" applyFont="1" applyFill="1" applyBorder="1" applyAlignment="1">
      <alignment/>
    </xf>
    <xf numFmtId="164" fontId="17" fillId="2" borderId="3" xfId="15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/>
    </xf>
    <xf numFmtId="0" fontId="16" fillId="0" borderId="0" xfId="0" applyFont="1" applyFill="1" applyAlignment="1">
      <alignment/>
    </xf>
    <xf numFmtId="164" fontId="7" fillId="2" borderId="0" xfId="15" applyNumberFormat="1" applyFont="1" applyFill="1" applyAlignment="1">
      <alignment/>
    </xf>
    <xf numFmtId="164" fontId="5" fillId="2" borderId="0" xfId="15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7" fillId="0" borderId="0" xfId="0" applyFont="1" applyFill="1" applyAlignment="1">
      <alignment/>
    </xf>
    <xf numFmtId="164" fontId="0" fillId="2" borderId="0" xfId="15" applyNumberFormat="1" applyFont="1" applyFill="1" applyAlignment="1">
      <alignment/>
    </xf>
    <xf numFmtId="0" fontId="8" fillId="2" borderId="5" xfId="0" applyFont="1" applyFill="1" applyBorder="1" applyAlignment="1">
      <alignment horizontal="left"/>
    </xf>
    <xf numFmtId="164" fontId="13" fillId="2" borderId="0" xfId="15" applyNumberFormat="1" applyFont="1" applyFill="1" applyBorder="1" applyAlignment="1">
      <alignment/>
    </xf>
    <xf numFmtId="164" fontId="13" fillId="2" borderId="0" xfId="15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4" fillId="2" borderId="13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164" fontId="13" fillId="2" borderId="9" xfId="15" applyNumberFormat="1" applyFont="1" applyFill="1" applyBorder="1" applyAlignment="1">
      <alignment/>
    </xf>
    <xf numFmtId="164" fontId="13" fillId="2" borderId="9" xfId="15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/>
    </xf>
    <xf numFmtId="164" fontId="10" fillId="0" borderId="2" xfId="15" applyNumberFormat="1" applyFont="1" applyFill="1" applyBorder="1" applyAlignment="1">
      <alignment/>
    </xf>
    <xf numFmtId="164" fontId="10" fillId="0" borderId="3" xfId="15" applyNumberFormat="1" applyFont="1" applyFill="1" applyBorder="1" applyAlignment="1">
      <alignment/>
    </xf>
    <xf numFmtId="164" fontId="10" fillId="0" borderId="4" xfId="15" applyNumberFormat="1" applyFont="1" applyFill="1" applyBorder="1" applyAlignment="1">
      <alignment/>
    </xf>
    <xf numFmtId="164" fontId="10" fillId="0" borderId="8" xfId="15" applyNumberFormat="1" applyFont="1" applyFill="1" applyBorder="1" applyAlignment="1">
      <alignment horizontal="center"/>
    </xf>
    <xf numFmtId="164" fontId="10" fillId="0" borderId="14" xfId="15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164" fontId="10" fillId="0" borderId="14" xfId="15" applyNumberFormat="1" applyFont="1" applyFill="1" applyBorder="1" applyAlignment="1">
      <alignment/>
    </xf>
    <xf numFmtId="164" fontId="10" fillId="0" borderId="5" xfId="15" applyNumberFormat="1" applyFont="1" applyFill="1" applyBorder="1" applyAlignment="1">
      <alignment/>
    </xf>
    <xf numFmtId="164" fontId="10" fillId="0" borderId="1" xfId="15" applyNumberFormat="1" applyFont="1" applyFill="1" applyBorder="1" applyAlignment="1">
      <alignment/>
    </xf>
    <xf numFmtId="164" fontId="10" fillId="0" borderId="15" xfId="15" applyNumberFormat="1" applyFont="1" applyFill="1" applyBorder="1" applyAlignment="1">
      <alignment horizontal="center"/>
    </xf>
    <xf numFmtId="164" fontId="10" fillId="0" borderId="8" xfId="15" applyNumberFormat="1" applyFont="1" applyFill="1" applyBorder="1" applyAlignment="1">
      <alignment/>
    </xf>
    <xf numFmtId="164" fontId="10" fillId="0" borderId="15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0" fillId="0" borderId="16" xfId="0" applyFont="1" applyFill="1" applyBorder="1" applyAlignment="1">
      <alignment horizontal="centerContinuous"/>
    </xf>
    <xf numFmtId="164" fontId="10" fillId="0" borderId="13" xfId="15" applyNumberFormat="1" applyFont="1" applyFill="1" applyBorder="1" applyAlignment="1">
      <alignment/>
    </xf>
    <xf numFmtId="164" fontId="10" fillId="0" borderId="9" xfId="15" applyNumberFormat="1" applyFont="1" applyFill="1" applyBorder="1" applyAlignment="1">
      <alignment/>
    </xf>
    <xf numFmtId="164" fontId="10" fillId="0" borderId="10" xfId="15" applyNumberFormat="1" applyFont="1" applyFill="1" applyBorder="1" applyAlignment="1">
      <alignment/>
    </xf>
    <xf numFmtId="164" fontId="10" fillId="0" borderId="16" xfId="15" applyNumberFormat="1" applyFont="1" applyFill="1" applyBorder="1" applyAlignment="1">
      <alignment horizontal="center"/>
    </xf>
    <xf numFmtId="164" fontId="10" fillId="0" borderId="11" xfId="15" applyNumberFormat="1" applyFont="1" applyFill="1" applyBorder="1" applyAlignment="1">
      <alignment/>
    </xf>
    <xf numFmtId="164" fontId="0" fillId="0" borderId="11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 horizontal="center"/>
    </xf>
    <xf numFmtId="42" fontId="0" fillId="0" borderId="8" xfId="15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1" fontId="0" fillId="0" borderId="8" xfId="15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1" fontId="10" fillId="0" borderId="8" xfId="15" applyNumberFormat="1" applyFont="1" applyFill="1" applyBorder="1" applyAlignment="1">
      <alignment horizontal="center"/>
    </xf>
    <xf numFmtId="42" fontId="10" fillId="0" borderId="8" xfId="15" applyNumberFormat="1" applyFont="1" applyFill="1" applyBorder="1" applyAlignment="1">
      <alignment horizontal="center"/>
    </xf>
    <xf numFmtId="164" fontId="18" fillId="0" borderId="0" xfId="15" applyNumberFormat="1" applyFont="1" applyFill="1" applyAlignment="1">
      <alignment/>
    </xf>
    <xf numFmtId="164" fontId="18" fillId="0" borderId="0" xfId="15" applyNumberFormat="1" applyFont="1" applyFill="1" applyBorder="1" applyAlignment="1">
      <alignment/>
    </xf>
    <xf numFmtId="0" fontId="18" fillId="0" borderId="0" xfId="23" applyFont="1" applyFill="1" applyAlignment="1">
      <alignment/>
      <protection/>
    </xf>
    <xf numFmtId="164" fontId="5" fillId="0" borderId="0" xfId="15" applyNumberFormat="1" applyFont="1" applyFill="1" applyAlignment="1">
      <alignment/>
    </xf>
    <xf numFmtId="164" fontId="4" fillId="2" borderId="4" xfId="15" applyNumberFormat="1" applyFont="1" applyFill="1" applyBorder="1" applyAlignment="1">
      <alignment horizontal="left"/>
    </xf>
    <xf numFmtId="0" fontId="13" fillId="0" borderId="0" xfId="23" applyFont="1" applyFill="1" applyAlignment="1">
      <alignment/>
      <protection/>
    </xf>
    <xf numFmtId="164" fontId="4" fillId="2" borderId="1" xfId="15" applyNumberFormat="1" applyFont="1" applyFill="1" applyBorder="1" applyAlignment="1">
      <alignment horizontal="left"/>
    </xf>
    <xf numFmtId="164" fontId="13" fillId="2" borderId="5" xfId="15" applyNumberFormat="1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164" fontId="4" fillId="2" borderId="1" xfId="15" applyNumberFormat="1" applyFont="1" applyFill="1" applyBorder="1" applyAlignment="1">
      <alignment horizontal="centerContinuous"/>
    </xf>
    <xf numFmtId="164" fontId="0" fillId="0" borderId="0" xfId="15" applyNumberFormat="1" applyFont="1" applyFill="1" applyAlignment="1">
      <alignment/>
    </xf>
    <xf numFmtId="164" fontId="10" fillId="0" borderId="2" xfId="15" applyNumberFormat="1" applyFont="1" applyFill="1" applyBorder="1" applyAlignment="1">
      <alignment horizontal="center"/>
    </xf>
    <xf numFmtId="164" fontId="10" fillId="0" borderId="3" xfId="15" applyNumberFormat="1" applyFont="1" applyFill="1" applyBorder="1" applyAlignment="1">
      <alignment horizontal="center"/>
    </xf>
    <xf numFmtId="164" fontId="10" fillId="0" borderId="4" xfId="15" applyNumberFormat="1" applyFont="1" applyFill="1" applyBorder="1" applyAlignment="1">
      <alignment horizontal="center"/>
    </xf>
    <xf numFmtId="164" fontId="10" fillId="0" borderId="6" xfId="15" applyNumberFormat="1" applyFont="1" applyFill="1" applyBorder="1" applyAlignment="1">
      <alignment horizontal="centerContinuous"/>
    </xf>
    <xf numFmtId="164" fontId="10" fillId="0" borderId="11" xfId="15" applyNumberFormat="1" applyFont="1" applyFill="1" applyBorder="1" applyAlignment="1">
      <alignment horizontal="centerContinuous"/>
    </xf>
    <xf numFmtId="164" fontId="10" fillId="0" borderId="7" xfId="15" applyNumberFormat="1" applyFont="1" applyFill="1" applyBorder="1" applyAlignment="1">
      <alignment horizontal="centerContinuous"/>
    </xf>
    <xf numFmtId="0" fontId="0" fillId="0" borderId="0" xfId="23" applyFont="1" applyFill="1" applyAlignment="1">
      <alignment/>
      <protection/>
    </xf>
    <xf numFmtId="164" fontId="0" fillId="0" borderId="0" xfId="15" applyNumberFormat="1" applyFont="1" applyFill="1" applyAlignment="1">
      <alignment wrapText="1"/>
    </xf>
    <xf numFmtId="164" fontId="10" fillId="0" borderId="13" xfId="15" applyNumberFormat="1" applyFont="1" applyFill="1" applyBorder="1" applyAlignment="1">
      <alignment horizontal="centerContinuous" wrapText="1"/>
    </xf>
    <xf numFmtId="164" fontId="10" fillId="0" borderId="9" xfId="15" applyNumberFormat="1" applyFont="1" applyFill="1" applyBorder="1" applyAlignment="1">
      <alignment horizontal="centerContinuous" wrapText="1"/>
    </xf>
    <xf numFmtId="164" fontId="10" fillId="0" borderId="10" xfId="15" applyNumberFormat="1" applyFont="1" applyFill="1" applyBorder="1" applyAlignment="1">
      <alignment horizontal="centerContinuous" wrapText="1"/>
    </xf>
    <xf numFmtId="164" fontId="10" fillId="0" borderId="8" xfId="15" applyNumberFormat="1" applyFont="1" applyFill="1" applyBorder="1" applyAlignment="1">
      <alignment horizontal="center" wrapText="1"/>
    </xf>
    <xf numFmtId="164" fontId="10" fillId="0" borderId="16" xfId="15" applyNumberFormat="1" applyFont="1" applyFill="1" applyBorder="1" applyAlignment="1">
      <alignment horizontal="center" wrapText="1"/>
    </xf>
    <xf numFmtId="0" fontId="0" fillId="0" borderId="0" xfId="23" applyFont="1" applyFill="1" applyAlignment="1">
      <alignment wrapText="1"/>
      <protection/>
    </xf>
    <xf numFmtId="164" fontId="0" fillId="0" borderId="6" xfId="15" applyNumberFormat="1" applyFont="1" applyFill="1" applyBorder="1" applyAlignment="1">
      <alignment/>
    </xf>
    <xf numFmtId="164" fontId="10" fillId="0" borderId="8" xfId="15" applyNumberFormat="1" applyFont="1" applyFill="1" applyBorder="1" applyAlignment="1">
      <alignment horizontal="centerContinuous"/>
    </xf>
    <xf numFmtId="164" fontId="0" fillId="0" borderId="11" xfId="15" applyNumberFormat="1" applyFont="1" applyFill="1" applyBorder="1" applyAlignment="1">
      <alignment/>
    </xf>
    <xf numFmtId="0" fontId="0" fillId="0" borderId="11" xfId="23" applyFont="1" applyFill="1" applyBorder="1" applyAlignment="1">
      <alignment/>
      <protection/>
    </xf>
    <xf numFmtId="164" fontId="7" fillId="0" borderId="6" xfId="15" applyNumberFormat="1" applyFont="1" applyFill="1" applyBorder="1" applyAlignment="1">
      <alignment/>
    </xf>
    <xf numFmtId="164" fontId="10" fillId="0" borderId="11" xfId="15" applyNumberFormat="1" applyFont="1" applyFill="1" applyBorder="1" applyAlignment="1">
      <alignment horizontal="left"/>
    </xf>
    <xf numFmtId="164" fontId="0" fillId="0" borderId="8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42" fontId="0" fillId="0" borderId="6" xfId="15" applyNumberFormat="1" applyFont="1" applyFill="1" applyBorder="1" applyAlignment="1">
      <alignment/>
    </xf>
    <xf numFmtId="41" fontId="18" fillId="0" borderId="0" xfId="15" applyNumberFormat="1" applyFont="1" applyFill="1" applyBorder="1" applyAlignment="1">
      <alignment/>
    </xf>
    <xf numFmtId="41" fontId="18" fillId="0" borderId="0" xfId="15" applyNumberFormat="1" applyFont="1" applyFill="1" applyAlignment="1">
      <alignment/>
    </xf>
    <xf numFmtId="41" fontId="7" fillId="0" borderId="6" xfId="15" applyNumberFormat="1" applyFont="1" applyFill="1" applyBorder="1" applyAlignment="1">
      <alignment/>
    </xf>
    <xf numFmtId="164" fontId="14" fillId="0" borderId="6" xfId="15" applyNumberFormat="1" applyFont="1" applyFill="1" applyBorder="1" applyAlignment="1">
      <alignment/>
    </xf>
    <xf numFmtId="164" fontId="10" fillId="0" borderId="6" xfId="15" applyNumberFormat="1" applyFont="1" applyFill="1" applyBorder="1" applyAlignment="1">
      <alignment/>
    </xf>
    <xf numFmtId="41" fontId="14" fillId="0" borderId="6" xfId="15" applyNumberFormat="1" applyFont="1" applyFill="1" applyBorder="1" applyAlignment="1">
      <alignment/>
    </xf>
    <xf numFmtId="164" fontId="10" fillId="0" borderId="11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41" fontId="0" fillId="0" borderId="9" xfId="15" applyNumberFormat="1" applyFont="1" applyFill="1" applyBorder="1" applyAlignment="1">
      <alignment/>
    </xf>
    <xf numFmtId="41" fontId="0" fillId="0" borderId="11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41" fontId="14" fillId="0" borderId="0" xfId="15" applyNumberFormat="1" applyFont="1" applyFill="1" applyAlignment="1">
      <alignment/>
    </xf>
    <xf numFmtId="164" fontId="7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/>
    </xf>
    <xf numFmtId="41" fontId="7" fillId="0" borderId="0" xfId="15" applyNumberFormat="1" applyFont="1" applyFill="1" applyAlignment="1">
      <alignment/>
    </xf>
    <xf numFmtId="0" fontId="10" fillId="0" borderId="0" xfId="23" applyFont="1" applyFill="1" applyAlignment="1">
      <alignment/>
      <protection/>
    </xf>
    <xf numFmtId="164" fontId="0" fillId="0" borderId="3" xfId="15" applyNumberFormat="1" applyFont="1" applyFill="1" applyBorder="1" applyAlignment="1">
      <alignment/>
    </xf>
    <xf numFmtId="41" fontId="0" fillId="0" borderId="3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0" fontId="0" fillId="0" borderId="0" xfId="23" applyFont="1" applyFill="1" applyBorder="1" applyAlignment="1">
      <alignment/>
      <protection/>
    </xf>
    <xf numFmtId="164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164" fontId="14" fillId="0" borderId="0" xfId="15" applyNumberFormat="1" applyFont="1" applyFill="1" applyBorder="1" applyAlignment="1">
      <alignment/>
    </xf>
    <xf numFmtId="41" fontId="14" fillId="0" borderId="0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7" fillId="0" borderId="0" xfId="23" applyFont="1" applyFill="1" applyAlignment="1">
      <alignment/>
      <protection/>
    </xf>
    <xf numFmtId="42" fontId="10" fillId="0" borderId="8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0" fontId="0" fillId="0" borderId="0" xfId="22" applyFont="1">
      <alignment/>
      <protection/>
    </xf>
    <xf numFmtId="164" fontId="8" fillId="2" borderId="0" xfId="15" applyNumberFormat="1" applyFont="1" applyFill="1" applyBorder="1" applyAlignment="1">
      <alignment horizontal="left"/>
    </xf>
    <xf numFmtId="164" fontId="8" fillId="2" borderId="1" xfId="15" applyNumberFormat="1" applyFont="1" applyFill="1" applyBorder="1" applyAlignment="1">
      <alignment horizontal="left"/>
    </xf>
    <xf numFmtId="164" fontId="4" fillId="2" borderId="1" xfId="15" applyNumberFormat="1" applyFont="1" applyFill="1" applyBorder="1" applyAlignment="1">
      <alignment/>
    </xf>
    <xf numFmtId="164" fontId="10" fillId="0" borderId="5" xfId="15" applyNumberFormat="1" applyFont="1" applyFill="1" applyBorder="1" applyAlignment="1">
      <alignment horizontal="center"/>
    </xf>
    <xf numFmtId="164" fontId="10" fillId="0" borderId="5" xfId="15" applyNumberFormat="1" applyFont="1" applyFill="1" applyBorder="1" applyAlignment="1">
      <alignment horizontal="centerContinuous"/>
    </xf>
    <xf numFmtId="164" fontId="10" fillId="0" borderId="0" xfId="15" applyNumberFormat="1" applyFont="1" applyFill="1" applyBorder="1" applyAlignment="1">
      <alignment horizontal="centerContinuous"/>
    </xf>
    <xf numFmtId="164" fontId="10" fillId="0" borderId="13" xfId="15" applyNumberFormat="1" applyFont="1" applyFill="1" applyBorder="1" applyAlignment="1">
      <alignment horizontal="centerContinuous"/>
    </xf>
    <xf numFmtId="164" fontId="10" fillId="0" borderId="6" xfId="15" applyNumberFormat="1" applyFont="1" applyFill="1" applyBorder="1" applyAlignment="1">
      <alignment horizontal="center"/>
    </xf>
    <xf numFmtId="164" fontId="0" fillId="0" borderId="8" xfId="15" applyNumberFormat="1" applyFont="1" applyFill="1" applyBorder="1" applyAlignment="1">
      <alignment horizontal="centerContinuous"/>
    </xf>
    <xf numFmtId="0" fontId="0" fillId="0" borderId="0" xfId="22" applyFont="1" applyFill="1">
      <alignment/>
      <protection/>
    </xf>
    <xf numFmtId="41" fontId="0" fillId="0" borderId="1" xfId="15" applyNumberFormat="1" applyFont="1" applyFill="1" applyBorder="1" applyAlignment="1">
      <alignment/>
    </xf>
    <xf numFmtId="0" fontId="20" fillId="0" borderId="0" xfId="24" applyFont="1" applyFill="1">
      <alignment/>
      <protection/>
    </xf>
    <xf numFmtId="39" fontId="20" fillId="0" borderId="0" xfId="24" applyNumberFormat="1" applyFont="1" applyFill="1">
      <alignment/>
      <protection/>
    </xf>
    <xf numFmtId="0" fontId="7" fillId="0" borderId="0" xfId="24" applyFont="1" applyFill="1">
      <alignment/>
      <protection/>
    </xf>
    <xf numFmtId="40" fontId="3" fillId="2" borderId="2" xfId="24" applyNumberFormat="1" applyFont="1" applyFill="1" applyBorder="1">
      <alignment/>
      <protection/>
    </xf>
    <xf numFmtId="0" fontId="5" fillId="2" borderId="3" xfId="24" applyFont="1" applyFill="1" applyBorder="1">
      <alignment/>
      <protection/>
    </xf>
    <xf numFmtId="0" fontId="5" fillId="2" borderId="4" xfId="24" applyFont="1" applyFill="1" applyBorder="1">
      <alignment/>
      <protection/>
    </xf>
    <xf numFmtId="40" fontId="14" fillId="0" borderId="0" xfId="24" applyNumberFormat="1" applyFont="1" applyFill="1" applyBorder="1" applyAlignment="1">
      <alignment horizontal="right"/>
      <protection/>
    </xf>
    <xf numFmtId="0" fontId="4" fillId="2" borderId="5" xfId="24" applyFont="1" applyFill="1" applyBorder="1">
      <alignment/>
      <protection/>
    </xf>
    <xf numFmtId="39" fontId="5" fillId="2" borderId="0" xfId="24" applyNumberFormat="1" applyFont="1" applyFill="1" applyBorder="1">
      <alignment/>
      <protection/>
    </xf>
    <xf numFmtId="39" fontId="4" fillId="2" borderId="0" xfId="24" applyNumberFormat="1" applyFont="1" applyFill="1" applyBorder="1" applyAlignment="1">
      <alignment horizontal="center"/>
      <protection/>
    </xf>
    <xf numFmtId="0" fontId="5" fillId="2" borderId="1" xfId="24" applyFont="1" applyFill="1" applyBorder="1">
      <alignment/>
      <protection/>
    </xf>
    <xf numFmtId="173" fontId="7" fillId="0" borderId="0" xfId="24" applyNumberFormat="1" applyFont="1" applyFill="1" applyBorder="1">
      <alignment/>
      <protection/>
    </xf>
    <xf numFmtId="0" fontId="8" fillId="2" borderId="5" xfId="24" applyFont="1" applyFill="1" applyBorder="1">
      <alignment/>
      <protection/>
    </xf>
    <xf numFmtId="39" fontId="21" fillId="2" borderId="0" xfId="24" applyNumberFormat="1" applyFont="1" applyFill="1" applyBorder="1">
      <alignment/>
      <protection/>
    </xf>
    <xf numFmtId="39" fontId="22" fillId="2" borderId="0" xfId="24" applyNumberFormat="1" applyFont="1" applyFill="1" applyBorder="1" applyAlignment="1">
      <alignment horizontal="center"/>
      <protection/>
    </xf>
    <xf numFmtId="0" fontId="21" fillId="2" borderId="1" xfId="24" applyFont="1" applyFill="1" applyBorder="1">
      <alignment/>
      <protection/>
    </xf>
    <xf numFmtId="19" fontId="20" fillId="0" borderId="0" xfId="24" applyNumberFormat="1" applyFont="1" applyFill="1" applyBorder="1">
      <alignment/>
      <protection/>
    </xf>
    <xf numFmtId="0" fontId="8" fillId="2" borderId="13" xfId="24" applyFont="1" applyFill="1" applyBorder="1">
      <alignment/>
      <protection/>
    </xf>
    <xf numFmtId="39" fontId="21" fillId="2" borderId="9" xfId="24" applyNumberFormat="1" applyFont="1" applyFill="1" applyBorder="1">
      <alignment/>
      <protection/>
    </xf>
    <xf numFmtId="39" fontId="22" fillId="2" borderId="9" xfId="24" applyNumberFormat="1" applyFont="1" applyFill="1" applyBorder="1" applyAlignment="1">
      <alignment horizontal="center"/>
      <protection/>
    </xf>
    <xf numFmtId="39" fontId="21" fillId="2" borderId="10" xfId="24" applyNumberFormat="1" applyFont="1" applyFill="1" applyBorder="1">
      <alignment/>
      <protection/>
    </xf>
    <xf numFmtId="19" fontId="20" fillId="0" borderId="0" xfId="24" applyNumberFormat="1" applyFont="1" applyFill="1">
      <alignment/>
      <protection/>
    </xf>
    <xf numFmtId="0" fontId="0" fillId="0" borderId="8" xfId="24" applyFont="1" applyFill="1" applyBorder="1">
      <alignment/>
      <protection/>
    </xf>
    <xf numFmtId="39" fontId="10" fillId="0" borderId="7" xfId="24" applyNumberFormat="1" applyFont="1" applyFill="1" applyBorder="1" applyAlignment="1">
      <alignment horizontal="center"/>
      <protection/>
    </xf>
    <xf numFmtId="39" fontId="10" fillId="0" borderId="8" xfId="24" applyNumberFormat="1" applyFont="1" applyFill="1" applyBorder="1" applyAlignment="1">
      <alignment horizontal="center"/>
      <protection/>
    </xf>
    <xf numFmtId="39" fontId="10" fillId="0" borderId="8" xfId="24" applyNumberFormat="1" applyFont="1" applyFill="1" applyBorder="1" applyAlignment="1">
      <alignment horizontal="center" wrapText="1"/>
      <protection/>
    </xf>
    <xf numFmtId="39" fontId="10" fillId="0" borderId="7" xfId="24" applyNumberFormat="1" applyFont="1" applyFill="1" applyBorder="1" applyAlignment="1">
      <alignment horizontal="center" vertical="top"/>
      <protection/>
    </xf>
    <xf numFmtId="39" fontId="10" fillId="0" borderId="8" xfId="24" applyNumberFormat="1" applyFont="1" applyFill="1" applyBorder="1" applyAlignment="1">
      <alignment horizontal="center" vertical="top"/>
      <protection/>
    </xf>
    <xf numFmtId="0" fontId="10" fillId="0" borderId="8" xfId="24" applyFont="1" applyFill="1" applyBorder="1">
      <alignment/>
      <protection/>
    </xf>
    <xf numFmtId="39" fontId="0" fillId="0" borderId="7" xfId="24" applyNumberFormat="1" applyFont="1" applyFill="1" applyBorder="1" applyAlignment="1">
      <alignment horizontal="center" vertical="top"/>
      <protection/>
    </xf>
    <xf numFmtId="39" fontId="0" fillId="0" borderId="8" xfId="24" applyNumberFormat="1" applyFont="1" applyFill="1" applyBorder="1" applyAlignment="1">
      <alignment horizontal="center" vertical="top"/>
      <protection/>
    </xf>
    <xf numFmtId="39" fontId="0" fillId="0" borderId="8" xfId="24" applyNumberFormat="1" applyFont="1" applyFill="1" applyBorder="1" applyAlignment="1">
      <alignment horizontal="center" wrapText="1"/>
      <protection/>
    </xf>
    <xf numFmtId="39" fontId="0" fillId="0" borderId="8" xfId="24" applyNumberFormat="1" applyFont="1" applyFill="1" applyBorder="1" applyAlignment="1" quotePrefix="1">
      <alignment horizontal="center" wrapText="1"/>
      <protection/>
    </xf>
    <xf numFmtId="39" fontId="0" fillId="0" borderId="8" xfId="24" applyNumberFormat="1" applyFont="1" applyFill="1" applyBorder="1">
      <alignment/>
      <protection/>
    </xf>
    <xf numFmtId="39" fontId="0" fillId="0" borderId="7" xfId="24" applyNumberFormat="1" applyFont="1" applyFill="1" applyBorder="1">
      <alignment/>
      <protection/>
    </xf>
    <xf numFmtId="42" fontId="0" fillId="0" borderId="7" xfId="24" applyNumberFormat="1" applyFont="1" applyFill="1" applyBorder="1">
      <alignment/>
      <protection/>
    </xf>
    <xf numFmtId="42" fontId="0" fillId="0" borderId="8" xfId="24" applyNumberFormat="1" applyFont="1" applyFill="1" applyBorder="1">
      <alignment/>
      <protection/>
    </xf>
    <xf numFmtId="43" fontId="0" fillId="0" borderId="7" xfId="24" applyNumberFormat="1" applyFont="1" applyFill="1" applyBorder="1">
      <alignment/>
      <protection/>
    </xf>
    <xf numFmtId="43" fontId="0" fillId="0" borderId="8" xfId="24" applyNumberFormat="1" applyFont="1" applyFill="1" applyBorder="1">
      <alignment/>
      <protection/>
    </xf>
    <xf numFmtId="41" fontId="0" fillId="0" borderId="7" xfId="24" applyNumberFormat="1" applyFont="1" applyFill="1" applyBorder="1">
      <alignment/>
      <protection/>
    </xf>
    <xf numFmtId="41" fontId="0" fillId="0" borderId="8" xfId="24" applyNumberFormat="1" applyFont="1" applyFill="1" applyBorder="1">
      <alignment/>
      <protection/>
    </xf>
    <xf numFmtId="0" fontId="23" fillId="0" borderId="0" xfId="24" applyFont="1" applyFill="1">
      <alignment/>
      <protection/>
    </xf>
    <xf numFmtId="41" fontId="10" fillId="0" borderId="7" xfId="24" applyNumberFormat="1" applyFont="1" applyFill="1" applyBorder="1">
      <alignment/>
      <protection/>
    </xf>
    <xf numFmtId="41" fontId="10" fillId="0" borderId="8" xfId="24" applyNumberFormat="1" applyFont="1" applyFill="1" applyBorder="1">
      <alignment/>
      <protection/>
    </xf>
    <xf numFmtId="42" fontId="10" fillId="0" borderId="8" xfId="24" applyNumberFormat="1" applyFont="1" applyFill="1" applyBorder="1">
      <alignment/>
      <protection/>
    </xf>
    <xf numFmtId="0" fontId="0" fillId="0" borderId="0" xfId="24" applyFont="1" applyFill="1">
      <alignment/>
      <protection/>
    </xf>
    <xf numFmtId="39" fontId="0" fillId="0" borderId="0" xfId="24" applyNumberFormat="1" applyFont="1" applyFill="1">
      <alignment/>
      <protection/>
    </xf>
    <xf numFmtId="0" fontId="20" fillId="0" borderId="0" xfId="27" applyFont="1" applyFill="1">
      <alignment/>
      <protection/>
    </xf>
    <xf numFmtId="0" fontId="0" fillId="0" borderId="0" xfId="27" applyFont="1" applyFill="1" quotePrefix="1">
      <alignment/>
      <protection/>
    </xf>
    <xf numFmtId="39" fontId="0" fillId="0" borderId="0" xfId="27" applyNumberFormat="1" applyFont="1" applyFill="1">
      <alignment/>
      <protection/>
    </xf>
    <xf numFmtId="0" fontId="0" fillId="0" borderId="6" xfId="25" applyFont="1" applyFill="1" applyBorder="1">
      <alignment/>
      <protection/>
    </xf>
    <xf numFmtId="0" fontId="0" fillId="0" borderId="2" xfId="25" applyFont="1" applyFill="1" applyBorder="1">
      <alignment/>
      <protection/>
    </xf>
    <xf numFmtId="0" fontId="0" fillId="0" borderId="4" xfId="25" applyFont="1" applyFill="1" applyBorder="1">
      <alignment/>
      <protection/>
    </xf>
    <xf numFmtId="39" fontId="0" fillId="0" borderId="14" xfId="25" applyNumberFormat="1" applyFont="1" applyFill="1" applyBorder="1">
      <alignment/>
      <protection/>
    </xf>
    <xf numFmtId="0" fontId="0" fillId="0" borderId="14" xfId="25" applyFont="1" applyFill="1" applyBorder="1">
      <alignment/>
      <protection/>
    </xf>
    <xf numFmtId="0" fontId="0" fillId="0" borderId="8" xfId="25" applyFont="1" applyFill="1" applyBorder="1">
      <alignment/>
      <protection/>
    </xf>
    <xf numFmtId="0" fontId="3" fillId="2" borderId="2" xfId="25" applyFont="1" applyFill="1" applyBorder="1">
      <alignment/>
      <protection/>
    </xf>
    <xf numFmtId="0" fontId="0" fillId="2" borderId="7" xfId="25" applyFont="1" applyFill="1" applyBorder="1">
      <alignment/>
      <protection/>
    </xf>
    <xf numFmtId="39" fontId="13" fillId="2" borderId="3" xfId="25" applyNumberFormat="1" applyFont="1" applyFill="1" applyBorder="1">
      <alignment/>
      <protection/>
    </xf>
    <xf numFmtId="39" fontId="8" fillId="2" borderId="3" xfId="25" applyNumberFormat="1" applyFont="1" applyFill="1" applyBorder="1" applyAlignment="1">
      <alignment horizontal="center"/>
      <protection/>
    </xf>
    <xf numFmtId="0" fontId="13" fillId="2" borderId="4" xfId="25" applyFont="1" applyFill="1" applyBorder="1">
      <alignment/>
      <protection/>
    </xf>
    <xf numFmtId="0" fontId="10" fillId="0" borderId="4" xfId="25" applyFont="1" applyFill="1" applyBorder="1" applyAlignment="1">
      <alignment horizontal="right"/>
      <protection/>
    </xf>
    <xf numFmtId="0" fontId="10" fillId="0" borderId="8" xfId="25" applyFont="1" applyFill="1" applyBorder="1">
      <alignment/>
      <protection/>
    </xf>
    <xf numFmtId="0" fontId="4" fillId="2" borderId="5" xfId="25" applyFont="1" applyFill="1" applyBorder="1">
      <alignment/>
      <protection/>
    </xf>
    <xf numFmtId="39" fontId="13" fillId="2" borderId="0" xfId="25" applyNumberFormat="1" applyFont="1" applyFill="1" applyBorder="1">
      <alignment/>
      <protection/>
    </xf>
    <xf numFmtId="39" fontId="8" fillId="2" borderId="0" xfId="25" applyNumberFormat="1" applyFont="1" applyFill="1" applyBorder="1" applyAlignment="1">
      <alignment horizontal="center"/>
      <protection/>
    </xf>
    <xf numFmtId="0" fontId="13" fillId="2" borderId="1" xfId="25" applyFont="1" applyFill="1" applyBorder="1">
      <alignment/>
      <protection/>
    </xf>
    <xf numFmtId="174" fontId="0" fillId="0" borderId="1" xfId="25" applyNumberFormat="1" applyFont="1" applyFill="1" applyBorder="1">
      <alignment/>
      <protection/>
    </xf>
    <xf numFmtId="0" fontId="8" fillId="2" borderId="5" xfId="25" applyFont="1" applyFill="1" applyBorder="1">
      <alignment/>
      <protection/>
    </xf>
    <xf numFmtId="18" fontId="0" fillId="0" borderId="1" xfId="25" applyNumberFormat="1" applyFont="1" applyFill="1" applyBorder="1">
      <alignment/>
      <protection/>
    </xf>
    <xf numFmtId="0" fontId="8" fillId="2" borderId="13" xfId="25" applyFont="1" applyFill="1" applyBorder="1">
      <alignment/>
      <protection/>
    </xf>
    <xf numFmtId="39" fontId="13" fillId="2" borderId="9" xfId="25" applyNumberFormat="1" applyFont="1" applyFill="1" applyBorder="1">
      <alignment/>
      <protection/>
    </xf>
    <xf numFmtId="39" fontId="8" fillId="2" borderId="9" xfId="25" applyNumberFormat="1" applyFont="1" applyFill="1" applyBorder="1" applyAlignment="1">
      <alignment horizontal="center"/>
      <protection/>
    </xf>
    <xf numFmtId="0" fontId="13" fillId="2" borderId="10" xfId="25" applyFont="1" applyFill="1" applyBorder="1">
      <alignment/>
      <protection/>
    </xf>
    <xf numFmtId="18" fontId="0" fillId="0" borderId="10" xfId="25" applyNumberFormat="1" applyFont="1" applyFill="1" applyBorder="1">
      <alignment/>
      <protection/>
    </xf>
    <xf numFmtId="0" fontId="0" fillId="0" borderId="13" xfId="25" applyFont="1" applyFill="1" applyBorder="1">
      <alignment/>
      <protection/>
    </xf>
    <xf numFmtId="0" fontId="0" fillId="0" borderId="10" xfId="25" applyFont="1" applyFill="1" applyBorder="1">
      <alignment/>
      <protection/>
    </xf>
    <xf numFmtId="39" fontId="10" fillId="0" borderId="16" xfId="25" applyNumberFormat="1" applyFont="1" applyFill="1" applyBorder="1" applyAlignment="1">
      <alignment horizontal="center" wrapText="1"/>
      <protection/>
    </xf>
    <xf numFmtId="39" fontId="10" fillId="0" borderId="16" xfId="25" applyNumberFormat="1" applyFont="1" applyFill="1" applyBorder="1" applyAlignment="1">
      <alignment horizontal="center"/>
      <protection/>
    </xf>
    <xf numFmtId="0" fontId="10" fillId="0" borderId="8" xfId="25" applyFont="1" applyFill="1" applyBorder="1" applyAlignment="1">
      <alignment horizontal="center" wrapText="1"/>
      <protection/>
    </xf>
    <xf numFmtId="0" fontId="0" fillId="0" borderId="7" xfId="25" applyFont="1" applyFill="1" applyBorder="1">
      <alignment/>
      <protection/>
    </xf>
    <xf numFmtId="39" fontId="0" fillId="0" borderId="8" xfId="25" applyNumberFormat="1" applyFont="1" applyFill="1" applyBorder="1">
      <alignment/>
      <protection/>
    </xf>
    <xf numFmtId="39" fontId="0" fillId="0" borderId="8" xfId="25" applyNumberFormat="1" applyFont="1" applyFill="1" applyBorder="1" applyAlignment="1">
      <alignment horizontal="center"/>
      <protection/>
    </xf>
    <xf numFmtId="39" fontId="0" fillId="0" borderId="8" xfId="25" applyNumberFormat="1" applyFont="1" applyFill="1" applyBorder="1" applyAlignment="1">
      <alignment horizontal="center" wrapText="1"/>
      <protection/>
    </xf>
    <xf numFmtId="42" fontId="0" fillId="0" borderId="14" xfId="25" applyNumberFormat="1" applyFont="1" applyFill="1" applyBorder="1">
      <alignment/>
      <protection/>
    </xf>
    <xf numFmtId="41" fontId="0" fillId="0" borderId="4" xfId="25" applyNumberFormat="1" applyFont="1" applyFill="1" applyBorder="1">
      <alignment/>
      <protection/>
    </xf>
    <xf numFmtId="41" fontId="0" fillId="0" borderId="14" xfId="25" applyNumberFormat="1" applyFont="1" applyFill="1" applyBorder="1">
      <alignment/>
      <protection/>
    </xf>
    <xf numFmtId="0" fontId="10" fillId="0" borderId="6" xfId="25" applyFont="1" applyFill="1" applyBorder="1">
      <alignment/>
      <protection/>
    </xf>
    <xf numFmtId="41" fontId="10" fillId="0" borderId="7" xfId="25" applyNumberFormat="1" applyFont="1" applyFill="1" applyBorder="1" applyAlignment="1">
      <alignment horizontal="left"/>
      <protection/>
    </xf>
    <xf numFmtId="41" fontId="10" fillId="0" borderId="8" xfId="25" applyNumberFormat="1" applyFont="1" applyFill="1" applyBorder="1">
      <alignment/>
      <protection/>
    </xf>
    <xf numFmtId="41" fontId="10" fillId="0" borderId="8" xfId="25" applyNumberFormat="1" applyFont="1" applyFill="1" applyBorder="1" applyAlignment="1">
      <alignment horizontal="right"/>
      <protection/>
    </xf>
    <xf numFmtId="41" fontId="0" fillId="0" borderId="7" xfId="25" applyNumberFormat="1" applyFont="1" applyFill="1" applyBorder="1">
      <alignment/>
      <protection/>
    </xf>
    <xf numFmtId="41" fontId="0" fillId="0" borderId="8" xfId="25" applyNumberFormat="1" applyFont="1" applyFill="1" applyBorder="1">
      <alignment/>
      <protection/>
    </xf>
    <xf numFmtId="42" fontId="10" fillId="0" borderId="8" xfId="25" applyNumberFormat="1" applyFont="1" applyFill="1" applyBorder="1">
      <alignment/>
      <protection/>
    </xf>
    <xf numFmtId="41" fontId="0" fillId="0" borderId="7" xfId="25" applyNumberFormat="1" applyFont="1" applyFill="1" applyBorder="1" applyAlignment="1">
      <alignment horizontal="right"/>
      <protection/>
    </xf>
    <xf numFmtId="41" fontId="10" fillId="0" borderId="7" xfId="25" applyNumberFormat="1" applyFont="1" applyFill="1" applyBorder="1">
      <alignment/>
      <protection/>
    </xf>
    <xf numFmtId="0" fontId="10" fillId="0" borderId="7" xfId="25" applyFont="1" applyFill="1" applyBorder="1" applyAlignment="1">
      <alignment horizontal="left"/>
      <protection/>
    </xf>
    <xf numFmtId="0" fontId="0" fillId="0" borderId="0" xfId="26" applyFont="1" applyFill="1" applyAlignment="1">
      <alignment wrapText="1"/>
      <protection/>
    </xf>
    <xf numFmtId="0" fontId="0" fillId="0" borderId="0" xfId="26" applyFont="1" applyFill="1" applyBorder="1" applyAlignment="1">
      <alignment/>
      <protection/>
    </xf>
    <xf numFmtId="0" fontId="0" fillId="0" borderId="0" xfId="26" applyFont="1" applyFill="1" applyBorder="1" applyAlignment="1">
      <alignment wrapText="1"/>
      <protection/>
    </xf>
    <xf numFmtId="0" fontId="0" fillId="0" borderId="0" xfId="26" applyFont="1">
      <alignment/>
      <protection/>
    </xf>
    <xf numFmtId="0" fontId="7" fillId="0" borderId="0" xfId="26" applyFont="1" applyFill="1">
      <alignment/>
      <protection/>
    </xf>
    <xf numFmtId="0" fontId="3" fillId="2" borderId="2" xfId="26" applyFont="1" applyFill="1" applyBorder="1" applyAlignment="1">
      <alignment horizontal="left"/>
      <protection/>
    </xf>
    <xf numFmtId="0" fontId="4" fillId="2" borderId="3" xfId="26" applyFont="1" applyFill="1" applyBorder="1" applyAlignment="1">
      <alignment horizontal="left"/>
      <protection/>
    </xf>
    <xf numFmtId="0" fontId="14" fillId="2" borderId="3" xfId="26" applyFont="1" applyFill="1" applyBorder="1" applyAlignment="1">
      <alignment horizontal="left"/>
      <protection/>
    </xf>
    <xf numFmtId="0" fontId="14" fillId="2" borderId="4" xfId="26" applyFont="1" applyFill="1" applyBorder="1" applyAlignment="1">
      <alignment horizontal="left"/>
      <protection/>
    </xf>
    <xf numFmtId="0" fontId="7" fillId="0" borderId="0" xfId="26" applyFont="1">
      <alignment/>
      <protection/>
    </xf>
    <xf numFmtId="0" fontId="4" fillId="2" borderId="5" xfId="26" applyFont="1" applyFill="1" applyBorder="1" applyAlignment="1">
      <alignment horizontal="left"/>
      <protection/>
    </xf>
    <xf numFmtId="0" fontId="4" fillId="2" borderId="0" xfId="26" applyFont="1" applyFill="1" applyBorder="1" applyAlignment="1">
      <alignment horizontal="left"/>
      <protection/>
    </xf>
    <xf numFmtId="0" fontId="14" fillId="2" borderId="0" xfId="26" applyFont="1" applyFill="1" applyBorder="1" applyAlignment="1">
      <alignment horizontal="left"/>
      <protection/>
    </xf>
    <xf numFmtId="0" fontId="14" fillId="2" borderId="1" xfId="26" applyFont="1" applyFill="1" applyBorder="1" applyAlignment="1">
      <alignment horizontal="left"/>
      <protection/>
    </xf>
    <xf numFmtId="0" fontId="0" fillId="0" borderId="0" xfId="26" applyFont="1" applyFill="1">
      <alignment/>
      <protection/>
    </xf>
    <xf numFmtId="0" fontId="8" fillId="2" borderId="5" xfId="26" applyFont="1" applyFill="1" applyBorder="1" applyAlignment="1">
      <alignment horizontal="left"/>
      <protection/>
    </xf>
    <xf numFmtId="0" fontId="8" fillId="2" borderId="0" xfId="26" applyFont="1" applyFill="1" applyBorder="1" applyAlignment="1">
      <alignment horizontal="left"/>
      <protection/>
    </xf>
    <xf numFmtId="0" fontId="10" fillId="2" borderId="0" xfId="26" applyFont="1" applyFill="1" applyBorder="1" applyAlignment="1">
      <alignment horizontal="left"/>
      <protection/>
    </xf>
    <xf numFmtId="0" fontId="10" fillId="2" borderId="1" xfId="26" applyFont="1" applyFill="1" applyBorder="1" applyAlignment="1">
      <alignment horizontal="left"/>
      <protection/>
    </xf>
    <xf numFmtId="0" fontId="13" fillId="2" borderId="13" xfId="26" applyFont="1" applyFill="1" applyBorder="1">
      <alignment/>
      <protection/>
    </xf>
    <xf numFmtId="0" fontId="13" fillId="2" borderId="9" xfId="26" applyFont="1" applyFill="1" applyBorder="1" applyAlignment="1">
      <alignment/>
      <protection/>
    </xf>
    <xf numFmtId="0" fontId="13" fillId="2" borderId="9" xfId="26" applyFont="1" applyFill="1" applyBorder="1">
      <alignment/>
      <protection/>
    </xf>
    <xf numFmtId="0" fontId="0" fillId="2" borderId="9" xfId="26" applyFont="1" applyFill="1" applyBorder="1">
      <alignment/>
      <protection/>
    </xf>
    <xf numFmtId="0" fontId="0" fillId="2" borderId="10" xfId="26" applyFont="1" applyFill="1" applyBorder="1">
      <alignment/>
      <protection/>
    </xf>
    <xf numFmtId="40" fontId="10" fillId="0" borderId="6" xfId="26" applyNumberFormat="1" applyFont="1" applyFill="1" applyBorder="1" applyAlignment="1">
      <alignment horizontal="centerContinuous"/>
      <protection/>
    </xf>
    <xf numFmtId="40" fontId="10" fillId="0" borderId="7" xfId="26" applyNumberFormat="1" applyFont="1" applyFill="1" applyBorder="1" applyAlignment="1">
      <alignment horizontal="centerContinuous"/>
      <protection/>
    </xf>
    <xf numFmtId="40" fontId="10" fillId="0" borderId="8" xfId="26" applyNumberFormat="1" applyFont="1" applyFill="1" applyBorder="1" applyAlignment="1">
      <alignment horizontal="center" wrapText="1"/>
      <protection/>
    </xf>
    <xf numFmtId="40" fontId="10" fillId="0" borderId="8" xfId="26" applyNumberFormat="1" applyFont="1" applyFill="1" applyBorder="1" applyAlignment="1">
      <alignment horizontal="centerContinuous"/>
      <protection/>
    </xf>
    <xf numFmtId="0" fontId="10" fillId="0" borderId="6" xfId="26" applyFont="1" applyFill="1" applyBorder="1" applyAlignment="1">
      <alignment horizontal="left"/>
      <protection/>
    </xf>
    <xf numFmtId="0" fontId="10" fillId="0" borderId="7" xfId="26" applyFont="1" applyFill="1" applyBorder="1" applyAlignment="1">
      <alignment horizontal="left"/>
      <protection/>
    </xf>
    <xf numFmtId="40" fontId="0" fillId="0" borderId="8" xfId="26" applyNumberFormat="1" applyFont="1" applyFill="1" applyBorder="1">
      <alignment/>
      <protection/>
    </xf>
    <xf numFmtId="0" fontId="0" fillId="0" borderId="6" xfId="26" applyFont="1" applyFill="1" applyBorder="1">
      <alignment/>
      <protection/>
    </xf>
    <xf numFmtId="0" fontId="0" fillId="0" borderId="7" xfId="26" applyFont="1" applyFill="1" applyBorder="1" applyAlignment="1">
      <alignment/>
      <protection/>
    </xf>
    <xf numFmtId="42" fontId="0" fillId="0" borderId="8" xfId="17" applyNumberFormat="1" applyFont="1" applyFill="1" applyBorder="1" applyAlignment="1">
      <alignment/>
    </xf>
    <xf numFmtId="41" fontId="0" fillId="0" borderId="8" xfId="26" applyNumberFormat="1" applyFont="1" applyFill="1" applyBorder="1">
      <alignment/>
      <protection/>
    </xf>
    <xf numFmtId="41" fontId="0" fillId="0" borderId="0" xfId="26" applyNumberFormat="1" applyFont="1" applyFill="1" applyBorder="1" applyAlignment="1">
      <alignment wrapText="1"/>
      <protection/>
    </xf>
    <xf numFmtId="41" fontId="0" fillId="0" borderId="0" xfId="26" applyNumberFormat="1" applyFont="1" applyFill="1" applyAlignment="1">
      <alignment wrapText="1"/>
      <protection/>
    </xf>
    <xf numFmtId="0" fontId="10" fillId="0" borderId="0" xfId="26" applyFont="1" applyFill="1" applyBorder="1">
      <alignment/>
      <protection/>
    </xf>
    <xf numFmtId="41" fontId="10" fillId="0" borderId="8" xfId="26" applyNumberFormat="1" applyFont="1" applyFill="1" applyBorder="1">
      <alignment/>
      <protection/>
    </xf>
    <xf numFmtId="0" fontId="10" fillId="0" borderId="6" xfId="26" applyFont="1" applyFill="1" applyBorder="1">
      <alignment/>
      <protection/>
    </xf>
    <xf numFmtId="0" fontId="10" fillId="0" borderId="7" xfId="26" applyFont="1" applyFill="1" applyBorder="1" applyAlignment="1">
      <alignment/>
      <protection/>
    </xf>
    <xf numFmtId="0" fontId="10" fillId="0" borderId="0" xfId="26" applyFont="1" applyFill="1">
      <alignment/>
      <protection/>
    </xf>
    <xf numFmtId="0" fontId="10" fillId="0" borderId="6" xfId="26" applyFont="1" applyFill="1" applyBorder="1" applyAlignment="1">
      <alignment/>
      <protection/>
    </xf>
    <xf numFmtId="164" fontId="14" fillId="0" borderId="0" xfId="15" applyNumberFormat="1" applyFont="1" applyFill="1" applyAlignment="1">
      <alignment/>
    </xf>
    <xf numFmtId="42" fontId="10" fillId="0" borderId="8" xfId="17" applyNumberFormat="1" applyFont="1" applyFill="1" applyBorder="1" applyAlignment="1">
      <alignment/>
    </xf>
    <xf numFmtId="0" fontId="0" fillId="0" borderId="0" xfId="26" applyFont="1" applyBorder="1" applyAlignment="1">
      <alignment/>
      <protection/>
    </xf>
    <xf numFmtId="0" fontId="0" fillId="0" borderId="0" xfId="26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9" fontId="0" fillId="0" borderId="2" xfId="0" applyNumberForma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4" xfId="0" applyNumberFormat="1" applyFill="1" applyBorder="1" applyAlignment="1">
      <alignment/>
    </xf>
    <xf numFmtId="0" fontId="7" fillId="0" borderId="6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39" fontId="5" fillId="2" borderId="3" xfId="0" applyNumberFormat="1" applyFont="1" applyFill="1" applyBorder="1" applyAlignment="1">
      <alignment/>
    </xf>
    <xf numFmtId="39" fontId="4" fillId="2" borderId="3" xfId="0" applyNumberFormat="1" applyFont="1" applyFill="1" applyBorder="1" applyAlignment="1">
      <alignment horizontal="center"/>
    </xf>
    <xf numFmtId="39" fontId="5" fillId="2" borderId="3" xfId="0" applyNumberFormat="1" applyFont="1" applyFill="1" applyBorder="1" applyAlignment="1">
      <alignment horizontal="left"/>
    </xf>
    <xf numFmtId="40" fontId="4" fillId="2" borderId="4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6" xfId="0" applyFill="1" applyBorder="1" applyAlignment="1">
      <alignment/>
    </xf>
    <xf numFmtId="0" fontId="4" fillId="2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39" fontId="13" fillId="2" borderId="0" xfId="0" applyNumberFormat="1" applyFont="1" applyFill="1" applyBorder="1" applyAlignment="1">
      <alignment/>
    </xf>
    <xf numFmtId="39" fontId="8" fillId="2" borderId="0" xfId="0" applyNumberFormat="1" applyFont="1" applyFill="1" applyBorder="1" applyAlignment="1">
      <alignment horizontal="center"/>
    </xf>
    <xf numFmtId="39" fontId="13" fillId="2" borderId="0" xfId="0" applyNumberFormat="1" applyFont="1" applyFill="1" applyBorder="1" applyAlignment="1">
      <alignment horizontal="left"/>
    </xf>
    <xf numFmtId="173" fontId="13" fillId="2" borderId="1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8" fillId="2" borderId="5" xfId="0" applyFont="1" applyFill="1" applyBorder="1" applyAlignment="1">
      <alignment/>
    </xf>
    <xf numFmtId="19" fontId="13" fillId="2" borderId="1" xfId="0" applyNumberFormat="1" applyFont="1" applyFill="1" applyBorder="1" applyAlignment="1">
      <alignment/>
    </xf>
    <xf numFmtId="19" fontId="0" fillId="0" borderId="7" xfId="0" applyNumberFormat="1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39" fontId="10" fillId="0" borderId="6" xfId="0" applyNumberFormat="1" applyFont="1" applyFill="1" applyBorder="1" applyAlignment="1">
      <alignment horizontal="center" wrapText="1"/>
    </xf>
    <xf numFmtId="39" fontId="10" fillId="0" borderId="8" xfId="0" applyNumberFormat="1" applyFont="1" applyFill="1" applyBorder="1" applyAlignment="1">
      <alignment horizontal="center" wrapText="1"/>
    </xf>
    <xf numFmtId="39" fontId="10" fillId="0" borderId="7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9" fontId="0" fillId="0" borderId="6" xfId="0" applyNumberFormat="1" applyFill="1" applyBorder="1" applyAlignment="1">
      <alignment horizontal="left"/>
    </xf>
    <xf numFmtId="39" fontId="0" fillId="0" borderId="8" xfId="0" applyNumberFormat="1" applyFill="1" applyBorder="1" applyAlignment="1">
      <alignment/>
    </xf>
    <xf numFmtId="39" fontId="0" fillId="0" borderId="7" xfId="0" applyNumberFormat="1" applyFill="1" applyBorder="1" applyAlignment="1">
      <alignment/>
    </xf>
    <xf numFmtId="42" fontId="0" fillId="0" borderId="2" xfId="0" applyNumberFormat="1" applyFill="1" applyBorder="1" applyAlignment="1">
      <alignment/>
    </xf>
    <xf numFmtId="42" fontId="0" fillId="0" borderId="14" xfId="0" applyNumberFormat="1" applyFill="1" applyBorder="1" applyAlignment="1">
      <alignment/>
    </xf>
    <xf numFmtId="42" fontId="0" fillId="0" borderId="4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11" xfId="0" applyFont="1" applyFill="1" applyBorder="1" applyAlignment="1">
      <alignment horizontal="left" indent="1"/>
    </xf>
    <xf numFmtId="41" fontId="10" fillId="0" borderId="6" xfId="0" applyNumberFormat="1" applyFont="1" applyFill="1" applyBorder="1" applyAlignment="1">
      <alignment/>
    </xf>
    <xf numFmtId="41" fontId="10" fillId="0" borderId="8" xfId="0" applyNumberFormat="1" applyFont="1" applyFill="1" applyBorder="1" applyAlignment="1">
      <alignment/>
    </xf>
    <xf numFmtId="41" fontId="10" fillId="0" borderId="7" xfId="0" applyNumberFormat="1" applyFont="1" applyFill="1" applyBorder="1" applyAlignment="1">
      <alignment/>
    </xf>
    <xf numFmtId="41" fontId="0" fillId="0" borderId="6" xfId="0" applyNumberFormat="1" applyFill="1" applyBorder="1" applyAlignment="1">
      <alignment/>
    </xf>
    <xf numFmtId="41" fontId="0" fillId="0" borderId="8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42" fontId="10" fillId="0" borderId="6" xfId="0" applyNumberFormat="1" applyFont="1" applyFill="1" applyBorder="1" applyAlignment="1">
      <alignment/>
    </xf>
    <xf numFmtId="42" fontId="10" fillId="0" borderId="8" xfId="0" applyNumberFormat="1" applyFont="1" applyFill="1" applyBorder="1" applyAlignment="1">
      <alignment/>
    </xf>
    <xf numFmtId="42" fontId="10" fillId="0" borderId="7" xfId="0" applyNumberFormat="1" applyFont="1" applyFill="1" applyBorder="1" applyAlignment="1">
      <alignment/>
    </xf>
    <xf numFmtId="39" fontId="0" fillId="0" borderId="6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16" fillId="0" borderId="8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39" fontId="17" fillId="2" borderId="2" xfId="0" applyNumberFormat="1" applyFont="1" applyFill="1" applyBorder="1" applyAlignment="1">
      <alignment/>
    </xf>
    <xf numFmtId="39" fontId="17" fillId="2" borderId="3" xfId="0" applyNumberFormat="1" applyFont="1" applyFill="1" applyBorder="1" applyAlignment="1">
      <alignment/>
    </xf>
    <xf numFmtId="39" fontId="3" fillId="2" borderId="3" xfId="0" applyNumberFormat="1" applyFont="1" applyFill="1" applyBorder="1" applyAlignment="1">
      <alignment horizontal="center"/>
    </xf>
    <xf numFmtId="39" fontId="17" fillId="2" borderId="3" xfId="0" applyNumberFormat="1" applyFont="1" applyFill="1" applyBorder="1" applyAlignment="1">
      <alignment horizontal="left"/>
    </xf>
    <xf numFmtId="40" fontId="3" fillId="2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9" fontId="5" fillId="2" borderId="5" xfId="0" applyNumberFormat="1" applyFont="1" applyFill="1" applyBorder="1" applyAlignment="1">
      <alignment/>
    </xf>
    <xf numFmtId="39" fontId="5" fillId="2" borderId="0" xfId="0" applyNumberFormat="1" applyFont="1" applyFill="1" applyBorder="1" applyAlignment="1">
      <alignment/>
    </xf>
    <xf numFmtId="39" fontId="4" fillId="2" borderId="0" xfId="0" applyNumberFormat="1" applyFont="1" applyFill="1" applyBorder="1" applyAlignment="1">
      <alignment horizontal="center"/>
    </xf>
    <xf numFmtId="39" fontId="5" fillId="2" borderId="0" xfId="0" applyNumberFormat="1" applyFont="1" applyFill="1" applyBorder="1" applyAlignment="1">
      <alignment horizontal="left"/>
    </xf>
    <xf numFmtId="173" fontId="5" fillId="2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9" fontId="13" fillId="2" borderId="5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39" fontId="13" fillId="2" borderId="13" xfId="0" applyNumberFormat="1" applyFont="1" applyFill="1" applyBorder="1" applyAlignment="1">
      <alignment/>
    </xf>
    <xf numFmtId="39" fontId="13" fillId="2" borderId="9" xfId="0" applyNumberFormat="1" applyFont="1" applyFill="1" applyBorder="1" applyAlignment="1">
      <alignment/>
    </xf>
    <xf numFmtId="39" fontId="13" fillId="2" borderId="10" xfId="0" applyNumberFormat="1" applyFont="1" applyFill="1" applyBorder="1" applyAlignment="1">
      <alignment/>
    </xf>
    <xf numFmtId="19" fontId="0" fillId="0" borderId="0" xfId="0" applyNumberFormat="1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39" fontId="0" fillId="0" borderId="8" xfId="0" applyNumberFormat="1" applyFill="1" applyBorder="1" applyAlignment="1">
      <alignment horizontal="left"/>
    </xf>
    <xf numFmtId="39" fontId="0" fillId="0" borderId="7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7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" xfId="0" applyFill="1" applyBorder="1" applyAlignment="1">
      <alignment/>
    </xf>
    <xf numFmtId="41" fontId="0" fillId="0" borderId="15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7" xfId="0" applyFont="1" applyFill="1" applyBorder="1" applyAlignment="1">
      <alignment horizontal="left" indent="1"/>
    </xf>
    <xf numFmtId="41" fontId="10" fillId="0" borderId="16" xfId="0" applyNumberFormat="1" applyFont="1" applyFill="1" applyBorder="1" applyAlignment="1">
      <alignment/>
    </xf>
    <xf numFmtId="41" fontId="1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16" xfId="0" applyNumberFormat="1" applyFill="1" applyBorder="1" applyAlignment="1">
      <alignment/>
    </xf>
    <xf numFmtId="41" fontId="10" fillId="0" borderId="7" xfId="0" applyNumberFormat="1" applyFont="1" applyFill="1" applyBorder="1" applyAlignment="1">
      <alignment horizontal="right"/>
    </xf>
    <xf numFmtId="41" fontId="0" fillId="0" borderId="8" xfId="0" applyNumberForma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9" fontId="2" fillId="0" borderId="3" xfId="0" applyNumberFormat="1" applyFont="1" applyFill="1" applyBorder="1" applyAlignment="1">
      <alignment/>
    </xf>
    <xf numFmtId="39" fontId="2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4" fillId="0" borderId="5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39" fontId="4" fillId="2" borderId="3" xfId="0" applyNumberFormat="1" applyFont="1" applyFill="1" applyBorder="1" applyAlignment="1">
      <alignment/>
    </xf>
    <xf numFmtId="39" fontId="4" fillId="2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39" fontId="4" fillId="2" borderId="0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39" fontId="9" fillId="2" borderId="0" xfId="0" applyNumberFormat="1" applyFont="1" applyFill="1" applyBorder="1" applyAlignment="1">
      <alignment/>
    </xf>
    <xf numFmtId="39" fontId="8" fillId="2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39" fontId="6" fillId="2" borderId="9" xfId="0" applyNumberFormat="1" applyFont="1" applyFill="1" applyBorder="1" applyAlignment="1">
      <alignment/>
    </xf>
    <xf numFmtId="39" fontId="9" fillId="2" borderId="9" xfId="0" applyNumberFormat="1" applyFont="1" applyFill="1" applyBorder="1" applyAlignment="1">
      <alignment/>
    </xf>
    <xf numFmtId="39" fontId="6" fillId="2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39" fontId="10" fillId="0" borderId="15" xfId="0" applyNumberFormat="1" applyFont="1" applyFill="1" applyBorder="1" applyAlignment="1">
      <alignment horizontal="center" wrapText="1"/>
    </xf>
    <xf numFmtId="39" fontId="10" fillId="0" borderId="15" xfId="0" applyNumberFormat="1" applyFont="1" applyFill="1" applyBorder="1" applyAlignment="1">
      <alignment horizontal="center"/>
    </xf>
    <xf numFmtId="39" fontId="0" fillId="0" borderId="15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center"/>
    </xf>
    <xf numFmtId="0" fontId="2" fillId="0" borderId="17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 horizontal="center"/>
    </xf>
    <xf numFmtId="176" fontId="10" fillId="0" borderId="16" xfId="0" applyNumberFormat="1" applyFont="1" applyFill="1" applyBorder="1" applyAlignment="1">
      <alignment horizontal="center"/>
    </xf>
    <xf numFmtId="39" fontId="10" fillId="0" borderId="1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39" fontId="0" fillId="0" borderId="8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Fill="1" applyBorder="1" applyAlignment="1">
      <alignment/>
    </xf>
    <xf numFmtId="42" fontId="0" fillId="0" borderId="8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7" xfId="0" applyFont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/>
    </xf>
    <xf numFmtId="41" fontId="10" fillId="0" borderId="8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164" fontId="16" fillId="0" borderId="0" xfId="15" applyNumberFormat="1" applyFont="1" applyFill="1" applyAlignment="1">
      <alignment/>
    </xf>
    <xf numFmtId="164" fontId="3" fillId="2" borderId="6" xfId="15" applyNumberFormat="1" applyFont="1" applyFill="1" applyBorder="1" applyAlignment="1">
      <alignment/>
    </xf>
    <xf numFmtId="0" fontId="16" fillId="2" borderId="3" xfId="0" applyFont="1" applyFill="1" applyBorder="1" applyAlignment="1">
      <alignment/>
    </xf>
    <xf numFmtId="164" fontId="3" fillId="2" borderId="4" xfId="15" applyNumberFormat="1" applyFont="1" applyFill="1" applyBorder="1" applyAlignment="1">
      <alignment/>
    </xf>
    <xf numFmtId="164" fontId="4" fillId="2" borderId="6" xfId="15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4" fontId="4" fillId="2" borderId="1" xfId="15" applyNumberFormat="1" applyFont="1" applyFill="1" applyBorder="1" applyAlignment="1">
      <alignment/>
    </xf>
    <xf numFmtId="0" fontId="8" fillId="2" borderId="6" xfId="0" applyFont="1" applyFill="1" applyBorder="1" applyAlignment="1">
      <alignment horizontal="left"/>
    </xf>
    <xf numFmtId="164" fontId="0" fillId="2" borderId="0" xfId="15" applyNumberFormat="1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64" fontId="0" fillId="2" borderId="9" xfId="15" applyNumberFormat="1" applyFont="1" applyFill="1" applyBorder="1" applyAlignment="1">
      <alignment/>
    </xf>
    <xf numFmtId="0" fontId="8" fillId="2" borderId="10" xfId="0" applyFont="1" applyFill="1" applyBorder="1" applyAlignment="1">
      <alignment horizontal="left"/>
    </xf>
    <xf numFmtId="164" fontId="10" fillId="0" borderId="16" xfId="15" applyNumberFormat="1" applyFont="1" applyFill="1" applyBorder="1" applyAlignment="1" quotePrefix="1">
      <alignment horizontal="center"/>
    </xf>
    <xf numFmtId="49" fontId="10" fillId="0" borderId="16" xfId="15" applyNumberFormat="1" applyFont="1" applyFill="1" applyBorder="1" applyAlignment="1">
      <alignment horizontal="center"/>
    </xf>
    <xf numFmtId="43" fontId="0" fillId="0" borderId="0" xfId="15" applyNumberFormat="1" applyFont="1" applyFill="1" applyBorder="1" applyAlignment="1">
      <alignment/>
    </xf>
    <xf numFmtId="0" fontId="3" fillId="2" borderId="2" xfId="0" applyFont="1" applyFill="1" applyBorder="1" applyAlignment="1" applyProtection="1">
      <alignment/>
      <protection/>
    </xf>
    <xf numFmtId="0" fontId="13" fillId="2" borderId="3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0" fillId="0" borderId="0" xfId="0" applyFont="1" applyAlignment="1">
      <alignment/>
    </xf>
    <xf numFmtId="0" fontId="8" fillId="2" borderId="5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Continuous"/>
      <protection/>
    </xf>
    <xf numFmtId="0" fontId="26" fillId="2" borderId="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22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center"/>
      <protection/>
    </xf>
    <xf numFmtId="176" fontId="27" fillId="0" borderId="24" xfId="0" applyNumberFormat="1" applyFont="1" applyFill="1" applyBorder="1" applyAlignment="1" applyProtection="1" quotePrefix="1">
      <alignment horizontal="center"/>
      <protection/>
    </xf>
    <xf numFmtId="0" fontId="27" fillId="0" borderId="5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176" fontId="27" fillId="0" borderId="25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Alignment="1" applyProtection="1">
      <alignment/>
      <protection/>
    </xf>
    <xf numFmtId="0" fontId="10" fillId="0" borderId="19" xfId="0" applyFont="1" applyBorder="1" applyAlignment="1">
      <alignment/>
    </xf>
    <xf numFmtId="0" fontId="0" fillId="0" borderId="19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26" xfId="0" applyFont="1" applyBorder="1" applyAlignment="1" applyProtection="1">
      <alignment/>
      <protection/>
    </xf>
    <xf numFmtId="42" fontId="0" fillId="0" borderId="26" xfId="15" applyNumberFormat="1" applyFont="1" applyBorder="1" applyAlignment="1" applyProtection="1">
      <alignment/>
      <protection/>
    </xf>
    <xf numFmtId="42" fontId="0" fillId="0" borderId="26" xfId="15" applyNumberFormat="1" applyFont="1" applyFill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/>
    </xf>
    <xf numFmtId="41" fontId="0" fillId="0" borderId="26" xfId="15" applyNumberFormat="1" applyFont="1" applyFill="1" applyBorder="1" applyAlignment="1" applyProtection="1">
      <alignment/>
      <protection/>
    </xf>
    <xf numFmtId="0" fontId="10" fillId="0" borderId="23" xfId="0" applyFont="1" applyBorder="1" applyAlignment="1">
      <alignment/>
    </xf>
    <xf numFmtId="42" fontId="10" fillId="0" borderId="26" xfId="15" applyNumberFormat="1" applyFont="1" applyBorder="1" applyAlignment="1" applyProtection="1">
      <alignment/>
      <protection/>
    </xf>
    <xf numFmtId="42" fontId="10" fillId="0" borderId="26" xfId="15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/>
    </xf>
    <xf numFmtId="43" fontId="0" fillId="0" borderId="0" xfId="15" applyFont="1" applyAlignment="1" applyProtection="1">
      <alignment/>
      <protection/>
    </xf>
    <xf numFmtId="0" fontId="0" fillId="0" borderId="0" xfId="0" applyFont="1" applyFill="1" applyAlignment="1">
      <alignment horizontal="right"/>
    </xf>
    <xf numFmtId="43" fontId="0" fillId="0" borderId="0" xfId="0" applyNumberFormat="1" applyFont="1" applyAlignment="1">
      <alignment/>
    </xf>
    <xf numFmtId="39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0" fontId="3" fillId="2" borderId="2" xfId="0" applyNumberFormat="1" applyFont="1" applyFill="1" applyBorder="1" applyAlignment="1">
      <alignment/>
    </xf>
    <xf numFmtId="40" fontId="4" fillId="2" borderId="3" xfId="0" applyNumberFormat="1" applyFont="1" applyFill="1" applyBorder="1" applyAlignment="1">
      <alignment/>
    </xf>
    <xf numFmtId="43" fontId="5" fillId="2" borderId="4" xfId="0" applyNumberFormat="1" applyFont="1" applyFill="1" applyBorder="1" applyAlignment="1">
      <alignment/>
    </xf>
    <xf numFmtId="40" fontId="4" fillId="2" borderId="5" xfId="0" applyNumberFormat="1" applyFont="1" applyFill="1" applyBorder="1" applyAlignment="1">
      <alignment/>
    </xf>
    <xf numFmtId="40" fontId="4" fillId="2" borderId="0" xfId="0" applyNumberFormat="1" applyFont="1" applyFill="1" applyBorder="1" applyAlignment="1">
      <alignment/>
    </xf>
    <xf numFmtId="43" fontId="5" fillId="2" borderId="1" xfId="0" applyNumberFormat="1" applyFont="1" applyFill="1" applyBorder="1" applyAlignment="1">
      <alignment/>
    </xf>
    <xf numFmtId="40" fontId="8" fillId="2" borderId="5" xfId="0" applyNumberFormat="1" applyFont="1" applyFill="1" applyBorder="1" applyAlignment="1">
      <alignment/>
    </xf>
    <xf numFmtId="40" fontId="8" fillId="2" borderId="0" xfId="0" applyNumberFormat="1" applyFont="1" applyFill="1" applyBorder="1" applyAlignment="1">
      <alignment/>
    </xf>
    <xf numFmtId="43" fontId="13" fillId="2" borderId="1" xfId="0" applyNumberFormat="1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0" fillId="0" borderId="8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  <xf numFmtId="43" fontId="10" fillId="0" borderId="8" xfId="0" applyNumberFormat="1" applyFont="1" applyFill="1" applyBorder="1" applyAlignment="1">
      <alignment horizontal="center" wrapText="1"/>
    </xf>
    <xf numFmtId="42" fontId="0" fillId="0" borderId="8" xfId="0" applyNumberFormat="1" applyFill="1" applyBorder="1" applyAlignment="1">
      <alignment/>
    </xf>
    <xf numFmtId="0" fontId="18" fillId="0" borderId="0" xfId="23" applyFont="1" applyFill="1" applyBorder="1" applyAlignment="1">
      <alignment/>
      <protection/>
    </xf>
    <xf numFmtId="41" fontId="10" fillId="0" borderId="8" xfId="25" applyNumberFormat="1" applyFont="1" applyFill="1" applyBorder="1" applyAlignment="1">
      <alignment/>
      <protection/>
    </xf>
    <xf numFmtId="41" fontId="0" fillId="0" borderId="8" xfId="25" applyNumberFormat="1" applyFont="1" applyFill="1" applyBorder="1" applyAlignment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parative SRECNA FY 2001" xfId="21"/>
    <cellStyle name="Normal_GASB007R" xfId="22"/>
    <cellStyle name="Normal_GASB06_R" xfId="23"/>
    <cellStyle name="Normal_GASB09_R" xfId="24"/>
    <cellStyle name="Normal_GASB10_R" xfId="25"/>
    <cellStyle name="Normal_GASB11_R" xfId="26"/>
    <cellStyle name="Normal_Sheet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2">
      <selection activeCell="A6" sqref="A6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2106</v>
      </c>
      <c r="B1" s="2" t="s">
        <v>2107</v>
      </c>
      <c r="C1" s="3" t="s">
        <v>2108</v>
      </c>
    </row>
    <row r="2" spans="1:5" s="10" customFormat="1" ht="15.75" customHeight="1">
      <c r="A2" s="5" t="s">
        <v>2109</v>
      </c>
      <c r="B2" s="6"/>
      <c r="C2" s="7"/>
      <c r="D2" s="8"/>
      <c r="E2" s="9"/>
    </row>
    <row r="3" spans="1:5" s="10" customFormat="1" ht="15.75" customHeight="1">
      <c r="A3" s="11" t="s">
        <v>2110</v>
      </c>
      <c r="B3" s="12"/>
      <c r="C3" s="13"/>
      <c r="D3" s="14"/>
      <c r="E3" s="15"/>
    </row>
    <row r="4" spans="1:5" s="10" customFormat="1" ht="15.75" customHeight="1">
      <c r="A4" s="11" t="s">
        <v>2111</v>
      </c>
      <c r="B4" s="16"/>
      <c r="C4" s="13"/>
      <c r="D4" s="14"/>
      <c r="E4" s="15"/>
    </row>
    <row r="5" spans="1:5" s="22" customFormat="1" ht="12.75" customHeight="1">
      <c r="A5" s="17" t="s">
        <v>2112</v>
      </c>
      <c r="B5" s="18"/>
      <c r="C5" s="19"/>
      <c r="D5" s="20"/>
      <c r="E5" s="21"/>
    </row>
    <row r="6" spans="1:5" s="22" customFormat="1" ht="12.75" customHeight="1">
      <c r="A6" s="23"/>
      <c r="B6" s="24"/>
      <c r="C6" s="25">
        <v>2004</v>
      </c>
      <c r="D6" s="26"/>
      <c r="E6" s="25">
        <v>2003</v>
      </c>
    </row>
    <row r="7" spans="1:5" s="29" customFormat="1" ht="12.75" customHeight="1">
      <c r="A7" s="23" t="s">
        <v>2113</v>
      </c>
      <c r="B7" s="24"/>
      <c r="C7" s="27"/>
      <c r="D7" s="28"/>
      <c r="E7" s="27"/>
    </row>
    <row r="8" spans="1:5" s="1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2114</v>
      </c>
      <c r="B9" s="24"/>
      <c r="C9" s="27"/>
      <c r="D9" s="28"/>
      <c r="E9" s="27"/>
    </row>
    <row r="10" spans="1:5" s="1" customFormat="1" ht="12.75" customHeight="1">
      <c r="A10" s="30"/>
      <c r="B10" s="31" t="s">
        <v>2115</v>
      </c>
      <c r="C10" s="34">
        <v>15184</v>
      </c>
      <c r="D10" s="35" t="s">
        <v>2116</v>
      </c>
      <c r="E10" s="34">
        <v>17318</v>
      </c>
    </row>
    <row r="11" spans="1:5" s="1" customFormat="1" ht="12.75" customHeight="1">
      <c r="A11" s="30"/>
      <c r="B11" s="31" t="s">
        <v>2117</v>
      </c>
      <c r="C11" s="36">
        <v>8726</v>
      </c>
      <c r="D11" s="37" t="s">
        <v>2118</v>
      </c>
      <c r="E11" s="36">
        <v>9623</v>
      </c>
    </row>
    <row r="12" spans="1:5" s="1" customFormat="1" ht="12.75" customHeight="1">
      <c r="A12" s="30"/>
      <c r="B12" s="31" t="s">
        <v>2119</v>
      </c>
      <c r="C12" s="36">
        <v>1888</v>
      </c>
      <c r="D12" s="38"/>
      <c r="E12" s="36">
        <v>2612</v>
      </c>
    </row>
    <row r="13" spans="1:5" s="1" customFormat="1" ht="12.75" customHeight="1">
      <c r="A13" s="30"/>
      <c r="B13" s="31" t="s">
        <v>2120</v>
      </c>
      <c r="C13" s="36">
        <v>1915</v>
      </c>
      <c r="D13" s="38"/>
      <c r="E13" s="36">
        <v>1607</v>
      </c>
    </row>
    <row r="14" spans="1:5" s="1" customFormat="1" ht="12.75" customHeight="1">
      <c r="A14" s="30"/>
      <c r="B14" s="31" t="s">
        <v>2121</v>
      </c>
      <c r="C14" s="36">
        <v>303</v>
      </c>
      <c r="D14" s="38"/>
      <c r="E14" s="36">
        <v>299</v>
      </c>
    </row>
    <row r="15" spans="1:5" s="1" customFormat="1" ht="12.75" customHeight="1">
      <c r="A15" s="30"/>
      <c r="B15" s="31" t="s">
        <v>2122</v>
      </c>
      <c r="C15" s="36">
        <v>1029</v>
      </c>
      <c r="D15" s="38"/>
      <c r="E15" s="36">
        <v>1163</v>
      </c>
    </row>
    <row r="16" spans="1:5" s="1" customFormat="1" ht="12.75" customHeight="1">
      <c r="A16" s="30"/>
      <c r="B16" s="31"/>
      <c r="C16" s="36"/>
      <c r="D16" s="38"/>
      <c r="E16" s="36"/>
    </row>
    <row r="17" spans="1:5" s="29" customFormat="1" ht="12.75" customHeight="1">
      <c r="A17" s="23" t="s">
        <v>2123</v>
      </c>
      <c r="B17" s="24"/>
      <c r="C17" s="39">
        <f>SUM(C10:C15)</f>
        <v>29045</v>
      </c>
      <c r="D17" s="40"/>
      <c r="E17" s="39">
        <f>SUM(E10:E15)</f>
        <v>32622</v>
      </c>
    </row>
    <row r="18" spans="1:5" s="1" customFormat="1" ht="12.75" customHeight="1">
      <c r="A18" s="30"/>
      <c r="B18" s="31"/>
      <c r="C18" s="36"/>
      <c r="D18" s="38"/>
      <c r="E18" s="36"/>
    </row>
    <row r="19" spans="1:5" s="29" customFormat="1" ht="12.75" customHeight="1">
      <c r="A19" s="23" t="s">
        <v>2124</v>
      </c>
      <c r="B19" s="24"/>
      <c r="C19" s="39"/>
      <c r="D19" s="40"/>
      <c r="E19" s="39"/>
    </row>
    <row r="20" spans="1:5" s="1" customFormat="1" ht="12.75" customHeight="1">
      <c r="A20" s="30"/>
      <c r="B20" s="31" t="s">
        <v>2125</v>
      </c>
      <c r="C20" s="36">
        <v>1211</v>
      </c>
      <c r="D20" s="38"/>
      <c r="E20" s="36">
        <v>700</v>
      </c>
    </row>
    <row r="21" spans="1:5" s="1" customFormat="1" ht="12.75" customHeight="1">
      <c r="A21" s="30"/>
      <c r="B21" s="31" t="s">
        <v>2126</v>
      </c>
      <c r="C21" s="36">
        <v>9524</v>
      </c>
      <c r="D21" s="38"/>
      <c r="E21" s="36">
        <v>9030</v>
      </c>
    </row>
    <row r="22" spans="1:5" s="1" customFormat="1" ht="12.75" customHeight="1">
      <c r="A22" s="30"/>
      <c r="B22" s="31" t="s">
        <v>2127</v>
      </c>
      <c r="C22" s="36">
        <v>168</v>
      </c>
      <c r="D22" s="38"/>
      <c r="E22" s="36">
        <v>48</v>
      </c>
    </row>
    <row r="23" spans="1:5" s="1" customFormat="1" ht="12.75" customHeight="1">
      <c r="A23" s="30"/>
      <c r="B23" s="31" t="s">
        <v>2128</v>
      </c>
      <c r="C23" s="36">
        <v>107567</v>
      </c>
      <c r="D23" s="38"/>
      <c r="E23" s="36">
        <v>78872</v>
      </c>
    </row>
    <row r="24" spans="1:5" s="1" customFormat="1" ht="12.75" customHeight="1">
      <c r="A24" s="30"/>
      <c r="B24" s="31" t="s">
        <v>2129</v>
      </c>
      <c r="C24" s="36">
        <v>148436</v>
      </c>
      <c r="D24" s="38"/>
      <c r="E24" s="36">
        <v>131137</v>
      </c>
    </row>
    <row r="25" spans="1:5" s="1" customFormat="1" ht="12.75" customHeight="1">
      <c r="A25" s="30"/>
      <c r="B25" s="31"/>
      <c r="C25" s="36"/>
      <c r="D25" s="38"/>
      <c r="E25" s="36"/>
    </row>
    <row r="26" spans="1:5" s="29" customFormat="1" ht="12.75" customHeight="1">
      <c r="A26" s="23" t="s">
        <v>2130</v>
      </c>
      <c r="B26" s="24"/>
      <c r="C26" s="39">
        <f>SUM(C20:C24)</f>
        <v>266906</v>
      </c>
      <c r="D26" s="40"/>
      <c r="E26" s="39">
        <f>SUM(E20:E24)</f>
        <v>219787</v>
      </c>
    </row>
    <row r="27" spans="1:5" s="1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2131</v>
      </c>
      <c r="B28" s="24"/>
      <c r="C28" s="41">
        <f>C17+C26</f>
        <v>295951</v>
      </c>
      <c r="D28" s="28"/>
      <c r="E28" s="41">
        <f>E17+E26</f>
        <v>252409</v>
      </c>
    </row>
    <row r="29" spans="1:5" s="1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2132</v>
      </c>
      <c r="B30" s="24"/>
      <c r="C30" s="27"/>
      <c r="D30" s="28"/>
      <c r="E30" s="27"/>
    </row>
    <row r="31" spans="1:5" s="1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2133</v>
      </c>
      <c r="B32" s="24"/>
      <c r="C32" s="27"/>
      <c r="D32" s="28"/>
      <c r="E32" s="27"/>
    </row>
    <row r="33" spans="1:5" s="1" customFormat="1" ht="12.75" customHeight="1">
      <c r="A33" s="30"/>
      <c r="B33" s="31" t="s">
        <v>2134</v>
      </c>
      <c r="C33" s="34">
        <v>1794</v>
      </c>
      <c r="D33" s="33"/>
      <c r="E33" s="34">
        <v>1371</v>
      </c>
    </row>
    <row r="34" spans="1:5" s="1" customFormat="1" ht="12.75" customHeight="1">
      <c r="A34" s="30"/>
      <c r="B34" s="31" t="s">
        <v>2135</v>
      </c>
      <c r="C34" s="36">
        <v>4682</v>
      </c>
      <c r="D34" s="37" t="s">
        <v>2136</v>
      </c>
      <c r="E34" s="36">
        <v>4895</v>
      </c>
    </row>
    <row r="35" spans="1:5" s="1" customFormat="1" ht="12.75" customHeight="1">
      <c r="A35" s="30"/>
      <c r="B35" s="31" t="s">
        <v>2137</v>
      </c>
      <c r="C35" s="36">
        <v>3586</v>
      </c>
      <c r="D35" s="38"/>
      <c r="E35" s="36">
        <v>2883</v>
      </c>
    </row>
    <row r="36" spans="1:5" s="1" customFormat="1" ht="12.75" customHeight="1">
      <c r="A36" s="30"/>
      <c r="B36" s="31" t="s">
        <v>2138</v>
      </c>
      <c r="C36" s="36">
        <v>536</v>
      </c>
      <c r="D36" s="37" t="s">
        <v>2139</v>
      </c>
      <c r="E36" s="36">
        <v>466</v>
      </c>
    </row>
    <row r="37" spans="1:5" s="1" customFormat="1" ht="12.75" customHeight="1">
      <c r="A37" s="30"/>
      <c r="B37" s="31" t="s">
        <v>2140</v>
      </c>
      <c r="C37" s="36">
        <v>5925</v>
      </c>
      <c r="D37" s="38"/>
      <c r="E37" s="36">
        <v>4309</v>
      </c>
    </row>
    <row r="38" spans="1:5" s="1" customFormat="1" ht="12.75" customHeight="1">
      <c r="A38" s="30"/>
      <c r="B38" s="31" t="s">
        <v>2141</v>
      </c>
      <c r="C38" s="36">
        <v>437</v>
      </c>
      <c r="D38" s="38"/>
      <c r="E38" s="36">
        <v>212</v>
      </c>
    </row>
    <row r="39" spans="1:5" s="1" customFormat="1" ht="12.75" customHeight="1">
      <c r="A39" s="30"/>
      <c r="B39" s="31"/>
      <c r="C39" s="36"/>
      <c r="D39" s="38"/>
      <c r="E39" s="36"/>
    </row>
    <row r="40" spans="1:5" s="29" customFormat="1" ht="12.75" customHeight="1">
      <c r="A40" s="23" t="s">
        <v>2142</v>
      </c>
      <c r="B40" s="24"/>
      <c r="C40" s="39">
        <f>SUM(C33:C38)</f>
        <v>16960</v>
      </c>
      <c r="D40" s="40"/>
      <c r="E40" s="39">
        <f>SUM(E33:E38)</f>
        <v>14136</v>
      </c>
    </row>
    <row r="41" spans="1:5" s="1" customFormat="1" ht="12.75" customHeight="1">
      <c r="A41" s="30"/>
      <c r="B41" s="31"/>
      <c r="C41" s="36"/>
      <c r="D41" s="38"/>
      <c r="E41" s="36"/>
    </row>
    <row r="42" spans="1:5" s="29" customFormat="1" ht="12.75" customHeight="1">
      <c r="A42" s="23" t="s">
        <v>2143</v>
      </c>
      <c r="B42" s="24"/>
      <c r="C42" s="39"/>
      <c r="D42" s="40"/>
      <c r="E42" s="39"/>
    </row>
    <row r="43" spans="1:5" ht="12.75" customHeight="1">
      <c r="A43" s="30"/>
      <c r="B43" s="31"/>
      <c r="C43" s="36"/>
      <c r="D43" s="38"/>
      <c r="E43" s="36"/>
    </row>
    <row r="44" spans="1:5" s="1" customFormat="1" ht="12.75" customHeight="1">
      <c r="A44" s="30"/>
      <c r="B44" s="31" t="s">
        <v>2144</v>
      </c>
      <c r="C44" s="36">
        <v>33348</v>
      </c>
      <c r="D44" s="38"/>
      <c r="E44" s="36">
        <v>7990</v>
      </c>
    </row>
    <row r="45" spans="1:5" s="1" customFormat="1" ht="12.75" customHeight="1">
      <c r="A45" s="30"/>
      <c r="B45" s="31"/>
      <c r="C45" s="36"/>
      <c r="D45" s="38"/>
      <c r="E45" s="36"/>
    </row>
    <row r="46" spans="1:5" s="29" customFormat="1" ht="12.75" customHeight="1">
      <c r="A46" s="23" t="s">
        <v>2145</v>
      </c>
      <c r="B46" s="24"/>
      <c r="C46" s="39">
        <f>SUM(C44:C44)</f>
        <v>33348</v>
      </c>
      <c r="D46" s="40"/>
      <c r="E46" s="39">
        <f>SUM(E44:E44)</f>
        <v>7990</v>
      </c>
    </row>
    <row r="47" spans="1:5" s="1" customFormat="1" ht="12.75" customHeight="1">
      <c r="A47" s="30"/>
      <c r="B47" s="31"/>
      <c r="C47" s="36"/>
      <c r="D47" s="38"/>
      <c r="E47" s="36"/>
    </row>
    <row r="48" spans="1:5" s="29" customFormat="1" ht="12.75" customHeight="1">
      <c r="A48" s="23" t="s">
        <v>2146</v>
      </c>
      <c r="B48" s="24"/>
      <c r="C48" s="39">
        <f>C46+C40</f>
        <v>50308</v>
      </c>
      <c r="D48" s="40"/>
      <c r="E48" s="39">
        <f>E46+E40</f>
        <v>22126</v>
      </c>
    </row>
    <row r="49" spans="1:5" s="1" customFormat="1" ht="12.75" customHeight="1">
      <c r="A49" s="30"/>
      <c r="B49" s="31"/>
      <c r="C49" s="36"/>
      <c r="D49" s="38"/>
      <c r="E49" s="36"/>
    </row>
    <row r="50" spans="1:5" s="1" customFormat="1" ht="12.75" customHeight="1">
      <c r="A50" s="23" t="s">
        <v>2147</v>
      </c>
      <c r="B50" s="24"/>
      <c r="C50" s="36"/>
      <c r="D50" s="38"/>
      <c r="E50" s="36"/>
    </row>
    <row r="51" spans="1:5" s="1" customFormat="1" ht="12.75" customHeight="1">
      <c r="A51" s="30"/>
      <c r="B51" s="31"/>
      <c r="C51" s="36"/>
      <c r="D51" s="38"/>
      <c r="E51" s="36"/>
    </row>
    <row r="52" spans="1:5" s="1" customFormat="1" ht="12.75" customHeight="1">
      <c r="A52" s="30" t="s">
        <v>2148</v>
      </c>
      <c r="B52" s="31"/>
      <c r="C52" s="36">
        <v>124277</v>
      </c>
      <c r="D52" s="38"/>
      <c r="E52" s="36">
        <v>122983</v>
      </c>
    </row>
    <row r="53" spans="1:5" s="1" customFormat="1" ht="12.75" customHeight="1">
      <c r="A53" s="30" t="s">
        <v>2149</v>
      </c>
      <c r="B53" s="31"/>
      <c r="C53" s="36"/>
      <c r="D53" s="38"/>
      <c r="E53" s="36"/>
    </row>
    <row r="54" spans="1:5" s="1" customFormat="1" ht="12.75" customHeight="1">
      <c r="A54" s="30"/>
      <c r="B54" s="31" t="s">
        <v>2150</v>
      </c>
      <c r="C54" s="36">
        <v>53088</v>
      </c>
      <c r="D54" s="38"/>
      <c r="E54" s="36">
        <v>47024</v>
      </c>
    </row>
    <row r="55" spans="1:5" s="1" customFormat="1" ht="12.75" customHeight="1">
      <c r="A55" s="30"/>
      <c r="B55" s="31" t="s">
        <v>2151</v>
      </c>
      <c r="C55" s="36">
        <v>45421</v>
      </c>
      <c r="D55" s="38"/>
      <c r="E55" s="36">
        <v>41820</v>
      </c>
    </row>
    <row r="56" spans="1:5" s="1" customFormat="1" ht="12.75" customHeight="1">
      <c r="A56" s="30" t="s">
        <v>2152</v>
      </c>
      <c r="B56" s="31"/>
      <c r="C56" s="36">
        <v>22857</v>
      </c>
      <c r="D56" s="38"/>
      <c r="E56" s="36">
        <v>18456</v>
      </c>
    </row>
    <row r="57" spans="1:5" s="29" customFormat="1" ht="12.75" customHeight="1">
      <c r="A57" s="23"/>
      <c r="B57" s="24"/>
      <c r="C57" s="39"/>
      <c r="D57" s="40"/>
      <c r="E57" s="39"/>
    </row>
    <row r="58" spans="1:5" s="29" customFormat="1" ht="12.75" customHeight="1">
      <c r="A58" s="23" t="s">
        <v>2153</v>
      </c>
      <c r="B58" s="24"/>
      <c r="C58" s="39">
        <f>SUM(C52:C56)</f>
        <v>245643</v>
      </c>
      <c r="D58" s="40"/>
      <c r="E58" s="39">
        <f>SUM(E52:E56)</f>
        <v>230283</v>
      </c>
    </row>
    <row r="59" spans="1:5" s="1" customFormat="1" ht="12.75" customHeight="1">
      <c r="A59" s="30"/>
      <c r="B59" s="31"/>
      <c r="C59" s="32"/>
      <c r="D59" s="33"/>
      <c r="E59" s="32"/>
    </row>
    <row r="60" spans="1:5" s="29" customFormat="1" ht="12.75" customHeight="1">
      <c r="A60" s="23" t="s">
        <v>2154</v>
      </c>
      <c r="B60" s="24"/>
      <c r="C60" s="41">
        <f>C58+C48</f>
        <v>295951</v>
      </c>
      <c r="D60" s="28"/>
      <c r="E60" s="41">
        <f>E58+E48</f>
        <v>252409</v>
      </c>
    </row>
    <row r="61" spans="1:5" s="1" customFormat="1" ht="12.75" customHeight="1" hidden="1">
      <c r="A61" s="30"/>
      <c r="B61" s="31"/>
      <c r="C61" s="32"/>
      <c r="D61" s="33"/>
      <c r="E61" s="42"/>
    </row>
    <row r="62" spans="1:4" s="45" customFormat="1" ht="11.25" hidden="1">
      <c r="A62" s="43" t="s">
        <v>2155</v>
      </c>
      <c r="B62" s="33"/>
      <c r="C62" s="44"/>
      <c r="D62" s="33"/>
    </row>
    <row r="63" spans="1:4" s="45" customFormat="1" ht="11.25" hidden="1">
      <c r="A63" s="46" t="s">
        <v>2156</v>
      </c>
      <c r="B63" s="33"/>
      <c r="C63" s="44"/>
      <c r="D63" s="33"/>
    </row>
    <row r="64" spans="1:4" s="45" customFormat="1" ht="11.25" hidden="1">
      <c r="A64" s="46" t="s">
        <v>2157</v>
      </c>
      <c r="B64" s="33"/>
      <c r="C64" s="44"/>
      <c r="D64" s="33"/>
    </row>
    <row r="65" spans="1:4" s="45" customFormat="1" ht="11.25" hidden="1">
      <c r="A65" s="46" t="s">
        <v>2158</v>
      </c>
      <c r="B65" s="33"/>
      <c r="C65" s="44"/>
      <c r="D65" s="33"/>
    </row>
    <row r="66" ht="12.75">
      <c r="C66" s="47"/>
    </row>
    <row r="67" spans="1:3" ht="12.75">
      <c r="A67" s="48" t="s">
        <v>2159</v>
      </c>
      <c r="C67" s="1"/>
    </row>
    <row r="68" ht="12.75">
      <c r="C68" s="1"/>
    </row>
    <row r="69" ht="12.75">
      <c r="C69" s="1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4.7109375" style="395" hidden="1" customWidth="1"/>
    <col min="2" max="2" width="2.7109375" style="412" customWidth="1"/>
    <col min="3" max="3" width="28.57421875" style="433" hidden="1" customWidth="1"/>
    <col min="4" max="4" width="45.7109375" style="433" customWidth="1"/>
    <col min="5" max="5" width="1.57421875" style="433" customWidth="1"/>
    <col min="6" max="6" width="15.140625" style="454" customWidth="1"/>
    <col min="7" max="7" width="16.00390625" style="435" customWidth="1"/>
    <col min="8" max="8" width="16.28125" style="436" customWidth="1"/>
    <col min="9" max="9" width="15.8515625" style="436" customWidth="1"/>
    <col min="10" max="11" width="16.140625" style="436" customWidth="1"/>
    <col min="12" max="12" width="17.140625" style="436" customWidth="1"/>
    <col min="13" max="13" width="11.57421875" style="395" hidden="1" customWidth="1"/>
    <col min="14" max="14" width="0" style="395" hidden="1" customWidth="1"/>
    <col min="15" max="15" width="9.140625" style="395" hidden="1" customWidth="1"/>
    <col min="16" max="16384" width="9.140625" style="395" customWidth="1"/>
  </cols>
  <sheetData>
    <row r="1" spans="1:12" ht="12.75" hidden="1">
      <c r="A1" s="395" t="s">
        <v>780</v>
      </c>
      <c r="B1" s="396" t="s">
        <v>2106</v>
      </c>
      <c r="C1" s="397" t="s">
        <v>2107</v>
      </c>
      <c r="D1" s="397" t="s">
        <v>2108</v>
      </c>
      <c r="E1" s="397"/>
      <c r="F1" s="398" t="s">
        <v>935</v>
      </c>
      <c r="G1" s="399" t="s">
        <v>936</v>
      </c>
      <c r="H1" s="400" t="s">
        <v>937</v>
      </c>
      <c r="I1" s="400" t="s">
        <v>938</v>
      </c>
      <c r="J1" s="400" t="s">
        <v>939</v>
      </c>
      <c r="K1" s="400" t="s">
        <v>940</v>
      </c>
      <c r="L1" s="400" t="s">
        <v>2108</v>
      </c>
    </row>
    <row r="2" spans="1:15" s="411" customFormat="1" ht="15.75" customHeight="1">
      <c r="A2" s="401"/>
      <c r="B2" s="402" t="str">
        <f>"University of Missouri - "&amp;RBN</f>
        <v>University of Missouri - Rolla</v>
      </c>
      <c r="C2" s="403"/>
      <c r="D2" s="404"/>
      <c r="E2" s="405"/>
      <c r="F2" s="406"/>
      <c r="G2" s="406"/>
      <c r="H2" s="407" t="s">
        <v>2106</v>
      </c>
      <c r="I2" s="406"/>
      <c r="J2" s="408"/>
      <c r="K2" s="406"/>
      <c r="L2" s="409"/>
      <c r="M2" s="410"/>
      <c r="N2" s="411" t="s">
        <v>2276</v>
      </c>
      <c r="O2" s="411" t="s">
        <v>784</v>
      </c>
    </row>
    <row r="3" spans="1:15" ht="15.75" customHeight="1">
      <c r="A3" s="412"/>
      <c r="B3" s="413" t="s">
        <v>941</v>
      </c>
      <c r="C3" s="414"/>
      <c r="D3" s="415"/>
      <c r="E3" s="416"/>
      <c r="F3" s="417"/>
      <c r="G3" s="417"/>
      <c r="H3" s="418"/>
      <c r="I3" s="419"/>
      <c r="J3" s="417"/>
      <c r="K3" s="417"/>
      <c r="L3" s="420"/>
      <c r="M3" s="421"/>
      <c r="O3" s="395" t="s">
        <v>942</v>
      </c>
    </row>
    <row r="4" spans="1:15" ht="15.75" customHeight="1">
      <c r="A4" s="412"/>
      <c r="B4" s="422" t="str">
        <f>"As of "&amp;TEXT(O4,"MMMM DD, YYYY")</f>
        <v>As of June 30, 2004</v>
      </c>
      <c r="C4" s="414"/>
      <c r="D4" s="415"/>
      <c r="E4" s="416"/>
      <c r="F4" s="417"/>
      <c r="G4" s="417"/>
      <c r="H4" s="417"/>
      <c r="I4" s="417"/>
      <c r="J4" s="417"/>
      <c r="K4" s="417"/>
      <c r="L4" s="423"/>
      <c r="M4" s="421"/>
      <c r="O4" s="395" t="s">
        <v>2275</v>
      </c>
    </row>
    <row r="5" spans="1:13" ht="12.75" customHeight="1">
      <c r="A5" s="412"/>
      <c r="B5" s="422"/>
      <c r="C5" s="414"/>
      <c r="D5" s="415"/>
      <c r="E5" s="416"/>
      <c r="F5" s="417"/>
      <c r="G5" s="417"/>
      <c r="H5" s="417"/>
      <c r="I5" s="417"/>
      <c r="J5" s="417"/>
      <c r="K5" s="417"/>
      <c r="L5" s="85"/>
      <c r="M5" s="424"/>
    </row>
    <row r="6" spans="2:12" s="425" customFormat="1" ht="27.75" customHeight="1">
      <c r="B6" s="426"/>
      <c r="C6" s="427"/>
      <c r="D6" s="427"/>
      <c r="E6" s="427"/>
      <c r="F6" s="428" t="s">
        <v>943</v>
      </c>
      <c r="G6" s="429" t="s">
        <v>944</v>
      </c>
      <c r="H6" s="430" t="s">
        <v>945</v>
      </c>
      <c r="I6" s="430" t="s">
        <v>946</v>
      </c>
      <c r="J6" s="430" t="s">
        <v>947</v>
      </c>
      <c r="K6" s="430" t="s">
        <v>948</v>
      </c>
      <c r="L6" s="430" t="str">
        <f>"Balance
"&amp;TEXT(O4,"MMMM DD, YYYY")</f>
        <v>Balance
June 30, 2004</v>
      </c>
    </row>
    <row r="7" spans="1:6" ht="12.75">
      <c r="A7" s="395" t="s">
        <v>2106</v>
      </c>
      <c r="B7" s="431" t="s">
        <v>949</v>
      </c>
      <c r="C7" s="432"/>
      <c r="D7" s="432"/>
      <c r="F7" s="434"/>
    </row>
    <row r="8" spans="1:12" ht="12.75" outlineLevel="1">
      <c r="A8" s="395" t="s">
        <v>950</v>
      </c>
      <c r="B8" s="396"/>
      <c r="C8" s="397" t="s">
        <v>951</v>
      </c>
      <c r="D8" s="397" t="str">
        <f aca="true" t="shared" si="0" ref="D8:D53">UPPER(C8)</f>
        <v>PERKINS LOAN(FEDERAL</v>
      </c>
      <c r="E8" s="397"/>
      <c r="F8" s="437">
        <v>5337051.25</v>
      </c>
      <c r="G8" s="438">
        <v>33942</v>
      </c>
      <c r="H8" s="439">
        <v>67546.15</v>
      </c>
      <c r="I8" s="439">
        <v>-6741.41</v>
      </c>
      <c r="J8" s="439">
        <v>64237.7</v>
      </c>
      <c r="K8" s="439">
        <v>143008.61</v>
      </c>
      <c r="L8" s="439">
        <f aca="true" t="shared" si="1" ref="L8:L53">F8+G8+H8+I8-J8+K8</f>
        <v>5510568.9</v>
      </c>
    </row>
    <row r="9" spans="1:12" ht="12.75" outlineLevel="1">
      <c r="A9" s="395" t="s">
        <v>952</v>
      </c>
      <c r="B9" s="396"/>
      <c r="C9" s="397" t="s">
        <v>953</v>
      </c>
      <c r="D9" s="397" t="str">
        <f t="shared" si="0"/>
        <v>ICL(FEDERAL)</v>
      </c>
      <c r="E9" s="397"/>
      <c r="F9" s="440">
        <v>140879.64</v>
      </c>
      <c r="G9" s="441">
        <v>0</v>
      </c>
      <c r="H9" s="442">
        <v>-56448.38</v>
      </c>
      <c r="I9" s="442">
        <v>2918.41</v>
      </c>
      <c r="J9" s="442">
        <v>0</v>
      </c>
      <c r="K9" s="442">
        <v>0</v>
      </c>
      <c r="L9" s="442">
        <f t="shared" si="1"/>
        <v>87349.67000000001</v>
      </c>
    </row>
    <row r="10" spans="1:12" ht="12.75" outlineLevel="1">
      <c r="A10" s="395" t="s">
        <v>954</v>
      </c>
      <c r="B10" s="396"/>
      <c r="C10" s="397" t="s">
        <v>955</v>
      </c>
      <c r="D10" s="397" t="str">
        <f t="shared" si="0"/>
        <v>ALLOW DBTFL LOAN-FED</v>
      </c>
      <c r="E10" s="397"/>
      <c r="F10" s="440">
        <v>-420612.52</v>
      </c>
      <c r="G10" s="441">
        <v>0</v>
      </c>
      <c r="H10" s="442">
        <v>410564.57</v>
      </c>
      <c r="I10" s="442">
        <v>47.95</v>
      </c>
      <c r="J10" s="442">
        <v>0</v>
      </c>
      <c r="K10" s="442">
        <v>0</v>
      </c>
      <c r="L10" s="442">
        <f t="shared" si="1"/>
        <v>-10000.000000000011</v>
      </c>
    </row>
    <row r="11" spans="1:12" ht="12.75" outlineLevel="1">
      <c r="A11" s="395" t="s">
        <v>956</v>
      </c>
      <c r="B11" s="396"/>
      <c r="C11" s="397" t="s">
        <v>957</v>
      </c>
      <c r="D11" s="397" t="str">
        <f t="shared" si="0"/>
        <v>ALUMNI STUDENT LOAN</v>
      </c>
      <c r="E11" s="397"/>
      <c r="F11" s="440">
        <v>439357.72</v>
      </c>
      <c r="G11" s="441">
        <v>0</v>
      </c>
      <c r="H11" s="442">
        <v>4981.99</v>
      </c>
      <c r="I11" s="442">
        <v>323.64</v>
      </c>
      <c r="J11" s="442">
        <v>-71.49</v>
      </c>
      <c r="K11" s="442">
        <v>0</v>
      </c>
      <c r="L11" s="442">
        <f t="shared" si="1"/>
        <v>444734.83999999997</v>
      </c>
    </row>
    <row r="12" spans="1:12" ht="12.75" outlineLevel="1">
      <c r="A12" s="395" t="s">
        <v>958</v>
      </c>
      <c r="B12" s="396"/>
      <c r="C12" s="397" t="s">
        <v>959</v>
      </c>
      <c r="D12" s="397" t="str">
        <f t="shared" si="0"/>
        <v>A S M E LOAN FUND</v>
      </c>
      <c r="E12" s="397"/>
      <c r="F12" s="440">
        <v>563.04</v>
      </c>
      <c r="G12" s="441">
        <v>0</v>
      </c>
      <c r="H12" s="442">
        <v>0</v>
      </c>
      <c r="I12" s="442">
        <v>19.46</v>
      </c>
      <c r="J12" s="442">
        <v>0</v>
      </c>
      <c r="K12" s="442">
        <v>0</v>
      </c>
      <c r="L12" s="442">
        <f t="shared" si="1"/>
        <v>582.5</v>
      </c>
    </row>
    <row r="13" spans="1:12" ht="12.75" outlineLevel="1">
      <c r="A13" s="395" t="s">
        <v>960</v>
      </c>
      <c r="B13" s="396"/>
      <c r="C13" s="397" t="s">
        <v>961</v>
      </c>
      <c r="D13" s="397" t="str">
        <f t="shared" si="0"/>
        <v>R A ARMSTRONG LOAN</v>
      </c>
      <c r="E13" s="397"/>
      <c r="F13" s="440">
        <v>142333.57</v>
      </c>
      <c r="G13" s="441">
        <v>0</v>
      </c>
      <c r="H13" s="442">
        <v>552.11</v>
      </c>
      <c r="I13" s="442">
        <v>230.25</v>
      </c>
      <c r="J13" s="442">
        <v>0</v>
      </c>
      <c r="K13" s="442">
        <v>0</v>
      </c>
      <c r="L13" s="442">
        <f t="shared" si="1"/>
        <v>143115.93</v>
      </c>
    </row>
    <row r="14" spans="1:12" ht="12.75" outlineLevel="1">
      <c r="A14" s="395" t="s">
        <v>962</v>
      </c>
      <c r="B14" s="396"/>
      <c r="C14" s="397" t="s">
        <v>963</v>
      </c>
      <c r="D14" s="397" t="str">
        <f t="shared" si="0"/>
        <v>J B ARTHUR LOAN</v>
      </c>
      <c r="E14" s="397"/>
      <c r="F14" s="440">
        <v>37982</v>
      </c>
      <c r="G14" s="441">
        <v>0</v>
      </c>
      <c r="H14" s="442">
        <v>0</v>
      </c>
      <c r="I14" s="442">
        <v>7452.57</v>
      </c>
      <c r="J14" s="442">
        <v>0</v>
      </c>
      <c r="K14" s="442">
        <v>-7379.16</v>
      </c>
      <c r="L14" s="442">
        <f t="shared" si="1"/>
        <v>38055.41</v>
      </c>
    </row>
    <row r="15" spans="1:12" ht="12.75" outlineLevel="1">
      <c r="A15" s="395" t="s">
        <v>964</v>
      </c>
      <c r="B15" s="396"/>
      <c r="C15" s="397" t="s">
        <v>965</v>
      </c>
      <c r="D15" s="397" t="str">
        <f t="shared" si="0"/>
        <v>C S BARNARD LOAN</v>
      </c>
      <c r="E15" s="397"/>
      <c r="F15" s="440">
        <v>1991.46</v>
      </c>
      <c r="G15" s="441">
        <v>0</v>
      </c>
      <c r="H15" s="442">
        <v>0</v>
      </c>
      <c r="I15" s="442">
        <v>68.82</v>
      </c>
      <c r="J15" s="442">
        <v>0</v>
      </c>
      <c r="K15" s="442">
        <v>0</v>
      </c>
      <c r="L15" s="442">
        <f t="shared" si="1"/>
        <v>2060.28</v>
      </c>
    </row>
    <row r="16" spans="1:12" ht="12.75" outlineLevel="1">
      <c r="A16" s="395" t="s">
        <v>966</v>
      </c>
      <c r="B16" s="396"/>
      <c r="C16" s="397" t="s">
        <v>967</v>
      </c>
      <c r="D16" s="397" t="str">
        <f t="shared" si="0"/>
        <v>EUNICE BEIMDIEK LN</v>
      </c>
      <c r="E16" s="397"/>
      <c r="F16" s="440">
        <v>28.66</v>
      </c>
      <c r="G16" s="441">
        <v>0</v>
      </c>
      <c r="H16" s="442">
        <v>0</v>
      </c>
      <c r="I16" s="442">
        <v>0.99</v>
      </c>
      <c r="J16" s="442">
        <v>0</v>
      </c>
      <c r="K16" s="442">
        <v>0</v>
      </c>
      <c r="L16" s="442">
        <f t="shared" si="1"/>
        <v>29.65</v>
      </c>
    </row>
    <row r="17" spans="1:12" ht="12.75" outlineLevel="1">
      <c r="A17" s="395" t="s">
        <v>968</v>
      </c>
      <c r="B17" s="396"/>
      <c r="C17" s="397" t="s">
        <v>969</v>
      </c>
      <c r="D17" s="397" t="str">
        <f t="shared" si="0"/>
        <v>BERUTT MEM LOAN</v>
      </c>
      <c r="E17" s="397"/>
      <c r="F17" s="440">
        <v>9.83</v>
      </c>
      <c r="G17" s="441">
        <v>0</v>
      </c>
      <c r="H17" s="442">
        <v>0</v>
      </c>
      <c r="I17" s="442">
        <v>0</v>
      </c>
      <c r="J17" s="442">
        <v>0</v>
      </c>
      <c r="K17" s="442">
        <v>0</v>
      </c>
      <c r="L17" s="442">
        <f t="shared" si="1"/>
        <v>9.83</v>
      </c>
    </row>
    <row r="18" spans="1:12" ht="12.75" outlineLevel="1">
      <c r="A18" s="395" t="s">
        <v>970</v>
      </c>
      <c r="B18" s="396"/>
      <c r="C18" s="397" t="s">
        <v>971</v>
      </c>
      <c r="D18" s="397" t="str">
        <f t="shared" si="0"/>
        <v>JACK BOBBITT LOAN FD</v>
      </c>
      <c r="E18" s="397"/>
      <c r="F18" s="440">
        <v>1821.36</v>
      </c>
      <c r="G18" s="441">
        <v>0</v>
      </c>
      <c r="H18" s="442">
        <v>0</v>
      </c>
      <c r="I18" s="442">
        <v>62.95</v>
      </c>
      <c r="J18" s="442">
        <v>0</v>
      </c>
      <c r="K18" s="442">
        <v>0</v>
      </c>
      <c r="L18" s="442">
        <f t="shared" si="1"/>
        <v>1884.31</v>
      </c>
    </row>
    <row r="19" spans="1:12" ht="12.75" outlineLevel="1">
      <c r="A19" s="395" t="s">
        <v>972</v>
      </c>
      <c r="B19" s="396"/>
      <c r="C19" s="397" t="s">
        <v>973</v>
      </c>
      <c r="D19" s="397" t="str">
        <f t="shared" si="0"/>
        <v>BOYD MEM LOAN</v>
      </c>
      <c r="E19" s="397"/>
      <c r="F19" s="440">
        <v>0.73</v>
      </c>
      <c r="G19" s="441">
        <v>0</v>
      </c>
      <c r="H19" s="442">
        <v>0</v>
      </c>
      <c r="I19" s="442">
        <v>0</v>
      </c>
      <c r="J19" s="442">
        <v>0</v>
      </c>
      <c r="K19" s="442">
        <v>0</v>
      </c>
      <c r="L19" s="442">
        <f t="shared" si="1"/>
        <v>0.73</v>
      </c>
    </row>
    <row r="20" spans="1:12" ht="12.75" outlineLevel="1">
      <c r="A20" s="395" t="s">
        <v>974</v>
      </c>
      <c r="B20" s="396"/>
      <c r="C20" s="397" t="s">
        <v>975</v>
      </c>
      <c r="D20" s="397" t="str">
        <f t="shared" si="0"/>
        <v>BOYD/WATTS LOAN</v>
      </c>
      <c r="E20" s="397"/>
      <c r="F20" s="440">
        <v>22620.94</v>
      </c>
      <c r="G20" s="441">
        <v>0</v>
      </c>
      <c r="H20" s="442">
        <v>0</v>
      </c>
      <c r="I20" s="442">
        <v>494.82</v>
      </c>
      <c r="J20" s="442">
        <v>0</v>
      </c>
      <c r="K20" s="442">
        <v>-5667.82</v>
      </c>
      <c r="L20" s="442">
        <f t="shared" si="1"/>
        <v>17447.94</v>
      </c>
    </row>
    <row r="21" spans="1:12" ht="12.75" outlineLevel="1">
      <c r="A21" s="395" t="s">
        <v>976</v>
      </c>
      <c r="B21" s="396"/>
      <c r="C21" s="397" t="s">
        <v>977</v>
      </c>
      <c r="D21" s="397" t="str">
        <f t="shared" si="0"/>
        <v>HUGH AND FLO BRYANT</v>
      </c>
      <c r="E21" s="397"/>
      <c r="F21" s="440">
        <v>116709.56</v>
      </c>
      <c r="G21" s="441">
        <v>0</v>
      </c>
      <c r="H21" s="442">
        <v>718.14</v>
      </c>
      <c r="I21" s="442">
        <v>0</v>
      </c>
      <c r="J21" s="442">
        <v>0</v>
      </c>
      <c r="K21" s="442">
        <v>-718.1399999999994</v>
      </c>
      <c r="L21" s="442">
        <f t="shared" si="1"/>
        <v>116709.56</v>
      </c>
    </row>
    <row r="22" spans="1:12" ht="12.75" outlineLevel="1">
      <c r="A22" s="395" t="s">
        <v>978</v>
      </c>
      <c r="B22" s="396"/>
      <c r="C22" s="397" t="s">
        <v>979</v>
      </c>
      <c r="D22" s="397" t="str">
        <f t="shared" si="0"/>
        <v>EBEN R CRUM LOAN</v>
      </c>
      <c r="E22" s="397"/>
      <c r="F22" s="440">
        <v>67038.22</v>
      </c>
      <c r="G22" s="441">
        <v>0</v>
      </c>
      <c r="H22" s="442">
        <v>1241.84</v>
      </c>
      <c r="I22" s="442">
        <v>347.33</v>
      </c>
      <c r="J22" s="442">
        <v>-13.75</v>
      </c>
      <c r="K22" s="442">
        <v>0</v>
      </c>
      <c r="L22" s="442">
        <f t="shared" si="1"/>
        <v>68641.14</v>
      </c>
    </row>
    <row r="23" spans="1:12" ht="12.75" outlineLevel="1">
      <c r="A23" s="395" t="s">
        <v>980</v>
      </c>
      <c r="B23" s="396"/>
      <c r="C23" s="397" t="s">
        <v>981</v>
      </c>
      <c r="D23" s="397" t="str">
        <f t="shared" si="0"/>
        <v>PB &amp; JJ DOYLE LN FD</v>
      </c>
      <c r="E23" s="397"/>
      <c r="F23" s="440">
        <v>434866.82</v>
      </c>
      <c r="G23" s="441">
        <v>337.14</v>
      </c>
      <c r="H23" s="442">
        <v>6975.66</v>
      </c>
      <c r="I23" s="442">
        <v>281.42</v>
      </c>
      <c r="J23" s="442">
        <v>13.76</v>
      </c>
      <c r="K23" s="442">
        <v>14059.26</v>
      </c>
      <c r="L23" s="442">
        <f t="shared" si="1"/>
        <v>456506.54</v>
      </c>
    </row>
    <row r="24" spans="1:12" ht="12.75" outlineLevel="1">
      <c r="A24" s="395" t="s">
        <v>982</v>
      </c>
      <c r="B24" s="396"/>
      <c r="C24" s="397" t="s">
        <v>983</v>
      </c>
      <c r="D24" s="397" t="str">
        <f t="shared" si="0"/>
        <v>ELECT ENG LOAN FD</v>
      </c>
      <c r="E24" s="397"/>
      <c r="F24" s="440">
        <v>2857.52</v>
      </c>
      <c r="G24" s="441">
        <v>0</v>
      </c>
      <c r="H24" s="442">
        <v>0</v>
      </c>
      <c r="I24" s="442">
        <v>98.77</v>
      </c>
      <c r="J24" s="442">
        <v>0</v>
      </c>
      <c r="K24" s="442">
        <v>0</v>
      </c>
      <c r="L24" s="442">
        <f t="shared" si="1"/>
        <v>2956.29</v>
      </c>
    </row>
    <row r="25" spans="1:12" ht="12.75" outlineLevel="1">
      <c r="A25" s="395" t="s">
        <v>984</v>
      </c>
      <c r="B25" s="396"/>
      <c r="C25" s="397" t="s">
        <v>985</v>
      </c>
      <c r="D25" s="397" t="str">
        <f t="shared" si="0"/>
        <v>H Q FULLER SCH-LN FD</v>
      </c>
      <c r="E25" s="397"/>
      <c r="F25" s="440">
        <v>11894.41</v>
      </c>
      <c r="G25" s="441">
        <v>0</v>
      </c>
      <c r="H25" s="442">
        <v>0</v>
      </c>
      <c r="I25" s="442">
        <v>1068.93</v>
      </c>
      <c r="J25" s="442">
        <v>0</v>
      </c>
      <c r="K25" s="442">
        <v>0</v>
      </c>
      <c r="L25" s="442">
        <f t="shared" si="1"/>
        <v>12963.34</v>
      </c>
    </row>
    <row r="26" spans="1:12" ht="12.75" outlineLevel="1">
      <c r="A26" s="395" t="s">
        <v>986</v>
      </c>
      <c r="B26" s="396"/>
      <c r="C26" s="397" t="s">
        <v>987</v>
      </c>
      <c r="D26" s="397" t="str">
        <f t="shared" si="0"/>
        <v>HARTVIGSEN ESTATE FD</v>
      </c>
      <c r="E26" s="397"/>
      <c r="F26" s="440">
        <v>69322.84</v>
      </c>
      <c r="G26" s="441">
        <v>0</v>
      </c>
      <c r="H26" s="442">
        <v>213.59</v>
      </c>
      <c r="I26" s="442">
        <v>1602.97</v>
      </c>
      <c r="J26" s="442">
        <v>0</v>
      </c>
      <c r="K26" s="442">
        <v>-1816.56</v>
      </c>
      <c r="L26" s="442">
        <f t="shared" si="1"/>
        <v>69322.84</v>
      </c>
    </row>
    <row r="27" spans="1:12" ht="12.75" outlineLevel="1">
      <c r="A27" s="395" t="s">
        <v>988</v>
      </c>
      <c r="B27" s="396"/>
      <c r="C27" s="397" t="s">
        <v>989</v>
      </c>
      <c r="D27" s="397" t="str">
        <f t="shared" si="0"/>
        <v>GOLD LOAN FUND</v>
      </c>
      <c r="E27" s="397"/>
      <c r="F27" s="440">
        <v>4557711.96</v>
      </c>
      <c r="G27" s="441">
        <v>0</v>
      </c>
      <c r="H27" s="442">
        <v>79667.61</v>
      </c>
      <c r="I27" s="442">
        <v>21974.15</v>
      </c>
      <c r="J27" s="442">
        <v>12.5</v>
      </c>
      <c r="K27" s="442">
        <v>-254962.64</v>
      </c>
      <c r="L27" s="442">
        <f t="shared" si="1"/>
        <v>4404378.580000001</v>
      </c>
    </row>
    <row r="28" spans="1:12" ht="12.75" outlineLevel="1">
      <c r="A28" s="395" t="s">
        <v>990</v>
      </c>
      <c r="B28" s="396"/>
      <c r="C28" s="397" t="s">
        <v>991</v>
      </c>
      <c r="D28" s="397" t="str">
        <f t="shared" si="0"/>
        <v>JOHN P HARMON LOAN</v>
      </c>
      <c r="E28" s="397"/>
      <c r="F28" s="440">
        <v>32764.21</v>
      </c>
      <c r="G28" s="441">
        <v>2.27</v>
      </c>
      <c r="H28" s="442">
        <v>728.66</v>
      </c>
      <c r="I28" s="442">
        <v>29.91</v>
      </c>
      <c r="J28" s="442">
        <v>0</v>
      </c>
      <c r="K28" s="442">
        <v>-1882.91</v>
      </c>
      <c r="L28" s="442">
        <f t="shared" si="1"/>
        <v>31642.140000000003</v>
      </c>
    </row>
    <row r="29" spans="1:12" ht="12.75" outlineLevel="1">
      <c r="A29" s="395" t="s">
        <v>992</v>
      </c>
      <c r="B29" s="396"/>
      <c r="C29" s="397" t="s">
        <v>993</v>
      </c>
      <c r="D29" s="397" t="str">
        <f t="shared" si="0"/>
        <v>HASSELMANN LOAN FUND</v>
      </c>
      <c r="E29" s="397"/>
      <c r="F29" s="440">
        <v>23598.85</v>
      </c>
      <c r="G29" s="441">
        <v>0</v>
      </c>
      <c r="H29" s="442">
        <v>5.5</v>
      </c>
      <c r="I29" s="442">
        <v>4.23</v>
      </c>
      <c r="J29" s="442">
        <v>0</v>
      </c>
      <c r="K29" s="442">
        <v>-10279.18</v>
      </c>
      <c r="L29" s="442">
        <f t="shared" si="1"/>
        <v>13329.399999999998</v>
      </c>
    </row>
    <row r="30" spans="1:12" ht="12.75" outlineLevel="1">
      <c r="A30" s="395" t="s">
        <v>994</v>
      </c>
      <c r="B30" s="396"/>
      <c r="C30" s="397" t="s">
        <v>995</v>
      </c>
      <c r="D30" s="397" t="str">
        <f t="shared" si="0"/>
        <v>JACKLING LOAN FUND</v>
      </c>
      <c r="E30" s="397"/>
      <c r="F30" s="440">
        <v>114248.22</v>
      </c>
      <c r="G30" s="441">
        <v>0</v>
      </c>
      <c r="H30" s="442">
        <v>2791.77</v>
      </c>
      <c r="I30" s="442">
        <v>-242.03</v>
      </c>
      <c r="J30" s="442">
        <v>0</v>
      </c>
      <c r="K30" s="442">
        <v>-7347.97</v>
      </c>
      <c r="L30" s="442">
        <f t="shared" si="1"/>
        <v>109449.99</v>
      </c>
    </row>
    <row r="31" spans="1:12" ht="12.75" outlineLevel="1">
      <c r="A31" s="395" t="s">
        <v>996</v>
      </c>
      <c r="B31" s="396"/>
      <c r="C31" s="397" t="s">
        <v>997</v>
      </c>
      <c r="D31" s="397" t="str">
        <f t="shared" si="0"/>
        <v>MCBRIDE LOAN/SCHP</v>
      </c>
      <c r="E31" s="397"/>
      <c r="F31" s="440">
        <v>351210.87</v>
      </c>
      <c r="G31" s="441">
        <v>0</v>
      </c>
      <c r="H31" s="442">
        <v>4934.2</v>
      </c>
      <c r="I31" s="442">
        <v>118060.37</v>
      </c>
      <c r="J31" s="442">
        <v>0</v>
      </c>
      <c r="K31" s="442">
        <v>-112417.96</v>
      </c>
      <c r="L31" s="442">
        <f t="shared" si="1"/>
        <v>361787.48</v>
      </c>
    </row>
    <row r="32" spans="1:12" ht="12.75" outlineLevel="1">
      <c r="A32" s="395" t="s">
        <v>998</v>
      </c>
      <c r="B32" s="396"/>
      <c r="C32" s="397" t="s">
        <v>999</v>
      </c>
      <c r="D32" s="397" t="str">
        <f t="shared" si="0"/>
        <v>"M" CLUB LOAN FUND</v>
      </c>
      <c r="E32" s="397"/>
      <c r="F32" s="440">
        <v>2102.53</v>
      </c>
      <c r="G32" s="441">
        <v>0</v>
      </c>
      <c r="H32" s="442">
        <v>0</v>
      </c>
      <c r="I32" s="442">
        <v>72.66</v>
      </c>
      <c r="J32" s="442">
        <v>0</v>
      </c>
      <c r="K32" s="442">
        <v>0</v>
      </c>
      <c r="L32" s="442">
        <f t="shared" si="1"/>
        <v>2175.19</v>
      </c>
    </row>
    <row r="33" spans="1:12" ht="12.75" outlineLevel="1">
      <c r="A33" s="395" t="s">
        <v>1000</v>
      </c>
      <c r="B33" s="396"/>
      <c r="C33" s="397" t="s">
        <v>1001</v>
      </c>
      <c r="D33" s="397" t="str">
        <f t="shared" si="0"/>
        <v>STONE SCHP/LOAN</v>
      </c>
      <c r="E33" s="397"/>
      <c r="F33" s="440">
        <v>47059.41</v>
      </c>
      <c r="G33" s="441">
        <v>0</v>
      </c>
      <c r="H33" s="442">
        <v>273.58</v>
      </c>
      <c r="I33" s="442">
        <v>803.29</v>
      </c>
      <c r="J33" s="442">
        <v>0</v>
      </c>
      <c r="K33" s="442">
        <v>14299.21</v>
      </c>
      <c r="L33" s="442">
        <f t="shared" si="1"/>
        <v>62435.490000000005</v>
      </c>
    </row>
    <row r="34" spans="1:12" ht="12.75" outlineLevel="1">
      <c r="A34" s="395" t="s">
        <v>1002</v>
      </c>
      <c r="B34" s="396"/>
      <c r="C34" s="397" t="s">
        <v>1003</v>
      </c>
      <c r="D34" s="397" t="str">
        <f t="shared" si="0"/>
        <v>H L PRANGE LOAN</v>
      </c>
      <c r="E34" s="397"/>
      <c r="F34" s="440">
        <v>26389.3</v>
      </c>
      <c r="G34" s="441">
        <v>1000</v>
      </c>
      <c r="H34" s="442">
        <v>247.13</v>
      </c>
      <c r="I34" s="442">
        <v>78.26</v>
      </c>
      <c r="J34" s="442">
        <v>0</v>
      </c>
      <c r="K34" s="442">
        <v>0</v>
      </c>
      <c r="L34" s="442">
        <f t="shared" si="1"/>
        <v>27714.69</v>
      </c>
    </row>
    <row r="35" spans="1:12" ht="12.75" outlineLevel="1">
      <c r="A35" s="395" t="s">
        <v>1004</v>
      </c>
      <c r="B35" s="396"/>
      <c r="C35" s="397" t="s">
        <v>1005</v>
      </c>
      <c r="D35" s="397" t="str">
        <f t="shared" si="0"/>
        <v>RHOADES 32 LOAN FD</v>
      </c>
      <c r="E35" s="397"/>
      <c r="F35" s="440">
        <v>58897.18</v>
      </c>
      <c r="G35" s="441">
        <v>0</v>
      </c>
      <c r="H35" s="442">
        <v>1300.56</v>
      </c>
      <c r="I35" s="442">
        <v>541.86</v>
      </c>
      <c r="J35" s="442">
        <v>0</v>
      </c>
      <c r="K35" s="442">
        <v>0</v>
      </c>
      <c r="L35" s="442">
        <f t="shared" si="1"/>
        <v>60739.6</v>
      </c>
    </row>
    <row r="36" spans="1:12" ht="12.75" outlineLevel="1">
      <c r="A36" s="395" t="s">
        <v>1006</v>
      </c>
      <c r="B36" s="396"/>
      <c r="C36" s="397" t="s">
        <v>1007</v>
      </c>
      <c r="D36" s="397" t="str">
        <f t="shared" si="0"/>
        <v>ROLLA ROTARY CLUB LN</v>
      </c>
      <c r="E36" s="397"/>
      <c r="F36" s="440">
        <v>5789.31</v>
      </c>
      <c r="G36" s="441">
        <v>0</v>
      </c>
      <c r="H36" s="442">
        <v>10</v>
      </c>
      <c r="I36" s="442">
        <v>141.56</v>
      </c>
      <c r="J36" s="442">
        <v>0</v>
      </c>
      <c r="K36" s="442">
        <v>0</v>
      </c>
      <c r="L36" s="442">
        <f t="shared" si="1"/>
        <v>5940.870000000001</v>
      </c>
    </row>
    <row r="37" spans="1:12" ht="12.75" outlineLevel="1">
      <c r="A37" s="395" t="s">
        <v>1008</v>
      </c>
      <c r="B37" s="396"/>
      <c r="C37" s="397" t="s">
        <v>1009</v>
      </c>
      <c r="D37" s="397" t="str">
        <f t="shared" si="0"/>
        <v>D R SCHOOLER MEM LN</v>
      </c>
      <c r="E37" s="397"/>
      <c r="F37" s="440">
        <v>783.17</v>
      </c>
      <c r="G37" s="441">
        <v>0</v>
      </c>
      <c r="H37" s="442">
        <v>0</v>
      </c>
      <c r="I37" s="442">
        <v>27.07</v>
      </c>
      <c r="J37" s="442">
        <v>0</v>
      </c>
      <c r="K37" s="442">
        <v>0</v>
      </c>
      <c r="L37" s="442">
        <f t="shared" si="1"/>
        <v>810.24</v>
      </c>
    </row>
    <row r="38" spans="1:12" ht="12.75" outlineLevel="1">
      <c r="A38" s="395" t="s">
        <v>1010</v>
      </c>
      <c r="B38" s="396"/>
      <c r="C38" s="397" t="s">
        <v>1011</v>
      </c>
      <c r="D38" s="397" t="str">
        <f t="shared" si="0"/>
        <v>W T SCHRENK LOAN</v>
      </c>
      <c r="E38" s="397"/>
      <c r="F38" s="440">
        <v>115392.81</v>
      </c>
      <c r="G38" s="441">
        <v>0</v>
      </c>
      <c r="H38" s="442">
        <v>209.08</v>
      </c>
      <c r="I38" s="442">
        <v>2021.15</v>
      </c>
      <c r="J38" s="442">
        <v>0</v>
      </c>
      <c r="K38" s="442">
        <v>0</v>
      </c>
      <c r="L38" s="442">
        <f t="shared" si="1"/>
        <v>117623.04</v>
      </c>
    </row>
    <row r="39" spans="1:12" ht="12.75" outlineLevel="1">
      <c r="A39" s="395" t="s">
        <v>1012</v>
      </c>
      <c r="B39" s="396"/>
      <c r="C39" s="397" t="s">
        <v>1013</v>
      </c>
      <c r="D39" s="397" t="str">
        <f t="shared" si="0"/>
        <v>O M SCOTT LOAN</v>
      </c>
      <c r="E39" s="397"/>
      <c r="F39" s="440">
        <v>9203.28</v>
      </c>
      <c r="G39" s="441">
        <v>0</v>
      </c>
      <c r="H39" s="442">
        <v>19.44</v>
      </c>
      <c r="I39" s="442">
        <v>212.84</v>
      </c>
      <c r="J39" s="442">
        <v>0</v>
      </c>
      <c r="K39" s="442">
        <v>-232.28</v>
      </c>
      <c r="L39" s="442">
        <f t="shared" si="1"/>
        <v>9203.28</v>
      </c>
    </row>
    <row r="40" spans="1:12" ht="12.75" outlineLevel="1">
      <c r="A40" s="395" t="s">
        <v>1014</v>
      </c>
      <c r="B40" s="396"/>
      <c r="C40" s="397" t="s">
        <v>1015</v>
      </c>
      <c r="D40" s="397" t="str">
        <f t="shared" si="0"/>
        <v>JOHN R STUBBINS LOAN</v>
      </c>
      <c r="E40" s="397"/>
      <c r="F40" s="440">
        <v>79042.29</v>
      </c>
      <c r="G40" s="441">
        <v>0</v>
      </c>
      <c r="H40" s="442">
        <v>1178.67</v>
      </c>
      <c r="I40" s="442">
        <v>108.34</v>
      </c>
      <c r="J40" s="442">
        <v>0</v>
      </c>
      <c r="K40" s="442">
        <v>0</v>
      </c>
      <c r="L40" s="442">
        <f t="shared" si="1"/>
        <v>80329.29999999999</v>
      </c>
    </row>
    <row r="41" spans="1:12" ht="12.75" outlineLevel="1">
      <c r="A41" s="395" t="s">
        <v>1016</v>
      </c>
      <c r="B41" s="396"/>
      <c r="C41" s="397" t="s">
        <v>1017</v>
      </c>
      <c r="D41" s="397" t="str">
        <f t="shared" si="0"/>
        <v>TRAGITT MEM LOAN</v>
      </c>
      <c r="E41" s="397"/>
      <c r="F41" s="440">
        <v>8548.99</v>
      </c>
      <c r="G41" s="441">
        <v>0</v>
      </c>
      <c r="H41" s="442">
        <v>51.74</v>
      </c>
      <c r="I41" s="442">
        <v>129.43</v>
      </c>
      <c r="J41" s="442">
        <v>0</v>
      </c>
      <c r="K41" s="442">
        <v>0</v>
      </c>
      <c r="L41" s="442">
        <f t="shared" si="1"/>
        <v>8730.16</v>
      </c>
    </row>
    <row r="42" spans="1:12" ht="12.75" outlineLevel="1">
      <c r="A42" s="395" t="s">
        <v>1018</v>
      </c>
      <c r="B42" s="396"/>
      <c r="C42" s="397" t="s">
        <v>1019</v>
      </c>
      <c r="D42" s="397" t="str">
        <f t="shared" si="0"/>
        <v>F E TOWNSEND LOAN</v>
      </c>
      <c r="E42" s="397"/>
      <c r="F42" s="440">
        <v>22809.12</v>
      </c>
      <c r="G42" s="441">
        <v>0</v>
      </c>
      <c r="H42" s="442">
        <v>129.53</v>
      </c>
      <c r="I42" s="442">
        <v>111</v>
      </c>
      <c r="J42" s="442">
        <v>0</v>
      </c>
      <c r="K42" s="442">
        <v>0</v>
      </c>
      <c r="L42" s="442">
        <f t="shared" si="1"/>
        <v>23049.649999999998</v>
      </c>
    </row>
    <row r="43" spans="1:12" ht="12.75" outlineLevel="1">
      <c r="A43" s="395" t="s">
        <v>1020</v>
      </c>
      <c r="B43" s="396"/>
      <c r="C43" s="397" t="s">
        <v>1021</v>
      </c>
      <c r="D43" s="397" t="str">
        <f t="shared" si="0"/>
        <v>UNITED STUDENT AID</v>
      </c>
      <c r="E43" s="397"/>
      <c r="F43" s="440">
        <v>3000</v>
      </c>
      <c r="G43" s="441">
        <v>0</v>
      </c>
      <c r="H43" s="442">
        <v>0</v>
      </c>
      <c r="I43" s="442">
        <v>0</v>
      </c>
      <c r="J43" s="442">
        <v>0</v>
      </c>
      <c r="K43" s="442">
        <v>0</v>
      </c>
      <c r="L43" s="442">
        <f t="shared" si="1"/>
        <v>3000</v>
      </c>
    </row>
    <row r="44" spans="1:12" ht="12.75" outlineLevel="1">
      <c r="A44" s="395" t="s">
        <v>1022</v>
      </c>
      <c r="B44" s="396"/>
      <c r="C44" s="397" t="s">
        <v>1023</v>
      </c>
      <c r="D44" s="397" t="str">
        <f t="shared" si="0"/>
        <v>E W WAGGONER LOAN</v>
      </c>
      <c r="E44" s="397"/>
      <c r="F44" s="440">
        <v>1548.83</v>
      </c>
      <c r="G44" s="441">
        <v>0</v>
      </c>
      <c r="H44" s="442">
        <v>0</v>
      </c>
      <c r="I44" s="442">
        <v>53.53</v>
      </c>
      <c r="J44" s="442">
        <v>0</v>
      </c>
      <c r="K44" s="442">
        <v>0</v>
      </c>
      <c r="L44" s="442">
        <f t="shared" si="1"/>
        <v>1602.36</v>
      </c>
    </row>
    <row r="45" spans="1:12" ht="12.75" outlineLevel="1">
      <c r="A45" s="395" t="s">
        <v>1024</v>
      </c>
      <c r="B45" s="396"/>
      <c r="C45" s="397" t="s">
        <v>1025</v>
      </c>
      <c r="D45" s="397" t="str">
        <f t="shared" si="0"/>
        <v>WESTERN ELECTRIC LN</v>
      </c>
      <c r="E45" s="397"/>
      <c r="F45" s="440">
        <v>45.54</v>
      </c>
      <c r="G45" s="441">
        <v>0</v>
      </c>
      <c r="H45" s="442">
        <v>0</v>
      </c>
      <c r="I45" s="442">
        <v>1.57</v>
      </c>
      <c r="J45" s="442">
        <v>0</v>
      </c>
      <c r="K45" s="442">
        <v>0</v>
      </c>
      <c r="L45" s="442">
        <f t="shared" si="1"/>
        <v>47.11</v>
      </c>
    </row>
    <row r="46" spans="1:12" ht="12.75" outlineLevel="1">
      <c r="A46" s="395" t="s">
        <v>1026</v>
      </c>
      <c r="B46" s="396"/>
      <c r="C46" s="397" t="s">
        <v>1027</v>
      </c>
      <c r="D46" s="397" t="str">
        <f t="shared" si="0"/>
        <v>WOMEN'S AUXILIARY LN</v>
      </c>
      <c r="E46" s="397"/>
      <c r="F46" s="440">
        <v>2043.31</v>
      </c>
      <c r="G46" s="441">
        <v>0</v>
      </c>
      <c r="H46" s="442">
        <v>0</v>
      </c>
      <c r="I46" s="442">
        <v>70.62</v>
      </c>
      <c r="J46" s="442">
        <v>0</v>
      </c>
      <c r="K46" s="442">
        <v>0</v>
      </c>
      <c r="L46" s="442">
        <f t="shared" si="1"/>
        <v>2113.93</v>
      </c>
    </row>
    <row r="47" spans="1:12" ht="12.75" outlineLevel="1">
      <c r="A47" s="395" t="s">
        <v>1028</v>
      </c>
      <c r="B47" s="396"/>
      <c r="C47" s="397" t="s">
        <v>1029</v>
      </c>
      <c r="D47" s="397" t="str">
        <f t="shared" si="0"/>
        <v>H E ZOLLER ST N FD</v>
      </c>
      <c r="E47" s="397"/>
      <c r="F47" s="440">
        <v>43475.2</v>
      </c>
      <c r="G47" s="441">
        <v>0</v>
      </c>
      <c r="H47" s="442">
        <v>132.59</v>
      </c>
      <c r="I47" s="442">
        <v>37.29</v>
      </c>
      <c r="J47" s="442">
        <v>0</v>
      </c>
      <c r="K47" s="442">
        <v>-4219.38</v>
      </c>
      <c r="L47" s="442">
        <f t="shared" si="1"/>
        <v>39425.7</v>
      </c>
    </row>
    <row r="48" spans="1:12" ht="12.75" outlineLevel="1">
      <c r="A48" s="395" t="s">
        <v>1030</v>
      </c>
      <c r="B48" s="396"/>
      <c r="C48" s="397" t="s">
        <v>1031</v>
      </c>
      <c r="D48" s="397" t="str">
        <f t="shared" si="0"/>
        <v>ALLOW DBFL NOT NF RE</v>
      </c>
      <c r="E48" s="397"/>
      <c r="F48" s="440">
        <v>-317000</v>
      </c>
      <c r="G48" s="441">
        <v>0</v>
      </c>
      <c r="H48" s="442">
        <v>307000</v>
      </c>
      <c r="I48" s="442">
        <v>0</v>
      </c>
      <c r="J48" s="442">
        <v>0</v>
      </c>
      <c r="K48" s="442">
        <v>0</v>
      </c>
      <c r="L48" s="442">
        <f t="shared" si="1"/>
        <v>-10000</v>
      </c>
    </row>
    <row r="49" spans="1:12" ht="12.75" outlineLevel="1">
      <c r="A49" s="395" t="s">
        <v>1032</v>
      </c>
      <c r="B49" s="396"/>
      <c r="C49" s="397" t="s">
        <v>1033</v>
      </c>
      <c r="D49" s="397" t="str">
        <f t="shared" si="0"/>
        <v>IVA BASORE LOAN</v>
      </c>
      <c r="E49" s="397"/>
      <c r="F49" s="440">
        <v>16135.67</v>
      </c>
      <c r="G49" s="441">
        <v>0</v>
      </c>
      <c r="H49" s="442">
        <v>0</v>
      </c>
      <c r="I49" s="442">
        <v>555.2</v>
      </c>
      <c r="J49" s="442">
        <v>0</v>
      </c>
      <c r="K49" s="442">
        <v>10000</v>
      </c>
      <c r="L49" s="442">
        <f t="shared" si="1"/>
        <v>26690.87</v>
      </c>
    </row>
    <row r="50" spans="1:12" ht="12.75" outlineLevel="1">
      <c r="A50" s="395" t="s">
        <v>1034</v>
      </c>
      <c r="B50" s="396"/>
      <c r="C50" s="397" t="s">
        <v>1035</v>
      </c>
      <c r="D50" s="397" t="str">
        <f t="shared" si="0"/>
        <v>MET ENGR ALUMNI LN</v>
      </c>
      <c r="E50" s="397"/>
      <c r="F50" s="440">
        <v>11084.5</v>
      </c>
      <c r="G50" s="441">
        <v>0</v>
      </c>
      <c r="H50" s="442">
        <v>0</v>
      </c>
      <c r="I50" s="442">
        <v>383.14</v>
      </c>
      <c r="J50" s="442">
        <v>0</v>
      </c>
      <c r="K50" s="442">
        <v>0</v>
      </c>
      <c r="L50" s="442">
        <f t="shared" si="1"/>
        <v>11467.64</v>
      </c>
    </row>
    <row r="51" spans="1:12" ht="12.75" outlineLevel="1">
      <c r="A51" s="395" t="s">
        <v>1036</v>
      </c>
      <c r="B51" s="396"/>
      <c r="C51" s="397" t="s">
        <v>1037</v>
      </c>
      <c r="D51" s="397" t="str">
        <f t="shared" si="0"/>
        <v>CHRISTIAN LOAN FUND</v>
      </c>
      <c r="E51" s="397"/>
      <c r="F51" s="440">
        <v>5131.03</v>
      </c>
      <c r="G51" s="441">
        <v>0</v>
      </c>
      <c r="H51" s="442">
        <v>0</v>
      </c>
      <c r="I51" s="442">
        <v>177.37</v>
      </c>
      <c r="J51" s="442">
        <v>0</v>
      </c>
      <c r="K51" s="442">
        <v>0</v>
      </c>
      <c r="L51" s="442">
        <f t="shared" si="1"/>
        <v>5308.4</v>
      </c>
    </row>
    <row r="52" spans="1:12" ht="12.75" outlineLevel="1">
      <c r="A52" s="395" t="s">
        <v>1038</v>
      </c>
      <c r="B52" s="396"/>
      <c r="C52" s="397" t="s">
        <v>1039</v>
      </c>
      <c r="D52" s="397" t="str">
        <f t="shared" si="0"/>
        <v>FORGIVENESS LOAN</v>
      </c>
      <c r="E52" s="397"/>
      <c r="F52" s="440">
        <v>296183.57</v>
      </c>
      <c r="G52" s="441">
        <v>0</v>
      </c>
      <c r="H52" s="442">
        <v>-31986.67</v>
      </c>
      <c r="I52" s="442">
        <v>3372.17</v>
      </c>
      <c r="J52" s="442">
        <v>0</v>
      </c>
      <c r="K52" s="442">
        <v>0</v>
      </c>
      <c r="L52" s="442">
        <f t="shared" si="1"/>
        <v>267569.07</v>
      </c>
    </row>
    <row r="53" spans="1:12" s="443" customFormat="1" ht="12" customHeight="1">
      <c r="A53" s="443" t="s">
        <v>1040</v>
      </c>
      <c r="B53" s="431"/>
      <c r="C53" s="444" t="s">
        <v>1041</v>
      </c>
      <c r="D53" s="444" t="str">
        <f t="shared" si="0"/>
        <v>TOTAL RESTRICTED</v>
      </c>
      <c r="E53" s="432"/>
      <c r="F53" s="445">
        <v>11923916.199999997</v>
      </c>
      <c r="G53" s="446">
        <v>35281.41</v>
      </c>
      <c r="H53" s="447">
        <v>803039.06</v>
      </c>
      <c r="I53" s="447">
        <v>157003.19</v>
      </c>
      <c r="J53" s="447">
        <v>64178.93</v>
      </c>
      <c r="K53" s="447">
        <v>-225556.92</v>
      </c>
      <c r="L53" s="447">
        <f t="shared" si="1"/>
        <v>12629504.009999998</v>
      </c>
    </row>
    <row r="54" spans="6:12" ht="12" customHeight="1">
      <c r="F54" s="448"/>
      <c r="G54" s="449"/>
      <c r="H54" s="450"/>
      <c r="I54" s="450"/>
      <c r="J54" s="450"/>
      <c r="K54" s="450"/>
      <c r="L54" s="450"/>
    </row>
    <row r="55" spans="2:12" ht="12.75">
      <c r="B55" s="431" t="s">
        <v>1042</v>
      </c>
      <c r="C55" s="432"/>
      <c r="D55" s="432"/>
      <c r="F55" s="448"/>
      <c r="G55" s="449"/>
      <c r="H55" s="450"/>
      <c r="I55" s="450"/>
      <c r="J55" s="450"/>
      <c r="K55" s="450"/>
      <c r="L55" s="450"/>
    </row>
    <row r="56" spans="1:12" ht="12.75" outlineLevel="1">
      <c r="A56" s="395" t="s">
        <v>1043</v>
      </c>
      <c r="B56" s="396"/>
      <c r="C56" s="397" t="s">
        <v>1044</v>
      </c>
      <c r="D56" s="397" t="str">
        <f>UPPER(C56)</f>
        <v>UMR COMMEMORATIVE LN</v>
      </c>
      <c r="E56" s="397"/>
      <c r="F56" s="440">
        <v>74503.39</v>
      </c>
      <c r="G56" s="441">
        <v>0</v>
      </c>
      <c r="H56" s="442">
        <v>878.63</v>
      </c>
      <c r="I56" s="442">
        <v>2567.04</v>
      </c>
      <c r="J56" s="442">
        <v>-20.44</v>
      </c>
      <c r="K56" s="442">
        <v>-10058.72</v>
      </c>
      <c r="L56" s="442">
        <f>F56+G56+H56+I56-J56+K56</f>
        <v>67910.78</v>
      </c>
    </row>
    <row r="57" spans="1:12" ht="12.75" outlineLevel="1">
      <c r="A57" s="395" t="s">
        <v>1045</v>
      </c>
      <c r="B57" s="396"/>
      <c r="C57" s="397" t="s">
        <v>1046</v>
      </c>
      <c r="D57" s="397" t="str">
        <f>UPPER(C57)</f>
        <v>LOAN PAYTS SUSPENSE</v>
      </c>
      <c r="E57" s="397"/>
      <c r="F57" s="440">
        <v>-763.11</v>
      </c>
      <c r="G57" s="441">
        <v>0</v>
      </c>
      <c r="H57" s="442">
        <v>0</v>
      </c>
      <c r="I57" s="442">
        <v>6.09</v>
      </c>
      <c r="J57" s="442">
        <v>5.5</v>
      </c>
      <c r="K57" s="442">
        <v>0</v>
      </c>
      <c r="L57" s="442">
        <f>F57+G57+H57+I57-J57+K57</f>
        <v>-762.52</v>
      </c>
    </row>
    <row r="58" spans="1:12" ht="12.75" outlineLevel="1">
      <c r="A58" s="395" t="s">
        <v>1047</v>
      </c>
      <c r="B58" s="396"/>
      <c r="C58" s="397" t="s">
        <v>1048</v>
      </c>
      <c r="D58" s="397" t="str">
        <f>UPPER(C58)</f>
        <v>ALLOW DBFL NOT UNRES</v>
      </c>
      <c r="E58" s="397"/>
      <c r="F58" s="440">
        <v>-5000</v>
      </c>
      <c r="G58" s="441">
        <v>0</v>
      </c>
      <c r="H58" s="442">
        <v>5000</v>
      </c>
      <c r="I58" s="442">
        <v>0</v>
      </c>
      <c r="J58" s="442">
        <v>0</v>
      </c>
      <c r="K58" s="442">
        <v>0</v>
      </c>
      <c r="L58" s="442">
        <f>F58+G58+H58+I58-J58+K58</f>
        <v>0</v>
      </c>
    </row>
    <row r="59" spans="1:12" s="443" customFormat="1" ht="12.75">
      <c r="A59" s="443" t="s">
        <v>1049</v>
      </c>
      <c r="B59" s="431"/>
      <c r="C59" s="444" t="s">
        <v>1050</v>
      </c>
      <c r="D59" s="444" t="str">
        <f>UPPER(C59)</f>
        <v>TOTAL UNRESTRICTED</v>
      </c>
      <c r="E59" s="432"/>
      <c r="F59" s="445">
        <v>68740.28</v>
      </c>
      <c r="G59" s="446">
        <v>0</v>
      </c>
      <c r="H59" s="447">
        <v>5878.63</v>
      </c>
      <c r="I59" s="447">
        <v>2573.13</v>
      </c>
      <c r="J59" s="447">
        <v>-14.94</v>
      </c>
      <c r="K59" s="447">
        <v>-10058.72</v>
      </c>
      <c r="L59" s="447">
        <f>F59+G59+H59+I59-J59+K59</f>
        <v>67148.26000000001</v>
      </c>
    </row>
    <row r="61" spans="2:12" s="443" customFormat="1" ht="12.75">
      <c r="B61" s="431"/>
      <c r="C61" s="432" t="s">
        <v>1051</v>
      </c>
      <c r="D61" s="432" t="s">
        <v>1052</v>
      </c>
      <c r="E61" s="432"/>
      <c r="F61" s="451">
        <f aca="true" t="shared" si="2" ref="F61:L61">F53+F59</f>
        <v>11992656.479999997</v>
      </c>
      <c r="G61" s="452">
        <f t="shared" si="2"/>
        <v>35281.41</v>
      </c>
      <c r="H61" s="453">
        <f t="shared" si="2"/>
        <v>808917.6900000001</v>
      </c>
      <c r="I61" s="453">
        <f t="shared" si="2"/>
        <v>159576.32</v>
      </c>
      <c r="J61" s="453">
        <f t="shared" si="2"/>
        <v>64163.99</v>
      </c>
      <c r="K61" s="453">
        <f t="shared" si="2"/>
        <v>-235615.64</v>
      </c>
      <c r="L61" s="453">
        <f t="shared" si="2"/>
        <v>12696652.269999998</v>
      </c>
    </row>
  </sheetData>
  <printOptions horizontalCentered="1"/>
  <pageMargins left="0.5" right="0.5" top="0.75" bottom="0.5" header="0.5" footer="0.25"/>
  <pageSetup horizontalDpi="600" verticalDpi="600" orientation="landscape" scale="75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9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395" hidden="1" customWidth="1"/>
    <col min="2" max="2" width="2.7109375" style="412" customWidth="1"/>
    <col min="3" max="3" width="2.7109375" style="433" customWidth="1"/>
    <col min="4" max="4" width="43.28125" style="433" hidden="1" customWidth="1"/>
    <col min="5" max="5" width="60.7109375" style="421" customWidth="1"/>
    <col min="6" max="6" width="14.7109375" style="435" customWidth="1"/>
    <col min="7" max="12" width="14.7109375" style="436" customWidth="1"/>
    <col min="13" max="13" width="11.57421875" style="457" hidden="1" customWidth="1"/>
    <col min="14" max="14" width="0" style="421" hidden="1" customWidth="1"/>
    <col min="15" max="16" width="9.140625" style="395" customWidth="1"/>
    <col min="17" max="17" width="9.140625" style="395" hidden="1" customWidth="1"/>
    <col min="18" max="16384" width="9.140625" style="395" customWidth="1"/>
  </cols>
  <sheetData>
    <row r="1" spans="1:12" ht="12.75" hidden="1">
      <c r="A1" s="395" t="s">
        <v>780</v>
      </c>
      <c r="B1" s="412" t="s">
        <v>2106</v>
      </c>
      <c r="C1" s="455"/>
      <c r="D1" s="433" t="s">
        <v>2107</v>
      </c>
      <c r="E1" s="456" t="s">
        <v>2108</v>
      </c>
      <c r="F1" s="399" t="s">
        <v>935</v>
      </c>
      <c r="G1" s="436" t="s">
        <v>1053</v>
      </c>
      <c r="H1" s="436" t="s">
        <v>1054</v>
      </c>
      <c r="I1" s="436" t="s">
        <v>1055</v>
      </c>
      <c r="J1" s="436" t="s">
        <v>1056</v>
      </c>
      <c r="K1" s="436" t="s">
        <v>940</v>
      </c>
      <c r="L1" s="436" t="s">
        <v>2108</v>
      </c>
    </row>
    <row r="2" spans="2:17" s="458" customFormat="1" ht="15.75" customHeight="1">
      <c r="B2" s="402" t="str">
        <f>"University of Missouri - "&amp;RBN</f>
        <v>University of Missouri - Rolla</v>
      </c>
      <c r="C2" s="459"/>
      <c r="D2" s="460"/>
      <c r="E2" s="125"/>
      <c r="F2" s="461"/>
      <c r="G2" s="462"/>
      <c r="H2" s="463"/>
      <c r="I2" s="462"/>
      <c r="J2" s="464"/>
      <c r="K2" s="462"/>
      <c r="L2" s="465"/>
      <c r="M2" s="466"/>
      <c r="N2" s="467" t="s">
        <v>2276</v>
      </c>
      <c r="Q2" s="458" t="s">
        <v>784</v>
      </c>
    </row>
    <row r="3" spans="2:17" s="411" customFormat="1" ht="15.75" customHeight="1">
      <c r="B3" s="413" t="s">
        <v>1057</v>
      </c>
      <c r="C3" s="468"/>
      <c r="D3" s="469"/>
      <c r="E3" s="129"/>
      <c r="F3" s="470"/>
      <c r="G3" s="471"/>
      <c r="H3" s="472"/>
      <c r="I3" s="473"/>
      <c r="J3" s="471"/>
      <c r="K3" s="471"/>
      <c r="L3" s="474"/>
      <c r="M3" s="475"/>
      <c r="N3" s="410"/>
      <c r="Q3" s="411" t="s">
        <v>1058</v>
      </c>
    </row>
    <row r="4" spans="2:17" ht="15.75" customHeight="1">
      <c r="B4" s="422" t="str">
        <f>"As of "&amp;TEXT(Q4,"MMMM DD, YYYY")</f>
        <v>As of June 30, 2004</v>
      </c>
      <c r="C4" s="415"/>
      <c r="D4" s="416"/>
      <c r="E4" s="135"/>
      <c r="F4" s="476"/>
      <c r="G4" s="417"/>
      <c r="H4" s="417"/>
      <c r="I4" s="417"/>
      <c r="J4" s="417"/>
      <c r="K4" s="417"/>
      <c r="L4" s="423"/>
      <c r="Q4" s="395" t="s">
        <v>2275</v>
      </c>
    </row>
    <row r="5" spans="2:13" ht="12.75" customHeight="1">
      <c r="B5" s="477"/>
      <c r="C5" s="478"/>
      <c r="D5" s="479"/>
      <c r="E5" s="140"/>
      <c r="F5" s="480"/>
      <c r="G5" s="481"/>
      <c r="H5" s="481"/>
      <c r="I5" s="481"/>
      <c r="J5" s="481"/>
      <c r="K5" s="481"/>
      <c r="L5" s="482"/>
      <c r="M5" s="483"/>
    </row>
    <row r="6" spans="2:14" s="425" customFormat="1" ht="39" customHeight="1">
      <c r="B6" s="426"/>
      <c r="C6" s="427"/>
      <c r="D6" s="427"/>
      <c r="E6" s="484"/>
      <c r="F6" s="429" t="s">
        <v>943</v>
      </c>
      <c r="G6" s="430" t="s">
        <v>1059</v>
      </c>
      <c r="H6" s="430" t="s">
        <v>1060</v>
      </c>
      <c r="I6" s="430" t="s">
        <v>1061</v>
      </c>
      <c r="J6" s="430" t="s">
        <v>947</v>
      </c>
      <c r="K6" s="430" t="s">
        <v>948</v>
      </c>
      <c r="L6" s="430" t="str">
        <f>"Balance
"&amp;TEXT(Q4,"MMMM DD, YYYY")</f>
        <v>Balance
June 30, 2004</v>
      </c>
      <c r="M6" s="485"/>
      <c r="N6" s="484"/>
    </row>
    <row r="7" spans="2:14" s="486" customFormat="1" ht="12.75" customHeight="1">
      <c r="B7" s="487" t="s">
        <v>1062</v>
      </c>
      <c r="C7" s="488"/>
      <c r="D7" s="489"/>
      <c r="E7" s="490"/>
      <c r="F7" s="491"/>
      <c r="G7" s="492"/>
      <c r="H7" s="492"/>
      <c r="I7" s="492"/>
      <c r="J7" s="492"/>
      <c r="K7" s="492"/>
      <c r="L7" s="492"/>
      <c r="M7" s="493"/>
      <c r="N7" s="490"/>
    </row>
    <row r="8" ht="12.75" customHeight="1">
      <c r="C8" s="432" t="s">
        <v>1063</v>
      </c>
    </row>
    <row r="9" spans="1:12" ht="12.75" outlineLevel="1">
      <c r="A9" s="395" t="s">
        <v>1064</v>
      </c>
      <c r="C9" s="455"/>
      <c r="D9" s="433" t="s">
        <v>1065</v>
      </c>
      <c r="E9" s="456" t="str">
        <f aca="true" t="shared" si="0" ref="E9:E72">UPPER(D9)</f>
        <v>ABBETT SCHP</v>
      </c>
      <c r="F9" s="438">
        <v>1004298.71</v>
      </c>
      <c r="G9" s="494">
        <v>0</v>
      </c>
      <c r="H9" s="494">
        <v>-29945.92</v>
      </c>
      <c r="I9" s="494">
        <v>151374.54</v>
      </c>
      <c r="J9" s="494">
        <v>0</v>
      </c>
      <c r="K9" s="494">
        <v>0</v>
      </c>
      <c r="L9" s="494">
        <f aca="true" t="shared" si="1" ref="L9:L72">F9+G9+H9+I9-J9+K9</f>
        <v>1125727.3299999998</v>
      </c>
    </row>
    <row r="10" spans="1:12" ht="12.75" outlineLevel="1">
      <c r="A10" s="395" t="s">
        <v>1066</v>
      </c>
      <c r="C10" s="455"/>
      <c r="D10" s="433" t="s">
        <v>1067</v>
      </c>
      <c r="E10" s="456" t="str">
        <f t="shared" si="0"/>
        <v>AEROSPACE ENG SCHP</v>
      </c>
      <c r="F10" s="441">
        <v>30758.53</v>
      </c>
      <c r="G10" s="450">
        <v>0</v>
      </c>
      <c r="H10" s="450">
        <v>440.41</v>
      </c>
      <c r="I10" s="450">
        <v>-1701.61</v>
      </c>
      <c r="J10" s="450">
        <v>0</v>
      </c>
      <c r="K10" s="450">
        <v>0</v>
      </c>
      <c r="L10" s="450">
        <f t="shared" si="1"/>
        <v>29497.329999999998</v>
      </c>
    </row>
    <row r="11" spans="1:12" ht="12.75" outlineLevel="1">
      <c r="A11" s="395" t="s">
        <v>1068</v>
      </c>
      <c r="C11" s="455"/>
      <c r="D11" s="433" t="s">
        <v>1069</v>
      </c>
      <c r="E11" s="456" t="str">
        <f t="shared" si="0"/>
        <v>ALL AMER SWIM SCHP</v>
      </c>
      <c r="F11" s="441">
        <v>29103.67</v>
      </c>
      <c r="G11" s="450">
        <v>1050</v>
      </c>
      <c r="H11" s="450">
        <v>-823.16</v>
      </c>
      <c r="I11" s="450">
        <v>4458.67</v>
      </c>
      <c r="J11" s="450">
        <v>0</v>
      </c>
      <c r="K11" s="450">
        <v>0</v>
      </c>
      <c r="L11" s="450">
        <f t="shared" si="1"/>
        <v>33789.18</v>
      </c>
    </row>
    <row r="12" spans="1:12" ht="12.75" outlineLevel="1">
      <c r="A12" s="395" t="s">
        <v>1070</v>
      </c>
      <c r="C12" s="455"/>
      <c r="D12" s="433" t="s">
        <v>1071</v>
      </c>
      <c r="E12" s="456" t="str">
        <f t="shared" si="0"/>
        <v>ALLIED SIGNAL FUND</v>
      </c>
      <c r="F12" s="441">
        <v>77332.6</v>
      </c>
      <c r="G12" s="450">
        <v>0</v>
      </c>
      <c r="H12" s="450">
        <v>-2305.88</v>
      </c>
      <c r="I12" s="450">
        <v>11656.11</v>
      </c>
      <c r="J12" s="450">
        <v>0</v>
      </c>
      <c r="K12" s="450">
        <v>0</v>
      </c>
      <c r="L12" s="450">
        <f t="shared" si="1"/>
        <v>86682.83</v>
      </c>
    </row>
    <row r="13" spans="1:12" ht="12.75" outlineLevel="1">
      <c r="A13" s="395" t="s">
        <v>1072</v>
      </c>
      <c r="C13" s="455"/>
      <c r="D13" s="433" t="s">
        <v>1073</v>
      </c>
      <c r="E13" s="456" t="str">
        <f t="shared" si="0"/>
        <v>ALUMNI-FAC-FRIENDS</v>
      </c>
      <c r="F13" s="441">
        <v>16668.24</v>
      </c>
      <c r="G13" s="450">
        <v>0</v>
      </c>
      <c r="H13" s="450">
        <v>-497</v>
      </c>
      <c r="I13" s="450">
        <v>2512.33</v>
      </c>
      <c r="J13" s="450">
        <v>0</v>
      </c>
      <c r="K13" s="450">
        <v>0</v>
      </c>
      <c r="L13" s="450">
        <f t="shared" si="1"/>
        <v>18683.57</v>
      </c>
    </row>
    <row r="14" spans="1:12" ht="12.75" outlineLevel="1">
      <c r="A14" s="395" t="s">
        <v>1074</v>
      </c>
      <c r="C14" s="455"/>
      <c r="D14" s="433" t="s">
        <v>1075</v>
      </c>
      <c r="E14" s="456" t="str">
        <f t="shared" si="0"/>
        <v>MCCRAE-ANDERSON-ROTH</v>
      </c>
      <c r="F14" s="441">
        <v>51478.95</v>
      </c>
      <c r="G14" s="450">
        <v>0</v>
      </c>
      <c r="H14" s="450">
        <v>2780.11</v>
      </c>
      <c r="I14" s="450">
        <v>-2949.87</v>
      </c>
      <c r="J14" s="450">
        <v>0</v>
      </c>
      <c r="K14" s="450">
        <v>0</v>
      </c>
      <c r="L14" s="450">
        <f t="shared" si="1"/>
        <v>51309.189999999995</v>
      </c>
    </row>
    <row r="15" spans="1:12" ht="12.75" outlineLevel="1">
      <c r="A15" s="395" t="s">
        <v>1076</v>
      </c>
      <c r="C15" s="455"/>
      <c r="D15" s="433" t="s">
        <v>1077</v>
      </c>
      <c r="E15" s="456" t="str">
        <f t="shared" si="0"/>
        <v>J B ARTHUR SCHP</v>
      </c>
      <c r="F15" s="441">
        <v>625491.88</v>
      </c>
      <c r="G15" s="450">
        <v>25000</v>
      </c>
      <c r="H15" s="450">
        <v>3688.21</v>
      </c>
      <c r="I15" s="450">
        <v>-25043.02</v>
      </c>
      <c r="J15" s="450">
        <v>0</v>
      </c>
      <c r="K15" s="450">
        <v>7379.16</v>
      </c>
      <c r="L15" s="450">
        <f t="shared" si="1"/>
        <v>636516.23</v>
      </c>
    </row>
    <row r="16" spans="1:12" ht="12.75" outlineLevel="1">
      <c r="A16" s="395" t="s">
        <v>1078</v>
      </c>
      <c r="C16" s="455"/>
      <c r="D16" s="433" t="s">
        <v>1079</v>
      </c>
      <c r="E16" s="456" t="str">
        <f t="shared" si="0"/>
        <v>ASARCO FDN SCHP</v>
      </c>
      <c r="F16" s="441">
        <v>154127.65</v>
      </c>
      <c r="G16" s="450">
        <v>0</v>
      </c>
      <c r="H16" s="450">
        <v>-4595.74</v>
      </c>
      <c r="I16" s="450">
        <v>23231.16</v>
      </c>
      <c r="J16" s="450">
        <v>0</v>
      </c>
      <c r="K16" s="450">
        <v>0</v>
      </c>
      <c r="L16" s="450">
        <f t="shared" si="1"/>
        <v>172763.07</v>
      </c>
    </row>
    <row r="17" spans="1:12" ht="12.75" outlineLevel="1">
      <c r="A17" s="395" t="s">
        <v>1080</v>
      </c>
      <c r="C17" s="455"/>
      <c r="D17" s="433" t="s">
        <v>1081</v>
      </c>
      <c r="E17" s="456" t="str">
        <f t="shared" si="0"/>
        <v>AT&amp;T MINORITY SCH</v>
      </c>
      <c r="F17" s="441">
        <v>15884.29</v>
      </c>
      <c r="G17" s="450">
        <v>0</v>
      </c>
      <c r="H17" s="450">
        <v>-473.64</v>
      </c>
      <c r="I17" s="450">
        <v>2394.2</v>
      </c>
      <c r="J17" s="450">
        <v>0</v>
      </c>
      <c r="K17" s="450">
        <v>0</v>
      </c>
      <c r="L17" s="450">
        <f t="shared" si="1"/>
        <v>17804.850000000002</v>
      </c>
    </row>
    <row r="18" spans="1:12" ht="12.75" outlineLevel="1">
      <c r="A18" s="395" t="s">
        <v>1082</v>
      </c>
      <c r="C18" s="455"/>
      <c r="D18" s="433" t="s">
        <v>1083</v>
      </c>
      <c r="E18" s="456" t="str">
        <f t="shared" si="0"/>
        <v>R L BANKS END SCHP</v>
      </c>
      <c r="F18" s="441">
        <v>77475.08</v>
      </c>
      <c r="G18" s="450">
        <v>50</v>
      </c>
      <c r="H18" s="450">
        <v>-2309.64</v>
      </c>
      <c r="I18" s="450">
        <v>11677.31</v>
      </c>
      <c r="J18" s="450">
        <v>0</v>
      </c>
      <c r="K18" s="450">
        <v>0</v>
      </c>
      <c r="L18" s="450">
        <f t="shared" si="1"/>
        <v>86892.75</v>
      </c>
    </row>
    <row r="19" spans="1:12" ht="12.75" outlineLevel="1">
      <c r="A19" s="395" t="s">
        <v>1084</v>
      </c>
      <c r="C19" s="455"/>
      <c r="D19" s="433" t="s">
        <v>1085</v>
      </c>
      <c r="E19" s="456" t="str">
        <f t="shared" si="0"/>
        <v>BALEY SCHOLARS END</v>
      </c>
      <c r="F19" s="441">
        <v>1126254.32</v>
      </c>
      <c r="G19" s="450">
        <v>0</v>
      </c>
      <c r="H19" s="450">
        <v>-33582.39</v>
      </c>
      <c r="I19" s="450">
        <v>169756.51</v>
      </c>
      <c r="J19" s="450">
        <v>0</v>
      </c>
      <c r="K19" s="450">
        <v>0</v>
      </c>
      <c r="L19" s="450">
        <f t="shared" si="1"/>
        <v>1262428.4400000002</v>
      </c>
    </row>
    <row r="20" spans="1:12" ht="12.75" outlineLevel="1">
      <c r="A20" s="395" t="s">
        <v>1086</v>
      </c>
      <c r="C20" s="455"/>
      <c r="D20" s="433" t="s">
        <v>1087</v>
      </c>
      <c r="E20" s="456" t="str">
        <f t="shared" si="0"/>
        <v>BARRETT MEM SCHP</v>
      </c>
      <c r="F20" s="441">
        <v>110573.5</v>
      </c>
      <c r="G20" s="450">
        <v>0</v>
      </c>
      <c r="H20" s="450">
        <v>-3297.05</v>
      </c>
      <c r="I20" s="450">
        <v>16666.38</v>
      </c>
      <c r="J20" s="450">
        <v>0</v>
      </c>
      <c r="K20" s="450">
        <v>0</v>
      </c>
      <c r="L20" s="450">
        <f t="shared" si="1"/>
        <v>123942.83</v>
      </c>
    </row>
    <row r="21" spans="1:12" ht="12.75" outlineLevel="1">
      <c r="A21" s="395" t="s">
        <v>1088</v>
      </c>
      <c r="C21" s="455"/>
      <c r="D21" s="433" t="s">
        <v>1089</v>
      </c>
      <c r="E21" s="456" t="str">
        <f t="shared" si="0"/>
        <v>BASLER SCHP FD</v>
      </c>
      <c r="F21" s="441">
        <v>101918.41</v>
      </c>
      <c r="G21" s="450">
        <v>0</v>
      </c>
      <c r="H21" s="450">
        <v>-418.13</v>
      </c>
      <c r="I21" s="450">
        <v>-5580.87</v>
      </c>
      <c r="J21" s="450">
        <v>0</v>
      </c>
      <c r="K21" s="450">
        <v>0</v>
      </c>
      <c r="L21" s="450">
        <f t="shared" si="1"/>
        <v>95919.41</v>
      </c>
    </row>
    <row r="22" spans="1:12" ht="12.75" outlineLevel="1">
      <c r="A22" s="395" t="s">
        <v>1090</v>
      </c>
      <c r="C22" s="455"/>
      <c r="D22" s="433" t="s">
        <v>1091</v>
      </c>
      <c r="E22" s="456" t="str">
        <f t="shared" si="0"/>
        <v>BIRBECK END SCHOL</v>
      </c>
      <c r="F22" s="441">
        <v>225292.91</v>
      </c>
      <c r="G22" s="450">
        <v>0</v>
      </c>
      <c r="H22" s="450">
        <v>-6712.08</v>
      </c>
      <c r="I22" s="450">
        <v>34066.49</v>
      </c>
      <c r="J22" s="450">
        <v>0</v>
      </c>
      <c r="K22" s="450">
        <v>0</v>
      </c>
      <c r="L22" s="450">
        <f t="shared" si="1"/>
        <v>252647.32</v>
      </c>
    </row>
    <row r="23" spans="1:12" ht="12.75" outlineLevel="1">
      <c r="A23" s="395" t="s">
        <v>1092</v>
      </c>
      <c r="C23" s="455"/>
      <c r="D23" s="433" t="s">
        <v>1093</v>
      </c>
      <c r="E23" s="456" t="str">
        <f t="shared" si="0"/>
        <v>BELLIS SCHOLARSHIP</v>
      </c>
      <c r="F23" s="441">
        <v>389809.72</v>
      </c>
      <c r="G23" s="450">
        <v>0</v>
      </c>
      <c r="H23" s="450">
        <v>-11623.26</v>
      </c>
      <c r="I23" s="450">
        <v>58754.7</v>
      </c>
      <c r="J23" s="450">
        <v>0</v>
      </c>
      <c r="K23" s="450">
        <v>0</v>
      </c>
      <c r="L23" s="450">
        <f t="shared" si="1"/>
        <v>436941.16</v>
      </c>
    </row>
    <row r="24" spans="1:12" ht="12.75" outlineLevel="1">
      <c r="A24" s="395" t="s">
        <v>1094</v>
      </c>
      <c r="C24" s="455"/>
      <c r="D24" s="433" t="s">
        <v>1095</v>
      </c>
      <c r="E24" s="456" t="str">
        <f t="shared" si="0"/>
        <v>BODINE MEM SCHP</v>
      </c>
      <c r="F24" s="441">
        <v>63707.5</v>
      </c>
      <c r="G24" s="450">
        <v>0</v>
      </c>
      <c r="H24" s="450">
        <v>-1899.63</v>
      </c>
      <c r="I24" s="450">
        <v>9602.41</v>
      </c>
      <c r="J24" s="450">
        <v>0</v>
      </c>
      <c r="K24" s="450">
        <v>0</v>
      </c>
      <c r="L24" s="450">
        <f t="shared" si="1"/>
        <v>71410.28</v>
      </c>
    </row>
    <row r="25" spans="1:12" ht="12.75" outlineLevel="1">
      <c r="A25" s="395" t="s">
        <v>1096</v>
      </c>
      <c r="C25" s="455"/>
      <c r="D25" s="433" t="s">
        <v>1097</v>
      </c>
      <c r="E25" s="456" t="str">
        <f t="shared" si="0"/>
        <v>BOSCH END SCHP</v>
      </c>
      <c r="F25" s="441">
        <v>261669.46</v>
      </c>
      <c r="G25" s="450">
        <v>0</v>
      </c>
      <c r="H25" s="450">
        <v>-6711.25</v>
      </c>
      <c r="I25" s="450">
        <v>38260.01</v>
      </c>
      <c r="J25" s="450">
        <v>0</v>
      </c>
      <c r="K25" s="450">
        <v>138360.57</v>
      </c>
      <c r="L25" s="450">
        <f t="shared" si="1"/>
        <v>431578.79</v>
      </c>
    </row>
    <row r="26" spans="1:12" ht="12.75" outlineLevel="1">
      <c r="A26" s="395" t="s">
        <v>1098</v>
      </c>
      <c r="C26" s="455"/>
      <c r="D26" s="433" t="s">
        <v>1099</v>
      </c>
      <c r="E26" s="456" t="str">
        <f t="shared" si="0"/>
        <v>BISHOP SCHOLARSHIP</v>
      </c>
      <c r="F26" s="441">
        <v>24772.79</v>
      </c>
      <c r="G26" s="450">
        <v>62.5</v>
      </c>
      <c r="H26" s="450">
        <v>-737.19</v>
      </c>
      <c r="I26" s="450">
        <v>3737.32</v>
      </c>
      <c r="J26" s="450">
        <v>0</v>
      </c>
      <c r="K26" s="450">
        <v>0</v>
      </c>
      <c r="L26" s="450">
        <f t="shared" si="1"/>
        <v>27835.420000000002</v>
      </c>
    </row>
    <row r="27" spans="1:12" ht="12.75" outlineLevel="1">
      <c r="A27" s="395" t="s">
        <v>1100</v>
      </c>
      <c r="C27" s="455"/>
      <c r="D27" s="433" t="s">
        <v>1101</v>
      </c>
      <c r="E27" s="456" t="str">
        <f t="shared" si="0"/>
        <v>BOYD/WATTS SCHP</v>
      </c>
      <c r="F27" s="441">
        <v>483826.53</v>
      </c>
      <c r="G27" s="450">
        <v>0</v>
      </c>
      <c r="H27" s="450">
        <v>-14254.23</v>
      </c>
      <c r="I27" s="450">
        <v>72638.36</v>
      </c>
      <c r="J27" s="450">
        <v>0</v>
      </c>
      <c r="K27" s="450">
        <v>5667.82</v>
      </c>
      <c r="L27" s="450">
        <f t="shared" si="1"/>
        <v>547878.48</v>
      </c>
    </row>
    <row r="28" spans="1:12" ht="12.75" outlineLevel="1">
      <c r="A28" s="395" t="s">
        <v>1102</v>
      </c>
      <c r="C28" s="455"/>
      <c r="D28" s="433" t="s">
        <v>1103</v>
      </c>
      <c r="E28" s="456" t="str">
        <f t="shared" si="0"/>
        <v>W R BROADDUS SCHP</v>
      </c>
      <c r="F28" s="441">
        <v>6132.57</v>
      </c>
      <c r="G28" s="450">
        <v>0</v>
      </c>
      <c r="H28" s="450">
        <v>-25.17</v>
      </c>
      <c r="I28" s="450">
        <v>-335.81</v>
      </c>
      <c r="J28" s="450">
        <v>0</v>
      </c>
      <c r="K28" s="450">
        <v>0</v>
      </c>
      <c r="L28" s="450">
        <f t="shared" si="1"/>
        <v>5771.589999999999</v>
      </c>
    </row>
    <row r="29" spans="1:12" ht="12.75" outlineLevel="1">
      <c r="A29" s="395" t="s">
        <v>1104</v>
      </c>
      <c r="C29" s="455"/>
      <c r="D29" s="433" t="s">
        <v>1105</v>
      </c>
      <c r="E29" s="456" t="str">
        <f t="shared" si="0"/>
        <v>BUDACK SCHP ENGR</v>
      </c>
      <c r="F29" s="441">
        <v>104556.07</v>
      </c>
      <c r="G29" s="450">
        <v>0</v>
      </c>
      <c r="H29" s="450">
        <v>-3117.62</v>
      </c>
      <c r="I29" s="450">
        <v>15759.4</v>
      </c>
      <c r="J29" s="450">
        <v>0</v>
      </c>
      <c r="K29" s="450">
        <v>0</v>
      </c>
      <c r="L29" s="450">
        <f t="shared" si="1"/>
        <v>117197.85</v>
      </c>
    </row>
    <row r="30" spans="1:12" ht="12.75" outlineLevel="1">
      <c r="A30" s="395" t="s">
        <v>1106</v>
      </c>
      <c r="C30" s="455"/>
      <c r="D30" s="433" t="s">
        <v>1107</v>
      </c>
      <c r="E30" s="456" t="str">
        <f t="shared" si="0"/>
        <v>N LES CLARK END SCHP</v>
      </c>
      <c r="F30" s="441">
        <v>22496.83</v>
      </c>
      <c r="G30" s="450">
        <v>0</v>
      </c>
      <c r="H30" s="450">
        <v>-670.8</v>
      </c>
      <c r="I30" s="450">
        <v>3390.87</v>
      </c>
      <c r="J30" s="450">
        <v>0</v>
      </c>
      <c r="K30" s="450">
        <v>0</v>
      </c>
      <c r="L30" s="450">
        <f t="shared" si="1"/>
        <v>25216.9</v>
      </c>
    </row>
    <row r="31" spans="1:12" ht="12.75" outlineLevel="1">
      <c r="A31" s="395" t="s">
        <v>1108</v>
      </c>
      <c r="C31" s="455"/>
      <c r="D31" s="433" t="s">
        <v>1109</v>
      </c>
      <c r="E31" s="456" t="str">
        <f t="shared" si="0"/>
        <v>CASTLEMAN MEM SCHP</v>
      </c>
      <c r="F31" s="441">
        <v>26962.91</v>
      </c>
      <c r="G31" s="450">
        <v>0</v>
      </c>
      <c r="H31" s="450">
        <v>386.05</v>
      </c>
      <c r="I31" s="450">
        <v>-1491.63</v>
      </c>
      <c r="J31" s="450">
        <v>0</v>
      </c>
      <c r="K31" s="450">
        <v>0</v>
      </c>
      <c r="L31" s="450">
        <f t="shared" si="1"/>
        <v>25857.329999999998</v>
      </c>
    </row>
    <row r="32" spans="1:12" ht="12.75" outlineLevel="1">
      <c r="A32" s="395" t="s">
        <v>1110</v>
      </c>
      <c r="C32" s="455"/>
      <c r="D32" s="433" t="s">
        <v>1111</v>
      </c>
      <c r="E32" s="456" t="str">
        <f t="shared" si="0"/>
        <v>CERAMIC ENG END SCH</v>
      </c>
      <c r="F32" s="441">
        <v>125965.54</v>
      </c>
      <c r="G32" s="450">
        <v>0</v>
      </c>
      <c r="H32" s="450">
        <v>-3677.07</v>
      </c>
      <c r="I32" s="450">
        <v>18901.05</v>
      </c>
      <c r="J32" s="450">
        <v>0</v>
      </c>
      <c r="K32" s="450">
        <v>10000</v>
      </c>
      <c r="L32" s="450">
        <f t="shared" si="1"/>
        <v>151189.52</v>
      </c>
    </row>
    <row r="33" spans="1:12" ht="12.75" outlineLevel="1">
      <c r="A33" s="395" t="s">
        <v>1112</v>
      </c>
      <c r="C33" s="455"/>
      <c r="D33" s="433" t="s">
        <v>1113</v>
      </c>
      <c r="E33" s="456" t="str">
        <f t="shared" si="0"/>
        <v>CHRISTIAN ACH AWD-CE</v>
      </c>
      <c r="F33" s="441">
        <v>36488.17</v>
      </c>
      <c r="G33" s="450">
        <v>0</v>
      </c>
      <c r="H33" s="450">
        <v>-1087.99</v>
      </c>
      <c r="I33" s="450">
        <v>5499.73</v>
      </c>
      <c r="J33" s="450">
        <v>0</v>
      </c>
      <c r="K33" s="450">
        <v>0</v>
      </c>
      <c r="L33" s="450">
        <f t="shared" si="1"/>
        <v>40899.91</v>
      </c>
    </row>
    <row r="34" spans="1:12" ht="12.75" outlineLevel="1">
      <c r="A34" s="395" t="s">
        <v>1114</v>
      </c>
      <c r="C34" s="455"/>
      <c r="D34" s="433" t="s">
        <v>1115</v>
      </c>
      <c r="E34" s="456" t="str">
        <f t="shared" si="0"/>
        <v>CHUBB FELLOWSHIP</v>
      </c>
      <c r="F34" s="441">
        <v>191761.08</v>
      </c>
      <c r="G34" s="450">
        <v>0</v>
      </c>
      <c r="H34" s="450">
        <v>-5716.78</v>
      </c>
      <c r="I34" s="450">
        <v>28904.02</v>
      </c>
      <c r="J34" s="450">
        <v>0</v>
      </c>
      <c r="K34" s="450">
        <v>0</v>
      </c>
      <c r="L34" s="450">
        <f t="shared" si="1"/>
        <v>214948.31999999998</v>
      </c>
    </row>
    <row r="35" spans="1:12" ht="12.75" outlineLevel="1">
      <c r="A35" s="395" t="s">
        <v>1116</v>
      </c>
      <c r="C35" s="455"/>
      <c r="D35" s="433" t="s">
        <v>1117</v>
      </c>
      <c r="E35" s="456" t="str">
        <f t="shared" si="0"/>
        <v>CHAO SCHP/FELLOWSHIP</v>
      </c>
      <c r="F35" s="441">
        <v>95021.9</v>
      </c>
      <c r="G35" s="450">
        <v>50000</v>
      </c>
      <c r="H35" s="450">
        <v>-91.83</v>
      </c>
      <c r="I35" s="450">
        <v>18274.02</v>
      </c>
      <c r="J35" s="450">
        <v>0</v>
      </c>
      <c r="K35" s="450">
        <v>0</v>
      </c>
      <c r="L35" s="450">
        <f t="shared" si="1"/>
        <v>163204.09</v>
      </c>
    </row>
    <row r="36" spans="1:12" ht="12.75" outlineLevel="1">
      <c r="A36" s="395" t="s">
        <v>1118</v>
      </c>
      <c r="C36" s="455"/>
      <c r="D36" s="433" t="s">
        <v>1119</v>
      </c>
      <c r="E36" s="456" t="str">
        <f t="shared" si="0"/>
        <v>BOOTS CLAYTON SCHOL</v>
      </c>
      <c r="F36" s="441">
        <v>87929.03</v>
      </c>
      <c r="G36" s="450">
        <v>50</v>
      </c>
      <c r="H36" s="450">
        <v>-2593.68</v>
      </c>
      <c r="I36" s="450">
        <v>13254.32</v>
      </c>
      <c r="J36" s="450">
        <v>0</v>
      </c>
      <c r="K36" s="450">
        <v>0</v>
      </c>
      <c r="L36" s="450">
        <f t="shared" si="1"/>
        <v>98639.67000000001</v>
      </c>
    </row>
    <row r="37" spans="1:12" ht="12.75" outlineLevel="1">
      <c r="A37" s="395" t="s">
        <v>1120</v>
      </c>
      <c r="C37" s="455"/>
      <c r="D37" s="433" t="s">
        <v>1121</v>
      </c>
      <c r="E37" s="456" t="str">
        <f t="shared" si="0"/>
        <v>CLAIR FELLOWSHIP</v>
      </c>
      <c r="F37" s="441">
        <v>25910.14</v>
      </c>
      <c r="G37" s="450">
        <v>410</v>
      </c>
      <c r="H37" s="450">
        <v>-770.42</v>
      </c>
      <c r="I37" s="450">
        <v>3912.83</v>
      </c>
      <c r="J37" s="450">
        <v>0</v>
      </c>
      <c r="K37" s="450">
        <v>0</v>
      </c>
      <c r="L37" s="450">
        <f t="shared" si="1"/>
        <v>29462.550000000003</v>
      </c>
    </row>
    <row r="38" spans="1:12" ht="12.75" outlineLevel="1">
      <c r="A38" s="395" t="s">
        <v>1122</v>
      </c>
      <c r="C38" s="455"/>
      <c r="D38" s="433" t="s">
        <v>1123</v>
      </c>
      <c r="E38" s="456" t="str">
        <f t="shared" si="0"/>
        <v>CLEMENT &amp; CUNNINGHAM</v>
      </c>
      <c r="F38" s="441">
        <v>20268.21</v>
      </c>
      <c r="G38" s="450">
        <v>0</v>
      </c>
      <c r="H38" s="450">
        <v>-604.36</v>
      </c>
      <c r="I38" s="450">
        <v>3054.96</v>
      </c>
      <c r="J38" s="450">
        <v>0</v>
      </c>
      <c r="K38" s="450">
        <v>0</v>
      </c>
      <c r="L38" s="450">
        <f t="shared" si="1"/>
        <v>22718.809999999998</v>
      </c>
    </row>
    <row r="39" spans="1:12" ht="12.75" outlineLevel="1">
      <c r="A39" s="395" t="s">
        <v>1124</v>
      </c>
      <c r="C39" s="455"/>
      <c r="D39" s="433" t="s">
        <v>1125</v>
      </c>
      <c r="E39" s="456" t="str">
        <f t="shared" si="0"/>
        <v>ANDY &amp; TONI COCHRAN</v>
      </c>
      <c r="F39" s="441">
        <v>19466.88</v>
      </c>
      <c r="G39" s="450">
        <v>0</v>
      </c>
      <c r="H39" s="450">
        <v>-79.86</v>
      </c>
      <c r="I39" s="450">
        <v>-1065.97</v>
      </c>
      <c r="J39" s="450">
        <v>0</v>
      </c>
      <c r="K39" s="450">
        <v>0</v>
      </c>
      <c r="L39" s="450">
        <f t="shared" si="1"/>
        <v>18321.05</v>
      </c>
    </row>
    <row r="40" spans="1:12" ht="12.75" outlineLevel="1">
      <c r="A40" s="395" t="s">
        <v>1126</v>
      </c>
      <c r="C40" s="455"/>
      <c r="D40" s="433" t="s">
        <v>1127</v>
      </c>
      <c r="E40" s="456" t="str">
        <f t="shared" si="0"/>
        <v>COLE END SCHP</v>
      </c>
      <c r="F40" s="441">
        <v>62098.02</v>
      </c>
      <c r="G40" s="450">
        <v>0</v>
      </c>
      <c r="H40" s="450">
        <v>-1851.6</v>
      </c>
      <c r="I40" s="450">
        <v>9359.82</v>
      </c>
      <c r="J40" s="450">
        <v>0</v>
      </c>
      <c r="K40" s="450">
        <v>0</v>
      </c>
      <c r="L40" s="450">
        <f t="shared" si="1"/>
        <v>69606.23999999999</v>
      </c>
    </row>
    <row r="41" spans="1:12" ht="12.75" outlineLevel="1">
      <c r="A41" s="395" t="s">
        <v>1128</v>
      </c>
      <c r="C41" s="455"/>
      <c r="D41" s="433" t="s">
        <v>1129</v>
      </c>
      <c r="E41" s="456" t="str">
        <f t="shared" si="0"/>
        <v>I R COOK MEM SCHP</v>
      </c>
      <c r="F41" s="441">
        <v>10187.83</v>
      </c>
      <c r="G41" s="450">
        <v>0</v>
      </c>
      <c r="H41" s="450">
        <v>-358.13</v>
      </c>
      <c r="I41" s="450">
        <v>760.91</v>
      </c>
      <c r="J41" s="450">
        <v>0</v>
      </c>
      <c r="K41" s="450">
        <v>0</v>
      </c>
      <c r="L41" s="450">
        <f t="shared" si="1"/>
        <v>10590.61</v>
      </c>
    </row>
    <row r="42" spans="1:12" ht="12.75" outlineLevel="1">
      <c r="A42" s="395" t="s">
        <v>1130</v>
      </c>
      <c r="C42" s="455"/>
      <c r="D42" s="433" t="s">
        <v>1131</v>
      </c>
      <c r="E42" s="456" t="str">
        <f t="shared" si="0"/>
        <v>COOKSEY MEM AWD</v>
      </c>
      <c r="F42" s="441">
        <v>23313.81</v>
      </c>
      <c r="G42" s="450">
        <v>0</v>
      </c>
      <c r="H42" s="450">
        <v>-695.17</v>
      </c>
      <c r="I42" s="450">
        <v>3514.02</v>
      </c>
      <c r="J42" s="450">
        <v>0</v>
      </c>
      <c r="K42" s="450">
        <v>0</v>
      </c>
      <c r="L42" s="450">
        <f t="shared" si="1"/>
        <v>26132.660000000003</v>
      </c>
    </row>
    <row r="43" spans="1:12" ht="12.75" outlineLevel="1">
      <c r="A43" s="395" t="s">
        <v>1132</v>
      </c>
      <c r="C43" s="455"/>
      <c r="D43" s="433" t="s">
        <v>1133</v>
      </c>
      <c r="E43" s="456" t="str">
        <f t="shared" si="0"/>
        <v>J ROBERT COOK SCHP</v>
      </c>
      <c r="F43" s="441">
        <v>7040.42</v>
      </c>
      <c r="G43" s="450">
        <v>0</v>
      </c>
      <c r="H43" s="450">
        <v>-232.64</v>
      </c>
      <c r="I43" s="450">
        <v>2005.5</v>
      </c>
      <c r="J43" s="450">
        <v>0</v>
      </c>
      <c r="K43" s="450">
        <v>0</v>
      </c>
      <c r="L43" s="450">
        <f t="shared" si="1"/>
        <v>8813.279999999999</v>
      </c>
    </row>
    <row r="44" spans="1:12" ht="12.75" outlineLevel="1">
      <c r="A44" s="395" t="s">
        <v>1134</v>
      </c>
      <c r="C44" s="455"/>
      <c r="D44" s="433" t="s">
        <v>1135</v>
      </c>
      <c r="E44" s="456" t="str">
        <f t="shared" si="0"/>
        <v>R L COOPER SCHP</v>
      </c>
      <c r="F44" s="441">
        <v>46064.31</v>
      </c>
      <c r="G44" s="450">
        <v>200</v>
      </c>
      <c r="H44" s="450">
        <v>-1323.27</v>
      </c>
      <c r="I44" s="450">
        <v>6989.19</v>
      </c>
      <c r="J44" s="450">
        <v>0</v>
      </c>
      <c r="K44" s="450">
        <v>0</v>
      </c>
      <c r="L44" s="450">
        <f t="shared" si="1"/>
        <v>51930.23</v>
      </c>
    </row>
    <row r="45" spans="1:12" ht="12.75" outlineLevel="1">
      <c r="A45" s="395" t="s">
        <v>1136</v>
      </c>
      <c r="C45" s="455"/>
      <c r="D45" s="433" t="s">
        <v>1137</v>
      </c>
      <c r="E45" s="456" t="str">
        <f t="shared" si="0"/>
        <v>COTERIE SCHP</v>
      </c>
      <c r="F45" s="441">
        <v>69727.66</v>
      </c>
      <c r="G45" s="450">
        <v>3342.86</v>
      </c>
      <c r="H45" s="450">
        <v>-1940.9</v>
      </c>
      <c r="I45" s="450">
        <v>10603.46</v>
      </c>
      <c r="J45" s="450">
        <v>0</v>
      </c>
      <c r="K45" s="450">
        <v>0</v>
      </c>
      <c r="L45" s="450">
        <f t="shared" si="1"/>
        <v>81733.08000000002</v>
      </c>
    </row>
    <row r="46" spans="1:12" ht="12.75" outlineLevel="1">
      <c r="A46" s="395" t="s">
        <v>1138</v>
      </c>
      <c r="C46" s="455"/>
      <c r="D46" s="433" t="s">
        <v>1139</v>
      </c>
      <c r="E46" s="456" t="str">
        <f t="shared" si="0"/>
        <v>COGHILL ENDOW SCHP</v>
      </c>
      <c r="F46" s="441">
        <v>631611.02</v>
      </c>
      <c r="G46" s="450">
        <v>0</v>
      </c>
      <c r="H46" s="450">
        <v>-18833.23</v>
      </c>
      <c r="I46" s="450">
        <v>95200.6</v>
      </c>
      <c r="J46" s="450">
        <v>0</v>
      </c>
      <c r="K46" s="450">
        <v>0</v>
      </c>
      <c r="L46" s="450">
        <f t="shared" si="1"/>
        <v>707978.39</v>
      </c>
    </row>
    <row r="47" spans="1:12" ht="12.75" outlineLevel="1">
      <c r="A47" s="395" t="s">
        <v>1140</v>
      </c>
      <c r="C47" s="455"/>
      <c r="D47" s="433" t="s">
        <v>1141</v>
      </c>
      <c r="E47" s="456" t="str">
        <f t="shared" si="0"/>
        <v>D G CRECELIUS SCHP</v>
      </c>
      <c r="F47" s="441">
        <v>8140.87</v>
      </c>
      <c r="G47" s="450">
        <v>0</v>
      </c>
      <c r="H47" s="450">
        <v>-33.39</v>
      </c>
      <c r="I47" s="450">
        <v>-445.76</v>
      </c>
      <c r="J47" s="450">
        <v>0</v>
      </c>
      <c r="K47" s="450">
        <v>0</v>
      </c>
      <c r="L47" s="450">
        <f t="shared" si="1"/>
        <v>7661.719999999999</v>
      </c>
    </row>
    <row r="48" spans="1:12" ht="12.75" outlineLevel="1">
      <c r="A48" s="395" t="s">
        <v>1142</v>
      </c>
      <c r="C48" s="455"/>
      <c r="D48" s="433" t="s">
        <v>1143</v>
      </c>
      <c r="E48" s="456" t="str">
        <f t="shared" si="0"/>
        <v>CROSS COUNTRY ED SCH</v>
      </c>
      <c r="F48" s="441">
        <v>27660.95</v>
      </c>
      <c r="G48" s="450">
        <v>320</v>
      </c>
      <c r="H48" s="450">
        <v>-813.51</v>
      </c>
      <c r="I48" s="450">
        <v>4199.09</v>
      </c>
      <c r="J48" s="450">
        <v>0</v>
      </c>
      <c r="K48" s="450">
        <v>0</v>
      </c>
      <c r="L48" s="450">
        <f t="shared" si="1"/>
        <v>31366.530000000002</v>
      </c>
    </row>
    <row r="49" spans="1:12" ht="12.75" outlineLevel="1">
      <c r="A49" s="395" t="s">
        <v>1144</v>
      </c>
      <c r="C49" s="455"/>
      <c r="D49" s="433" t="s">
        <v>1145</v>
      </c>
      <c r="E49" s="456" t="str">
        <f t="shared" si="0"/>
        <v>JOHN DAILY END SCHP</v>
      </c>
      <c r="F49" s="441">
        <v>136257.21</v>
      </c>
      <c r="G49" s="450">
        <v>0</v>
      </c>
      <c r="H49" s="450">
        <v>-4062.89</v>
      </c>
      <c r="I49" s="450">
        <v>20537.59</v>
      </c>
      <c r="J49" s="450">
        <v>0</v>
      </c>
      <c r="K49" s="450">
        <v>0</v>
      </c>
      <c r="L49" s="450">
        <f t="shared" si="1"/>
        <v>152731.90999999997</v>
      </c>
    </row>
    <row r="50" spans="1:12" ht="12.75" outlineLevel="1">
      <c r="A50" s="395" t="s">
        <v>1146</v>
      </c>
      <c r="C50" s="455"/>
      <c r="D50" s="433" t="s">
        <v>1147</v>
      </c>
      <c r="E50" s="456" t="str">
        <f t="shared" si="0"/>
        <v>F H DEARING ED SCH</v>
      </c>
      <c r="F50" s="441">
        <v>89133.37</v>
      </c>
      <c r="G50" s="450">
        <v>0</v>
      </c>
      <c r="H50" s="450">
        <v>-2657.73</v>
      </c>
      <c r="I50" s="450">
        <v>13434.78</v>
      </c>
      <c r="J50" s="450">
        <v>0</v>
      </c>
      <c r="K50" s="450">
        <v>0</v>
      </c>
      <c r="L50" s="450">
        <f t="shared" si="1"/>
        <v>99910.42</v>
      </c>
    </row>
    <row r="51" spans="1:12" ht="12.75" outlineLevel="1">
      <c r="A51" s="395" t="s">
        <v>1148</v>
      </c>
      <c r="C51" s="455"/>
      <c r="D51" s="433" t="s">
        <v>1149</v>
      </c>
      <c r="E51" s="456" t="str">
        <f t="shared" si="0"/>
        <v>F E DENNIE MEM SCH</v>
      </c>
      <c r="F51" s="441">
        <v>159240.34</v>
      </c>
      <c r="G51" s="450">
        <v>0</v>
      </c>
      <c r="H51" s="450">
        <v>-4747.79</v>
      </c>
      <c r="I51" s="450">
        <v>24003.56</v>
      </c>
      <c r="J51" s="450">
        <v>0</v>
      </c>
      <c r="K51" s="450">
        <v>0</v>
      </c>
      <c r="L51" s="450">
        <f t="shared" si="1"/>
        <v>178496.11</v>
      </c>
    </row>
    <row r="52" spans="1:12" ht="12.75" outlineLevel="1">
      <c r="A52" s="395" t="s">
        <v>1150</v>
      </c>
      <c r="C52" s="455"/>
      <c r="D52" s="433" t="s">
        <v>1151</v>
      </c>
      <c r="E52" s="456" t="str">
        <f t="shared" si="0"/>
        <v>DRESSER END SCHP</v>
      </c>
      <c r="F52" s="441">
        <v>10578.05</v>
      </c>
      <c r="G52" s="450">
        <v>1340</v>
      </c>
      <c r="H52" s="450">
        <v>-300.85</v>
      </c>
      <c r="I52" s="450">
        <v>1593.99</v>
      </c>
      <c r="J52" s="450">
        <v>0</v>
      </c>
      <c r="K52" s="450">
        <v>0</v>
      </c>
      <c r="L52" s="450">
        <f t="shared" si="1"/>
        <v>13211.189999999999</v>
      </c>
    </row>
    <row r="53" spans="1:13" ht="12.75" outlineLevel="1">
      <c r="A53" s="395" t="s">
        <v>1152</v>
      </c>
      <c r="C53" s="455"/>
      <c r="D53" s="433" t="s">
        <v>1153</v>
      </c>
      <c r="E53" s="421" t="str">
        <f t="shared" si="0"/>
        <v>EASLEY SCHOLARSHIP</v>
      </c>
      <c r="F53" s="449">
        <v>119639.46</v>
      </c>
      <c r="G53" s="450">
        <v>0</v>
      </c>
      <c r="H53" s="450">
        <v>-3567.38</v>
      </c>
      <c r="I53" s="450">
        <v>18032.86</v>
      </c>
      <c r="J53" s="450">
        <v>0</v>
      </c>
      <c r="K53" s="450">
        <v>0</v>
      </c>
      <c r="L53" s="450">
        <f t="shared" si="1"/>
        <v>134104.94</v>
      </c>
      <c r="M53" s="455"/>
    </row>
    <row r="54" spans="1:13" ht="12.75" outlineLevel="1">
      <c r="A54" s="395" t="s">
        <v>1154</v>
      </c>
      <c r="D54" s="433" t="s">
        <v>1155</v>
      </c>
      <c r="E54" s="421" t="str">
        <f t="shared" si="0"/>
        <v>ECK ENDOWED SCHP</v>
      </c>
      <c r="F54" s="449">
        <v>17970.76</v>
      </c>
      <c r="G54" s="450">
        <v>0</v>
      </c>
      <c r="H54" s="450">
        <v>-535.85</v>
      </c>
      <c r="I54" s="450">
        <v>2708.68</v>
      </c>
      <c r="J54" s="450">
        <v>0</v>
      </c>
      <c r="K54" s="450">
        <v>0</v>
      </c>
      <c r="L54" s="450">
        <f t="shared" si="1"/>
        <v>20143.59</v>
      </c>
      <c r="M54" s="433"/>
    </row>
    <row r="55" spans="1:14" s="495" customFormat="1" ht="12.75" outlineLevel="1">
      <c r="A55" s="495" t="s">
        <v>1156</v>
      </c>
      <c r="B55" s="496"/>
      <c r="C55" s="455"/>
      <c r="D55" s="455" t="s">
        <v>1157</v>
      </c>
      <c r="E55" s="497" t="str">
        <f t="shared" si="0"/>
        <v>ECKHOFF ENDOWED SCHP</v>
      </c>
      <c r="F55" s="498">
        <v>42628.8</v>
      </c>
      <c r="G55" s="499">
        <v>1000</v>
      </c>
      <c r="H55" s="499">
        <v>-1127.2</v>
      </c>
      <c r="I55" s="499">
        <v>6609.28</v>
      </c>
      <c r="J55" s="499">
        <v>0</v>
      </c>
      <c r="K55" s="499">
        <v>0</v>
      </c>
      <c r="L55" s="499">
        <f t="shared" si="1"/>
        <v>49110.880000000005</v>
      </c>
      <c r="M55" s="457"/>
      <c r="N55" s="500"/>
    </row>
    <row r="56" spans="1:12" ht="12.75" outlineLevel="1">
      <c r="A56" s="395" t="s">
        <v>1158</v>
      </c>
      <c r="C56" s="455"/>
      <c r="D56" s="433" t="s">
        <v>1159</v>
      </c>
      <c r="E56" s="456" t="str">
        <f t="shared" si="0"/>
        <v>ECONOMICS ALUM SCHP</v>
      </c>
      <c r="F56" s="441">
        <v>12574.38</v>
      </c>
      <c r="G56" s="450">
        <v>0</v>
      </c>
      <c r="H56" s="450">
        <v>-374.94</v>
      </c>
      <c r="I56" s="450">
        <v>1895.3</v>
      </c>
      <c r="J56" s="450">
        <v>0</v>
      </c>
      <c r="K56" s="450">
        <v>0</v>
      </c>
      <c r="L56" s="450">
        <f t="shared" si="1"/>
        <v>14094.739999999998</v>
      </c>
    </row>
    <row r="57" spans="1:13" ht="12.75" outlineLevel="1">
      <c r="A57" s="395" t="s">
        <v>1160</v>
      </c>
      <c r="C57" s="455"/>
      <c r="D57" s="433" t="s">
        <v>1161</v>
      </c>
      <c r="E57" s="421" t="str">
        <f t="shared" si="0"/>
        <v>EDWARDS SCH</v>
      </c>
      <c r="F57" s="449">
        <v>56643.37</v>
      </c>
      <c r="G57" s="450">
        <v>750</v>
      </c>
      <c r="H57" s="450">
        <v>-1665.76</v>
      </c>
      <c r="I57" s="450">
        <v>8567.42</v>
      </c>
      <c r="J57" s="450">
        <v>0</v>
      </c>
      <c r="K57" s="450">
        <v>0</v>
      </c>
      <c r="L57" s="450">
        <f t="shared" si="1"/>
        <v>64295.03</v>
      </c>
      <c r="M57" s="455"/>
    </row>
    <row r="58" spans="1:14" s="495" customFormat="1" ht="12.75" outlineLevel="1">
      <c r="A58" s="495" t="s">
        <v>1162</v>
      </c>
      <c r="B58" s="496"/>
      <c r="C58" s="455"/>
      <c r="D58" s="455" t="s">
        <v>1163</v>
      </c>
      <c r="E58" s="497" t="str">
        <f t="shared" si="0"/>
        <v>F S ELFRED SCHP</v>
      </c>
      <c r="F58" s="498">
        <v>23166.95</v>
      </c>
      <c r="G58" s="499">
        <v>0</v>
      </c>
      <c r="H58" s="499">
        <v>-95.04</v>
      </c>
      <c r="I58" s="499">
        <v>-1268.57</v>
      </c>
      <c r="J58" s="499">
        <v>0</v>
      </c>
      <c r="K58" s="499">
        <v>0</v>
      </c>
      <c r="L58" s="499">
        <f t="shared" si="1"/>
        <v>21803.34</v>
      </c>
      <c r="M58" s="457"/>
      <c r="N58" s="500"/>
    </row>
    <row r="59" spans="1:12" ht="12.75" outlineLevel="1">
      <c r="A59" s="395" t="s">
        <v>1164</v>
      </c>
      <c r="C59" s="455"/>
      <c r="D59" s="433" t="s">
        <v>1165</v>
      </c>
      <c r="E59" s="456" t="str">
        <f t="shared" si="0"/>
        <v>END SCHP FOR MIN ENG</v>
      </c>
      <c r="F59" s="441">
        <v>157246.68</v>
      </c>
      <c r="G59" s="450">
        <v>0</v>
      </c>
      <c r="H59" s="450">
        <v>-4688.72</v>
      </c>
      <c r="I59" s="450">
        <v>23701.26</v>
      </c>
      <c r="J59" s="450">
        <v>0</v>
      </c>
      <c r="K59" s="450">
        <v>0</v>
      </c>
      <c r="L59" s="450">
        <f t="shared" si="1"/>
        <v>176259.22</v>
      </c>
    </row>
    <row r="60" spans="1:12" ht="12.75" outlineLevel="1">
      <c r="A60" s="395" t="s">
        <v>1166</v>
      </c>
      <c r="C60" s="455"/>
      <c r="D60" s="433" t="s">
        <v>1167</v>
      </c>
      <c r="E60" s="456" t="str">
        <f t="shared" si="0"/>
        <v>EMANUEL MEM SCHP</v>
      </c>
      <c r="F60" s="441">
        <v>9555.9</v>
      </c>
      <c r="G60" s="450">
        <v>0</v>
      </c>
      <c r="H60" s="450">
        <v>-284.92</v>
      </c>
      <c r="I60" s="450">
        <v>1440.34</v>
      </c>
      <c r="J60" s="450">
        <v>0</v>
      </c>
      <c r="K60" s="450">
        <v>0</v>
      </c>
      <c r="L60" s="450">
        <f t="shared" si="1"/>
        <v>10711.32</v>
      </c>
    </row>
    <row r="61" spans="1:12" ht="12.75" outlineLevel="1">
      <c r="A61" s="395" t="s">
        <v>1168</v>
      </c>
      <c r="C61" s="455"/>
      <c r="D61" s="433" t="s">
        <v>1169</v>
      </c>
      <c r="E61" s="456" t="str">
        <f t="shared" si="0"/>
        <v>ENGLISH SCHP</v>
      </c>
      <c r="F61" s="441">
        <v>90730.29</v>
      </c>
      <c r="G61" s="450">
        <v>0</v>
      </c>
      <c r="H61" s="450">
        <v>-2705.37</v>
      </c>
      <c r="I61" s="450">
        <v>13675.47</v>
      </c>
      <c r="J61" s="450">
        <v>0</v>
      </c>
      <c r="K61" s="450">
        <v>0</v>
      </c>
      <c r="L61" s="450">
        <f t="shared" si="1"/>
        <v>101700.39</v>
      </c>
    </row>
    <row r="62" spans="1:12" ht="12.75" outlineLevel="1">
      <c r="A62" s="395" t="s">
        <v>1170</v>
      </c>
      <c r="C62" s="455"/>
      <c r="D62" s="433" t="s">
        <v>1171</v>
      </c>
      <c r="E62" s="456" t="str">
        <f t="shared" si="0"/>
        <v>EPPELSHEIMER SCHP</v>
      </c>
      <c r="F62" s="441">
        <v>24530.11</v>
      </c>
      <c r="G62" s="450">
        <v>0</v>
      </c>
      <c r="H62" s="450">
        <v>-731.44</v>
      </c>
      <c r="I62" s="450">
        <v>3697.33</v>
      </c>
      <c r="J62" s="450">
        <v>0</v>
      </c>
      <c r="K62" s="450">
        <v>0</v>
      </c>
      <c r="L62" s="450">
        <f t="shared" si="1"/>
        <v>27496</v>
      </c>
    </row>
    <row r="63" spans="1:12" ht="12.75" outlineLevel="1">
      <c r="A63" s="395" t="s">
        <v>1172</v>
      </c>
      <c r="C63" s="455"/>
      <c r="D63" s="433" t="s">
        <v>1173</v>
      </c>
      <c r="E63" s="456" t="str">
        <f t="shared" si="0"/>
        <v>FASER END SCHP</v>
      </c>
      <c r="F63" s="441">
        <v>7042.27</v>
      </c>
      <c r="G63" s="450">
        <v>0</v>
      </c>
      <c r="H63" s="450">
        <v>-209.98</v>
      </c>
      <c r="I63" s="450">
        <v>1061.45</v>
      </c>
      <c r="J63" s="450">
        <v>0</v>
      </c>
      <c r="K63" s="450">
        <v>0</v>
      </c>
      <c r="L63" s="450">
        <f t="shared" si="1"/>
        <v>7893.740000000001</v>
      </c>
    </row>
    <row r="64" spans="1:12" ht="12.75" outlineLevel="1">
      <c r="A64" s="395" t="s">
        <v>1174</v>
      </c>
      <c r="C64" s="455"/>
      <c r="D64" s="433" t="s">
        <v>1175</v>
      </c>
      <c r="E64" s="456" t="str">
        <f t="shared" si="0"/>
        <v>THOMAS FAUCETT SCH</v>
      </c>
      <c r="F64" s="441">
        <v>29696.83</v>
      </c>
      <c r="G64" s="450">
        <v>0</v>
      </c>
      <c r="H64" s="450">
        <v>-885.5</v>
      </c>
      <c r="I64" s="450">
        <v>4476.12</v>
      </c>
      <c r="J64" s="450">
        <v>0</v>
      </c>
      <c r="K64" s="450">
        <v>0</v>
      </c>
      <c r="L64" s="450">
        <f t="shared" si="1"/>
        <v>33287.450000000004</v>
      </c>
    </row>
    <row r="65" spans="1:12" ht="12.75" outlineLevel="1">
      <c r="A65" s="395" t="s">
        <v>1176</v>
      </c>
      <c r="C65" s="455"/>
      <c r="D65" s="433" t="s">
        <v>1177</v>
      </c>
      <c r="E65" s="456" t="str">
        <f t="shared" si="0"/>
        <v>FCR END RES FELLOW</v>
      </c>
      <c r="F65" s="441">
        <v>27517.62</v>
      </c>
      <c r="G65" s="450">
        <v>2000</v>
      </c>
      <c r="H65" s="450">
        <v>-748.2</v>
      </c>
      <c r="I65" s="450">
        <v>4236.96</v>
      </c>
      <c r="J65" s="450">
        <v>0</v>
      </c>
      <c r="K65" s="450">
        <v>0</v>
      </c>
      <c r="L65" s="450">
        <f t="shared" si="1"/>
        <v>33006.38</v>
      </c>
    </row>
    <row r="66" spans="1:12" ht="12.75" outlineLevel="1">
      <c r="A66" s="395" t="s">
        <v>1178</v>
      </c>
      <c r="C66" s="455"/>
      <c r="D66" s="433" t="s">
        <v>1179</v>
      </c>
      <c r="E66" s="456" t="str">
        <f t="shared" si="0"/>
        <v>FCR UNDERGRAD RES FE</v>
      </c>
      <c r="F66" s="441">
        <v>19278.75</v>
      </c>
      <c r="G66" s="450">
        <v>0</v>
      </c>
      <c r="H66" s="450">
        <v>-574.85</v>
      </c>
      <c r="I66" s="450">
        <v>2905.82</v>
      </c>
      <c r="J66" s="450">
        <v>0</v>
      </c>
      <c r="K66" s="450">
        <v>0</v>
      </c>
      <c r="L66" s="450">
        <f t="shared" si="1"/>
        <v>21609.72</v>
      </c>
    </row>
    <row r="67" spans="1:12" ht="12.75" outlineLevel="1">
      <c r="A67" s="395" t="s">
        <v>1180</v>
      </c>
      <c r="C67" s="455"/>
      <c r="D67" s="433" t="s">
        <v>1181</v>
      </c>
      <c r="E67" s="456" t="str">
        <f t="shared" si="0"/>
        <v>S FEDER MEM SCHP</v>
      </c>
      <c r="F67" s="441">
        <v>14595.12</v>
      </c>
      <c r="G67" s="450">
        <v>0</v>
      </c>
      <c r="H67" s="450">
        <v>-435.19</v>
      </c>
      <c r="I67" s="450">
        <v>2199.9</v>
      </c>
      <c r="J67" s="450">
        <v>0</v>
      </c>
      <c r="K67" s="450">
        <v>0</v>
      </c>
      <c r="L67" s="450">
        <f t="shared" si="1"/>
        <v>16359.83</v>
      </c>
    </row>
    <row r="68" spans="1:12" ht="12.75" outlineLevel="1">
      <c r="A68" s="395" t="s">
        <v>1182</v>
      </c>
      <c r="C68" s="455"/>
      <c r="D68" s="433" t="s">
        <v>1183</v>
      </c>
      <c r="E68" s="456" t="str">
        <f t="shared" si="0"/>
        <v>FINDLEY SCHP</v>
      </c>
      <c r="F68" s="441">
        <v>23614.88</v>
      </c>
      <c r="G68" s="450">
        <v>225</v>
      </c>
      <c r="H68" s="450">
        <v>-689.36</v>
      </c>
      <c r="I68" s="450">
        <v>3591.52</v>
      </c>
      <c r="J68" s="450">
        <v>0</v>
      </c>
      <c r="K68" s="450">
        <v>0</v>
      </c>
      <c r="L68" s="450">
        <f t="shared" si="1"/>
        <v>26742.04</v>
      </c>
    </row>
    <row r="69" spans="1:12" ht="12.75" outlineLevel="1">
      <c r="A69" s="395" t="s">
        <v>1184</v>
      </c>
      <c r="C69" s="455"/>
      <c r="D69" s="433" t="s">
        <v>1185</v>
      </c>
      <c r="E69" s="456" t="str">
        <f t="shared" si="0"/>
        <v>FINLEY FELLOWSHIP CM</v>
      </c>
      <c r="F69" s="441">
        <v>255985.19</v>
      </c>
      <c r="G69" s="450">
        <v>0</v>
      </c>
      <c r="H69" s="450">
        <v>-7632.92</v>
      </c>
      <c r="I69" s="450">
        <v>38583.79</v>
      </c>
      <c r="J69" s="450">
        <v>0</v>
      </c>
      <c r="K69" s="450">
        <v>0</v>
      </c>
      <c r="L69" s="450">
        <f t="shared" si="1"/>
        <v>286936.06</v>
      </c>
    </row>
    <row r="70" spans="1:12" ht="12.75" outlineLevel="1">
      <c r="A70" s="395" t="s">
        <v>1186</v>
      </c>
      <c r="C70" s="455"/>
      <c r="D70" s="433" t="s">
        <v>1187</v>
      </c>
      <c r="E70" s="456" t="str">
        <f t="shared" si="0"/>
        <v>FINLEY MINORITY SCHP</v>
      </c>
      <c r="F70" s="441">
        <v>90262.64</v>
      </c>
      <c r="G70" s="450">
        <v>0</v>
      </c>
      <c r="H70" s="450">
        <v>-2691.43</v>
      </c>
      <c r="I70" s="450">
        <v>13604.98</v>
      </c>
      <c r="J70" s="450">
        <v>0</v>
      </c>
      <c r="K70" s="450">
        <v>0</v>
      </c>
      <c r="L70" s="450">
        <f t="shared" si="1"/>
        <v>101176.19</v>
      </c>
    </row>
    <row r="71" spans="1:12" ht="12.75" outlineLevel="1">
      <c r="A71" s="395" t="s">
        <v>1188</v>
      </c>
      <c r="C71" s="455"/>
      <c r="D71" s="433" t="s">
        <v>1189</v>
      </c>
      <c r="E71" s="456" t="str">
        <f t="shared" si="0"/>
        <v>FINLEY SCHP ELEC ENG</v>
      </c>
      <c r="F71" s="441">
        <v>26641.12</v>
      </c>
      <c r="G71" s="450">
        <v>0</v>
      </c>
      <c r="H71" s="450">
        <v>-108.57</v>
      </c>
      <c r="I71" s="450">
        <v>-1459.24</v>
      </c>
      <c r="J71" s="450">
        <v>-175</v>
      </c>
      <c r="K71" s="450">
        <v>0</v>
      </c>
      <c r="L71" s="450">
        <f t="shared" si="1"/>
        <v>25248.309999999998</v>
      </c>
    </row>
    <row r="72" spans="1:12" ht="12.75" outlineLevel="1">
      <c r="A72" s="395" t="s">
        <v>1190</v>
      </c>
      <c r="C72" s="455"/>
      <c r="D72" s="433" t="s">
        <v>1191</v>
      </c>
      <c r="E72" s="456" t="str">
        <f t="shared" si="0"/>
        <v>J L FLEBBE MEM SCHP</v>
      </c>
      <c r="F72" s="441">
        <v>64951.17</v>
      </c>
      <c r="G72" s="450">
        <v>925</v>
      </c>
      <c r="H72" s="450">
        <v>936.93</v>
      </c>
      <c r="I72" s="450">
        <v>-3685.15</v>
      </c>
      <c r="J72" s="450">
        <v>0</v>
      </c>
      <c r="K72" s="450">
        <v>0</v>
      </c>
      <c r="L72" s="450">
        <f t="shared" si="1"/>
        <v>63127.94999999999</v>
      </c>
    </row>
    <row r="73" spans="1:12" ht="12.75" outlineLevel="1">
      <c r="A73" s="395" t="s">
        <v>1192</v>
      </c>
      <c r="C73" s="455"/>
      <c r="D73" s="433" t="s">
        <v>1193</v>
      </c>
      <c r="E73" s="456" t="str">
        <f aca="true" t="shared" si="2" ref="E73:E136">UPPER(D73)</f>
        <v>FORD/EEOC SCHP</v>
      </c>
      <c r="F73" s="441">
        <v>419991.82</v>
      </c>
      <c r="G73" s="450">
        <v>0</v>
      </c>
      <c r="H73" s="450">
        <v>-12523.22</v>
      </c>
      <c r="I73" s="450">
        <v>63303.95</v>
      </c>
      <c r="J73" s="450">
        <v>0</v>
      </c>
      <c r="K73" s="450">
        <v>0</v>
      </c>
      <c r="L73" s="450">
        <f aca="true" t="shared" si="3" ref="L73:L136">F73+G73+H73+I73-J73+K73</f>
        <v>470772.55000000005</v>
      </c>
    </row>
    <row r="74" spans="1:12" ht="12.75" outlineLevel="1">
      <c r="A74" s="395" t="s">
        <v>1194</v>
      </c>
      <c r="C74" s="455"/>
      <c r="D74" s="433" t="s">
        <v>1195</v>
      </c>
      <c r="E74" s="456" t="str">
        <f t="shared" si="2"/>
        <v>FREEMAN END SCHP</v>
      </c>
      <c r="F74" s="441">
        <v>182297.34</v>
      </c>
      <c r="G74" s="450">
        <v>0</v>
      </c>
      <c r="H74" s="450">
        <v>-5435.7</v>
      </c>
      <c r="I74" s="450">
        <v>27477.07</v>
      </c>
      <c r="J74" s="450">
        <v>0</v>
      </c>
      <c r="K74" s="450">
        <v>0</v>
      </c>
      <c r="L74" s="450">
        <f t="shared" si="3"/>
        <v>204338.71</v>
      </c>
    </row>
    <row r="75" spans="1:12" ht="12.75" outlineLevel="1">
      <c r="A75" s="395" t="s">
        <v>1196</v>
      </c>
      <c r="C75" s="455"/>
      <c r="D75" s="433" t="s">
        <v>985</v>
      </c>
      <c r="E75" s="456" t="str">
        <f t="shared" si="2"/>
        <v>H Q FULLER SCH-LN FD</v>
      </c>
      <c r="F75" s="441">
        <v>55638.67</v>
      </c>
      <c r="G75" s="450">
        <v>50</v>
      </c>
      <c r="H75" s="450">
        <v>254.64</v>
      </c>
      <c r="I75" s="450">
        <v>-3060.67</v>
      </c>
      <c r="J75" s="450">
        <v>0</v>
      </c>
      <c r="K75" s="450">
        <v>0</v>
      </c>
      <c r="L75" s="450">
        <f t="shared" si="3"/>
        <v>52882.64</v>
      </c>
    </row>
    <row r="76" spans="1:12" ht="12.75" outlineLevel="1">
      <c r="A76" s="395" t="s">
        <v>1197</v>
      </c>
      <c r="C76" s="455"/>
      <c r="D76" s="433" t="s">
        <v>1198</v>
      </c>
      <c r="E76" s="456" t="str">
        <f t="shared" si="2"/>
        <v>FULTON SCH A &amp; S</v>
      </c>
      <c r="F76" s="441">
        <v>12630.54</v>
      </c>
      <c r="G76" s="450">
        <v>0</v>
      </c>
      <c r="H76" s="450">
        <v>-376.61</v>
      </c>
      <c r="I76" s="450">
        <v>1903.78</v>
      </c>
      <c r="J76" s="450">
        <v>0</v>
      </c>
      <c r="K76" s="450">
        <v>0</v>
      </c>
      <c r="L76" s="450">
        <f t="shared" si="3"/>
        <v>14157.710000000001</v>
      </c>
    </row>
    <row r="77" spans="1:12" ht="12.75" outlineLevel="1">
      <c r="A77" s="395" t="s">
        <v>1199</v>
      </c>
      <c r="C77" s="455"/>
      <c r="D77" s="433" t="s">
        <v>1200</v>
      </c>
      <c r="E77" s="456" t="str">
        <f t="shared" si="2"/>
        <v>GEO ENG ENV SCHP</v>
      </c>
      <c r="F77" s="441">
        <v>63256.98</v>
      </c>
      <c r="G77" s="450">
        <v>0</v>
      </c>
      <c r="H77" s="450">
        <v>-1886.19</v>
      </c>
      <c r="I77" s="450">
        <v>9534.5</v>
      </c>
      <c r="J77" s="450">
        <v>0</v>
      </c>
      <c r="K77" s="450">
        <v>0</v>
      </c>
      <c r="L77" s="450">
        <f t="shared" si="3"/>
        <v>70905.29000000001</v>
      </c>
    </row>
    <row r="78" spans="1:12" ht="12.75" outlineLevel="1">
      <c r="A78" s="395" t="s">
        <v>1201</v>
      </c>
      <c r="C78" s="455"/>
      <c r="D78" s="433" t="s">
        <v>1202</v>
      </c>
      <c r="E78" s="456" t="str">
        <f t="shared" si="2"/>
        <v>GJELSTEEN END SCHP</v>
      </c>
      <c r="F78" s="441">
        <v>91689.38</v>
      </c>
      <c r="G78" s="450">
        <v>0</v>
      </c>
      <c r="H78" s="450">
        <v>-2733.98</v>
      </c>
      <c r="I78" s="450">
        <v>13820.06</v>
      </c>
      <c r="J78" s="450">
        <v>0</v>
      </c>
      <c r="K78" s="450">
        <v>0</v>
      </c>
      <c r="L78" s="450">
        <f t="shared" si="3"/>
        <v>102775.46</v>
      </c>
    </row>
    <row r="79" spans="1:12" ht="12.75" outlineLevel="1">
      <c r="A79" s="395" t="s">
        <v>1203</v>
      </c>
      <c r="C79" s="455"/>
      <c r="D79" s="433" t="s">
        <v>1204</v>
      </c>
      <c r="E79" s="456" t="str">
        <f t="shared" si="2"/>
        <v>GIESEKE MEM SCHP</v>
      </c>
      <c r="F79" s="441">
        <v>11080.18</v>
      </c>
      <c r="G79" s="450">
        <v>0</v>
      </c>
      <c r="H79" s="450">
        <v>-330.38</v>
      </c>
      <c r="I79" s="450">
        <v>1670.08</v>
      </c>
      <c r="J79" s="450">
        <v>0</v>
      </c>
      <c r="K79" s="450">
        <v>0</v>
      </c>
      <c r="L79" s="450">
        <f t="shared" si="3"/>
        <v>12419.880000000001</v>
      </c>
    </row>
    <row r="80" spans="1:12" ht="12.75" outlineLevel="1">
      <c r="A80" s="395" t="s">
        <v>1205</v>
      </c>
      <c r="C80" s="455"/>
      <c r="D80" s="433" t="s">
        <v>1206</v>
      </c>
      <c r="E80" s="456" t="str">
        <f t="shared" si="2"/>
        <v>A F GOLICK AWD METAL</v>
      </c>
      <c r="F80" s="441">
        <v>23728.87</v>
      </c>
      <c r="G80" s="450">
        <v>0</v>
      </c>
      <c r="H80" s="450">
        <v>-707.54</v>
      </c>
      <c r="I80" s="450">
        <v>3576.53</v>
      </c>
      <c r="J80" s="450">
        <v>0</v>
      </c>
      <c r="K80" s="450">
        <v>0</v>
      </c>
      <c r="L80" s="450">
        <f t="shared" si="3"/>
        <v>26597.859999999997</v>
      </c>
    </row>
    <row r="81" spans="1:12" ht="12.75" outlineLevel="1">
      <c r="A81" s="395" t="s">
        <v>1207</v>
      </c>
      <c r="C81" s="455"/>
      <c r="D81" s="433" t="s">
        <v>1208</v>
      </c>
      <c r="E81" s="456" t="str">
        <f t="shared" si="2"/>
        <v>GRAHAM SCHOLARSHIP</v>
      </c>
      <c r="F81" s="441">
        <v>611288.37</v>
      </c>
      <c r="G81" s="450">
        <v>0</v>
      </c>
      <c r="H81" s="450">
        <v>-18227.24</v>
      </c>
      <c r="I81" s="450">
        <v>92137.46</v>
      </c>
      <c r="J81" s="450">
        <v>0</v>
      </c>
      <c r="K81" s="450">
        <v>0</v>
      </c>
      <c r="L81" s="450">
        <f t="shared" si="3"/>
        <v>685198.59</v>
      </c>
    </row>
    <row r="82" spans="1:12" ht="12.75" outlineLevel="1">
      <c r="A82" s="395" t="s">
        <v>1209</v>
      </c>
      <c r="C82" s="455"/>
      <c r="D82" s="433" t="s">
        <v>1210</v>
      </c>
      <c r="E82" s="456" t="str">
        <f t="shared" si="2"/>
        <v>H H GRICE SCH FUND</v>
      </c>
      <c r="F82" s="441">
        <v>192707.3</v>
      </c>
      <c r="G82" s="450">
        <v>1925</v>
      </c>
      <c r="H82" s="450">
        <v>-5620.96</v>
      </c>
      <c r="I82" s="450">
        <v>29070.94</v>
      </c>
      <c r="J82" s="450">
        <v>0</v>
      </c>
      <c r="K82" s="450">
        <v>0</v>
      </c>
      <c r="L82" s="450">
        <f t="shared" si="3"/>
        <v>218082.28</v>
      </c>
    </row>
    <row r="83" spans="1:12" ht="12.75" outlineLevel="1">
      <c r="A83" s="395" t="s">
        <v>1211</v>
      </c>
      <c r="C83" s="455"/>
      <c r="D83" s="433" t="s">
        <v>1212</v>
      </c>
      <c r="E83" s="456" t="str">
        <f t="shared" si="2"/>
        <v>GRIESENAUER SCHP</v>
      </c>
      <c r="F83" s="441">
        <v>15584.5</v>
      </c>
      <c r="G83" s="450">
        <v>0</v>
      </c>
      <c r="H83" s="450">
        <v>186.89</v>
      </c>
      <c r="I83" s="450">
        <v>22855.89</v>
      </c>
      <c r="J83" s="450">
        <v>0</v>
      </c>
      <c r="K83" s="450">
        <v>0</v>
      </c>
      <c r="L83" s="450">
        <f t="shared" si="3"/>
        <v>38627.28</v>
      </c>
    </row>
    <row r="84" spans="1:12" ht="12.75" outlineLevel="1">
      <c r="A84" s="395" t="s">
        <v>1213</v>
      </c>
      <c r="C84" s="455"/>
      <c r="D84" s="433" t="s">
        <v>1214</v>
      </c>
      <c r="E84" s="456" t="str">
        <f t="shared" si="2"/>
        <v>GRIMM EE SCHP</v>
      </c>
      <c r="F84" s="441">
        <v>296249.22</v>
      </c>
      <c r="G84" s="450">
        <v>0</v>
      </c>
      <c r="H84" s="450">
        <v>-8831.31</v>
      </c>
      <c r="I84" s="450">
        <v>44650.08</v>
      </c>
      <c r="J84" s="450">
        <v>0</v>
      </c>
      <c r="K84" s="450">
        <v>0</v>
      </c>
      <c r="L84" s="450">
        <f t="shared" si="3"/>
        <v>332067.99</v>
      </c>
    </row>
    <row r="85" spans="1:12" ht="12.75" outlineLevel="1">
      <c r="A85" s="395" t="s">
        <v>1215</v>
      </c>
      <c r="C85" s="455"/>
      <c r="D85" s="433" t="s">
        <v>1216</v>
      </c>
      <c r="E85" s="456" t="str">
        <f t="shared" si="2"/>
        <v>C J GRIMM SCHP</v>
      </c>
      <c r="F85" s="441">
        <v>455923.09</v>
      </c>
      <c r="G85" s="450">
        <v>0</v>
      </c>
      <c r="H85" s="450">
        <v>-13593.48</v>
      </c>
      <c r="I85" s="450">
        <v>68719.32</v>
      </c>
      <c r="J85" s="450">
        <v>0</v>
      </c>
      <c r="K85" s="450">
        <v>0</v>
      </c>
      <c r="L85" s="450">
        <f t="shared" si="3"/>
        <v>511048.93000000005</v>
      </c>
    </row>
    <row r="86" spans="1:12" ht="12.75" outlineLevel="1">
      <c r="A86" s="395" t="s">
        <v>1217</v>
      </c>
      <c r="C86" s="455"/>
      <c r="D86" s="433" t="s">
        <v>1218</v>
      </c>
      <c r="E86" s="456" t="str">
        <f t="shared" si="2"/>
        <v>GUNTHER END SCHOL</v>
      </c>
      <c r="F86" s="441">
        <v>14103.41</v>
      </c>
      <c r="G86" s="450">
        <v>0</v>
      </c>
      <c r="H86" s="450">
        <v>-420.53</v>
      </c>
      <c r="I86" s="450">
        <v>2125.77</v>
      </c>
      <c r="J86" s="450">
        <v>0</v>
      </c>
      <c r="K86" s="450">
        <v>0</v>
      </c>
      <c r="L86" s="450">
        <f t="shared" si="3"/>
        <v>15808.65</v>
      </c>
    </row>
    <row r="87" spans="1:12" ht="12.75" outlineLevel="1">
      <c r="A87" s="395" t="s">
        <v>1219</v>
      </c>
      <c r="C87" s="455"/>
      <c r="D87" s="433" t="s">
        <v>1220</v>
      </c>
      <c r="E87" s="456" t="str">
        <f t="shared" si="2"/>
        <v>HAMBLEN COMPUTER SCH</v>
      </c>
      <c r="F87" s="441">
        <v>19515.15</v>
      </c>
      <c r="G87" s="450">
        <v>50</v>
      </c>
      <c r="H87" s="450">
        <v>-568.97</v>
      </c>
      <c r="I87" s="450">
        <v>2943.42</v>
      </c>
      <c r="J87" s="450">
        <v>0</v>
      </c>
      <c r="K87" s="450">
        <v>0</v>
      </c>
      <c r="L87" s="450">
        <f t="shared" si="3"/>
        <v>21939.6</v>
      </c>
    </row>
    <row r="88" spans="1:12" ht="12.75" outlineLevel="1">
      <c r="A88" s="395" t="s">
        <v>1221</v>
      </c>
      <c r="C88" s="455"/>
      <c r="D88" s="433" t="s">
        <v>1222</v>
      </c>
      <c r="E88" s="456" t="str">
        <f t="shared" si="2"/>
        <v>HEILBRUNN SCHP</v>
      </c>
      <c r="F88" s="441">
        <v>77379.64</v>
      </c>
      <c r="G88" s="450">
        <v>0</v>
      </c>
      <c r="H88" s="450">
        <v>-2307.27</v>
      </c>
      <c r="I88" s="450">
        <v>11663.19</v>
      </c>
      <c r="J88" s="450">
        <v>0</v>
      </c>
      <c r="K88" s="450">
        <v>0</v>
      </c>
      <c r="L88" s="450">
        <f t="shared" si="3"/>
        <v>86735.56</v>
      </c>
    </row>
    <row r="89" spans="1:12" ht="12.75" outlineLevel="1">
      <c r="A89" s="395" t="s">
        <v>1223</v>
      </c>
      <c r="C89" s="455"/>
      <c r="D89" s="433" t="s">
        <v>1224</v>
      </c>
      <c r="E89" s="456" t="str">
        <f t="shared" si="2"/>
        <v>ALBERT HAPPY SCHP</v>
      </c>
      <c r="F89" s="441">
        <v>113974.73</v>
      </c>
      <c r="G89" s="450">
        <v>0</v>
      </c>
      <c r="H89" s="450">
        <v>-3398.47</v>
      </c>
      <c r="I89" s="450">
        <v>17179.03</v>
      </c>
      <c r="J89" s="450">
        <v>0</v>
      </c>
      <c r="K89" s="450">
        <v>0</v>
      </c>
      <c r="L89" s="450">
        <f t="shared" si="3"/>
        <v>127755.29</v>
      </c>
    </row>
    <row r="90" spans="1:12" ht="12.75" outlineLevel="1">
      <c r="A90" s="395" t="s">
        <v>1225</v>
      </c>
      <c r="C90" s="455"/>
      <c r="D90" s="433" t="s">
        <v>1226</v>
      </c>
      <c r="E90" s="456" t="str">
        <f t="shared" si="2"/>
        <v>HENDERSON ENDOWED</v>
      </c>
      <c r="F90" s="441">
        <v>79308.44</v>
      </c>
      <c r="G90" s="450">
        <v>0</v>
      </c>
      <c r="H90" s="450">
        <v>-2364.79</v>
      </c>
      <c r="I90" s="450">
        <v>11953.88</v>
      </c>
      <c r="J90" s="450">
        <v>0</v>
      </c>
      <c r="K90" s="450">
        <v>0</v>
      </c>
      <c r="L90" s="450">
        <f t="shared" si="3"/>
        <v>88897.53000000001</v>
      </c>
    </row>
    <row r="91" spans="1:12" ht="12.75" outlineLevel="1">
      <c r="A91" s="395" t="s">
        <v>1227</v>
      </c>
      <c r="C91" s="455"/>
      <c r="D91" s="433" t="s">
        <v>1228</v>
      </c>
      <c r="E91" s="456" t="str">
        <f t="shared" si="2"/>
        <v>HELWIG ENDOWED SCHP</v>
      </c>
      <c r="F91" s="441">
        <v>24445.69</v>
      </c>
      <c r="G91" s="450">
        <v>0</v>
      </c>
      <c r="H91" s="450">
        <v>-728.91</v>
      </c>
      <c r="I91" s="450">
        <v>3684.62</v>
      </c>
      <c r="J91" s="450">
        <v>0</v>
      </c>
      <c r="K91" s="450">
        <v>0</v>
      </c>
      <c r="L91" s="450">
        <f t="shared" si="3"/>
        <v>27401.399999999998</v>
      </c>
    </row>
    <row r="92" spans="1:12" ht="12.75" outlineLevel="1">
      <c r="A92" s="395" t="s">
        <v>1229</v>
      </c>
      <c r="C92" s="455"/>
      <c r="D92" s="433" t="s">
        <v>1230</v>
      </c>
      <c r="E92" s="456" t="str">
        <f t="shared" si="2"/>
        <v>HERRMAN PERF ARTS AW</v>
      </c>
      <c r="F92" s="441">
        <v>16081.34</v>
      </c>
      <c r="G92" s="450">
        <v>0</v>
      </c>
      <c r="H92" s="450">
        <v>-479.51</v>
      </c>
      <c r="I92" s="450">
        <v>2423.92</v>
      </c>
      <c r="J92" s="450">
        <v>0</v>
      </c>
      <c r="K92" s="450">
        <v>0</v>
      </c>
      <c r="L92" s="450">
        <f t="shared" si="3"/>
        <v>18025.75</v>
      </c>
    </row>
    <row r="93" spans="1:12" ht="12.75" outlineLevel="1">
      <c r="A93" s="395" t="s">
        <v>1231</v>
      </c>
      <c r="C93" s="455"/>
      <c r="D93" s="433" t="s">
        <v>1232</v>
      </c>
      <c r="E93" s="456" t="str">
        <f t="shared" si="2"/>
        <v>HEIM SCHP FUND</v>
      </c>
      <c r="F93" s="441">
        <v>33391.28</v>
      </c>
      <c r="G93" s="450">
        <v>0</v>
      </c>
      <c r="H93" s="450">
        <v>478.11</v>
      </c>
      <c r="I93" s="450">
        <v>-1847.24</v>
      </c>
      <c r="J93" s="450">
        <v>0</v>
      </c>
      <c r="K93" s="450">
        <v>0</v>
      </c>
      <c r="L93" s="450">
        <f t="shared" si="3"/>
        <v>32022.149999999998</v>
      </c>
    </row>
    <row r="94" spans="1:12" ht="12.75" outlineLevel="1">
      <c r="A94" s="395" t="s">
        <v>1233</v>
      </c>
      <c r="C94" s="455"/>
      <c r="D94" s="433" t="s">
        <v>1234</v>
      </c>
      <c r="E94" s="456" t="str">
        <f t="shared" si="2"/>
        <v>PAT HELL END SCHP</v>
      </c>
      <c r="F94" s="441">
        <v>21341.7</v>
      </c>
      <c r="G94" s="450">
        <v>0</v>
      </c>
      <c r="H94" s="450">
        <v>-603.36</v>
      </c>
      <c r="I94" s="450">
        <v>3233.98</v>
      </c>
      <c r="J94" s="450">
        <v>0</v>
      </c>
      <c r="K94" s="450">
        <v>0</v>
      </c>
      <c r="L94" s="450">
        <f t="shared" si="3"/>
        <v>23972.32</v>
      </c>
    </row>
    <row r="95" spans="1:12" ht="12.75" outlineLevel="1">
      <c r="A95" s="395" t="s">
        <v>1235</v>
      </c>
      <c r="C95" s="455"/>
      <c r="D95" s="433" t="s">
        <v>1236</v>
      </c>
      <c r="E95" s="456" t="str">
        <f t="shared" si="2"/>
        <v>HIGHFILL ENDOW SCHP</v>
      </c>
      <c r="F95" s="441">
        <v>45733.5</v>
      </c>
      <c r="G95" s="450">
        <v>0</v>
      </c>
      <c r="H95" s="450">
        <v>947.66</v>
      </c>
      <c r="I95" s="450">
        <v>7016.08</v>
      </c>
      <c r="J95" s="450">
        <v>0</v>
      </c>
      <c r="K95" s="450">
        <v>0</v>
      </c>
      <c r="L95" s="450">
        <f t="shared" si="3"/>
        <v>53697.240000000005</v>
      </c>
    </row>
    <row r="96" spans="1:12" ht="12.75" outlineLevel="1">
      <c r="A96" s="395" t="s">
        <v>1237</v>
      </c>
      <c r="C96" s="455"/>
      <c r="D96" s="433" t="s">
        <v>1238</v>
      </c>
      <c r="E96" s="456" t="str">
        <f t="shared" si="2"/>
        <v>HOPPOCK ATHLETIC SCH</v>
      </c>
      <c r="F96" s="441">
        <v>97319.64</v>
      </c>
      <c r="G96" s="450">
        <v>0</v>
      </c>
      <c r="H96" s="450">
        <v>-2948.26</v>
      </c>
      <c r="I96" s="450">
        <v>14359.98</v>
      </c>
      <c r="J96" s="450">
        <v>0</v>
      </c>
      <c r="K96" s="450">
        <v>-4793.66</v>
      </c>
      <c r="L96" s="450">
        <f t="shared" si="3"/>
        <v>103937.7</v>
      </c>
    </row>
    <row r="97" spans="1:12" ht="12.75" outlineLevel="1">
      <c r="A97" s="395" t="s">
        <v>1239</v>
      </c>
      <c r="C97" s="455"/>
      <c r="D97" s="433" t="s">
        <v>1240</v>
      </c>
      <c r="E97" s="456" t="str">
        <f t="shared" si="2"/>
        <v>HORNER &amp; SHIFRIN SCH</v>
      </c>
      <c r="F97" s="441">
        <v>23960.87</v>
      </c>
      <c r="G97" s="450">
        <v>0</v>
      </c>
      <c r="H97" s="450">
        <v>-714.45</v>
      </c>
      <c r="I97" s="450">
        <v>3611.56</v>
      </c>
      <c r="J97" s="450">
        <v>0</v>
      </c>
      <c r="K97" s="450">
        <v>0</v>
      </c>
      <c r="L97" s="450">
        <f t="shared" si="3"/>
        <v>26857.98</v>
      </c>
    </row>
    <row r="98" spans="1:12" ht="12.75" outlineLevel="1">
      <c r="A98" s="395" t="s">
        <v>1241</v>
      </c>
      <c r="C98" s="455"/>
      <c r="D98" s="433" t="s">
        <v>1242</v>
      </c>
      <c r="E98" s="456" t="str">
        <f t="shared" si="2"/>
        <v>HOWERTON SCHP</v>
      </c>
      <c r="F98" s="441">
        <v>36983.18</v>
      </c>
      <c r="G98" s="450">
        <v>1320</v>
      </c>
      <c r="H98" s="450">
        <v>-1096.04</v>
      </c>
      <c r="I98" s="450">
        <v>5587.93</v>
      </c>
      <c r="J98" s="450">
        <v>0</v>
      </c>
      <c r="K98" s="450">
        <v>0</v>
      </c>
      <c r="L98" s="450">
        <f t="shared" si="3"/>
        <v>42795.07</v>
      </c>
    </row>
    <row r="99" spans="1:12" ht="12.75" outlineLevel="1">
      <c r="A99" s="395" t="s">
        <v>1243</v>
      </c>
      <c r="C99" s="455"/>
      <c r="D99" s="433" t="s">
        <v>1244</v>
      </c>
      <c r="E99" s="456" t="str">
        <f t="shared" si="2"/>
        <v>JENKS ENDOWED SCHP</v>
      </c>
      <c r="F99" s="441">
        <v>33268.42</v>
      </c>
      <c r="G99" s="450">
        <v>125</v>
      </c>
      <c r="H99" s="450">
        <v>-990.73</v>
      </c>
      <c r="I99" s="450">
        <v>5013.78</v>
      </c>
      <c r="J99" s="450">
        <v>0</v>
      </c>
      <c r="K99" s="450">
        <v>0</v>
      </c>
      <c r="L99" s="450">
        <f t="shared" si="3"/>
        <v>37416.47</v>
      </c>
    </row>
    <row r="100" spans="1:13" ht="12.75" outlineLevel="1">
      <c r="A100" s="395" t="s">
        <v>1245</v>
      </c>
      <c r="C100" s="455"/>
      <c r="D100" s="433" t="s">
        <v>1246</v>
      </c>
      <c r="E100" s="421" t="str">
        <f t="shared" si="2"/>
        <v>ROBERT JENKINS SCHP</v>
      </c>
      <c r="F100" s="449">
        <v>18932.14</v>
      </c>
      <c r="G100" s="450">
        <v>0</v>
      </c>
      <c r="H100" s="450">
        <v>-564.51</v>
      </c>
      <c r="I100" s="450">
        <v>2853.56</v>
      </c>
      <c r="J100" s="450">
        <v>0</v>
      </c>
      <c r="K100" s="450">
        <v>0</v>
      </c>
      <c r="L100" s="450">
        <f t="shared" si="3"/>
        <v>21221.190000000002</v>
      </c>
      <c r="M100" s="455"/>
    </row>
    <row r="101" spans="1:13" ht="12.75" outlineLevel="1">
      <c r="A101" s="395" t="s">
        <v>1247</v>
      </c>
      <c r="D101" s="433" t="s">
        <v>1248</v>
      </c>
      <c r="E101" s="421" t="str">
        <f t="shared" si="2"/>
        <v>JOHNS ENDOWED SCHP</v>
      </c>
      <c r="F101" s="449">
        <v>446116.53</v>
      </c>
      <c r="G101" s="450">
        <v>0</v>
      </c>
      <c r="H101" s="450">
        <v>-13302.21</v>
      </c>
      <c r="I101" s="450">
        <v>67241.65</v>
      </c>
      <c r="J101" s="450">
        <v>0</v>
      </c>
      <c r="K101" s="450">
        <v>0</v>
      </c>
      <c r="L101" s="450">
        <f t="shared" si="3"/>
        <v>500055.97</v>
      </c>
      <c r="M101" s="433"/>
    </row>
    <row r="102" spans="1:14" s="495" customFormat="1" ht="12.75" outlineLevel="1">
      <c r="A102" s="495" t="s">
        <v>1249</v>
      </c>
      <c r="B102" s="496"/>
      <c r="C102" s="455"/>
      <c r="D102" s="455" t="s">
        <v>1250</v>
      </c>
      <c r="E102" s="497" t="str">
        <f t="shared" si="2"/>
        <v>JAMES JOHNSON SCHP</v>
      </c>
      <c r="F102" s="498">
        <v>74633.87</v>
      </c>
      <c r="G102" s="499">
        <v>1350</v>
      </c>
      <c r="H102" s="499">
        <v>-2068.24</v>
      </c>
      <c r="I102" s="499">
        <v>11378.23</v>
      </c>
      <c r="J102" s="499">
        <v>0</v>
      </c>
      <c r="K102" s="499">
        <v>0</v>
      </c>
      <c r="L102" s="499">
        <f t="shared" si="3"/>
        <v>85293.85999999999</v>
      </c>
      <c r="M102" s="457"/>
      <c r="N102" s="500"/>
    </row>
    <row r="103" spans="1:12" ht="12.75" outlineLevel="1">
      <c r="A103" s="395" t="s">
        <v>1251</v>
      </c>
      <c r="C103" s="455"/>
      <c r="D103" s="433" t="s">
        <v>1252</v>
      </c>
      <c r="E103" s="456" t="str">
        <f t="shared" si="2"/>
        <v>KRUEGER ATH SCHP</v>
      </c>
      <c r="F103" s="441">
        <v>15799.22</v>
      </c>
      <c r="G103" s="450">
        <v>250</v>
      </c>
      <c r="H103" s="450">
        <v>-463.4</v>
      </c>
      <c r="I103" s="450">
        <v>2404.5</v>
      </c>
      <c r="J103" s="450">
        <v>0</v>
      </c>
      <c r="K103" s="450">
        <v>0</v>
      </c>
      <c r="L103" s="450">
        <f t="shared" si="3"/>
        <v>17990.32</v>
      </c>
    </row>
    <row r="104" spans="1:12" ht="12.75" outlineLevel="1">
      <c r="A104" s="395" t="s">
        <v>1253</v>
      </c>
      <c r="C104" s="455"/>
      <c r="D104" s="433" t="s">
        <v>1254</v>
      </c>
      <c r="E104" s="456" t="str">
        <f t="shared" si="2"/>
        <v>JAMIESON ENDOW SCHP</v>
      </c>
      <c r="F104" s="441">
        <v>98554.9</v>
      </c>
      <c r="G104" s="450">
        <v>0</v>
      </c>
      <c r="H104" s="450">
        <v>-2938.69</v>
      </c>
      <c r="I104" s="450">
        <v>14854.85</v>
      </c>
      <c r="J104" s="450">
        <v>0</v>
      </c>
      <c r="K104" s="450">
        <v>0</v>
      </c>
      <c r="L104" s="450">
        <f t="shared" si="3"/>
        <v>110471.06</v>
      </c>
    </row>
    <row r="105" spans="1:12" ht="12.75" outlineLevel="1">
      <c r="A105" s="395" t="s">
        <v>1255</v>
      </c>
      <c r="C105" s="455"/>
      <c r="D105" s="433" t="s">
        <v>1256</v>
      </c>
      <c r="E105" s="456" t="str">
        <f t="shared" si="2"/>
        <v>JONES ENDOWED PROF</v>
      </c>
      <c r="F105" s="441">
        <v>825936.96</v>
      </c>
      <c r="G105" s="450">
        <v>0</v>
      </c>
      <c r="H105" s="450">
        <v>-24627.61</v>
      </c>
      <c r="I105" s="450">
        <v>124490.69</v>
      </c>
      <c r="J105" s="450">
        <v>0</v>
      </c>
      <c r="K105" s="450">
        <v>0</v>
      </c>
      <c r="L105" s="450">
        <f t="shared" si="3"/>
        <v>925800.04</v>
      </c>
    </row>
    <row r="106" spans="1:12" ht="12.75" outlineLevel="1">
      <c r="A106" s="395" t="s">
        <v>1257</v>
      </c>
      <c r="C106" s="455"/>
      <c r="D106" s="433" t="s">
        <v>1258</v>
      </c>
      <c r="E106" s="456" t="str">
        <f t="shared" si="2"/>
        <v>KAISER SCH-MECH ENGR</v>
      </c>
      <c r="F106" s="441">
        <v>602147.53</v>
      </c>
      <c r="G106" s="450">
        <v>0</v>
      </c>
      <c r="H106" s="450">
        <v>-17954.68</v>
      </c>
      <c r="I106" s="450">
        <v>90759.65</v>
      </c>
      <c r="J106" s="450">
        <v>0</v>
      </c>
      <c r="K106" s="450">
        <v>0</v>
      </c>
      <c r="L106" s="450">
        <f t="shared" si="3"/>
        <v>674952.5</v>
      </c>
    </row>
    <row r="107" spans="1:12" ht="12.75" outlineLevel="1">
      <c r="A107" s="395" t="s">
        <v>1259</v>
      </c>
      <c r="C107" s="455"/>
      <c r="D107" s="433" t="s">
        <v>1260</v>
      </c>
      <c r="E107" s="456" t="str">
        <f t="shared" si="2"/>
        <v>HIGHFILL SCHP</v>
      </c>
      <c r="F107" s="441">
        <v>10543.95</v>
      </c>
      <c r="G107" s="450">
        <v>0</v>
      </c>
      <c r="H107" s="450">
        <v>-314.42</v>
      </c>
      <c r="I107" s="450">
        <v>1589.26</v>
      </c>
      <c r="J107" s="450">
        <v>0</v>
      </c>
      <c r="K107" s="450">
        <v>0</v>
      </c>
      <c r="L107" s="450">
        <f t="shared" si="3"/>
        <v>11818.79</v>
      </c>
    </row>
    <row r="108" spans="1:13" ht="12.75" outlineLevel="1">
      <c r="A108" s="395" t="s">
        <v>1261</v>
      </c>
      <c r="C108" s="455"/>
      <c r="D108" s="433" t="s">
        <v>1262</v>
      </c>
      <c r="E108" s="421" t="str">
        <f t="shared" si="2"/>
        <v>M J KELLY SCHP</v>
      </c>
      <c r="F108" s="449">
        <v>77027.41</v>
      </c>
      <c r="G108" s="450">
        <v>0</v>
      </c>
      <c r="H108" s="450">
        <v>-2296.79</v>
      </c>
      <c r="I108" s="450">
        <v>11610.1</v>
      </c>
      <c r="J108" s="450">
        <v>0</v>
      </c>
      <c r="K108" s="450">
        <v>0</v>
      </c>
      <c r="L108" s="450">
        <f t="shared" si="3"/>
        <v>86340.72000000002</v>
      </c>
      <c r="M108" s="455"/>
    </row>
    <row r="109" spans="1:14" s="495" customFormat="1" ht="12.75" outlineLevel="1">
      <c r="A109" s="495" t="s">
        <v>1263</v>
      </c>
      <c r="B109" s="496"/>
      <c r="C109" s="455"/>
      <c r="D109" s="455" t="s">
        <v>1264</v>
      </c>
      <c r="E109" s="497" t="str">
        <f t="shared" si="2"/>
        <v>KITCHEN ATHLETIC SHP</v>
      </c>
      <c r="F109" s="498">
        <v>117254</v>
      </c>
      <c r="G109" s="499">
        <v>0</v>
      </c>
      <c r="H109" s="499">
        <v>-3496.27</v>
      </c>
      <c r="I109" s="499">
        <v>17673.32</v>
      </c>
      <c r="J109" s="499">
        <v>0</v>
      </c>
      <c r="K109" s="499">
        <v>0</v>
      </c>
      <c r="L109" s="499">
        <f t="shared" si="3"/>
        <v>131431.05</v>
      </c>
      <c r="M109" s="457"/>
      <c r="N109" s="500"/>
    </row>
    <row r="110" spans="1:12" ht="12.75" outlineLevel="1">
      <c r="A110" s="395" t="s">
        <v>1265</v>
      </c>
      <c r="C110" s="455"/>
      <c r="D110" s="433" t="s">
        <v>1266</v>
      </c>
      <c r="E110" s="456" t="str">
        <f t="shared" si="2"/>
        <v>MARTIN LUTHER KING</v>
      </c>
      <c r="F110" s="441">
        <v>196310.4</v>
      </c>
      <c r="G110" s="450">
        <v>100</v>
      </c>
      <c r="H110" s="450">
        <v>-5847.73</v>
      </c>
      <c r="I110" s="450">
        <v>29597.32</v>
      </c>
      <c r="J110" s="450">
        <v>0</v>
      </c>
      <c r="K110" s="450">
        <v>0</v>
      </c>
      <c r="L110" s="450">
        <f t="shared" si="3"/>
        <v>220159.99</v>
      </c>
    </row>
    <row r="111" spans="1:12" ht="12.75" outlineLevel="1">
      <c r="A111" s="395" t="s">
        <v>1267</v>
      </c>
      <c r="C111" s="455"/>
      <c r="D111" s="433" t="s">
        <v>1268</v>
      </c>
      <c r="E111" s="456" t="str">
        <f t="shared" si="2"/>
        <v>KRAUS MEM SCHP</v>
      </c>
      <c r="F111" s="441">
        <v>42967.76</v>
      </c>
      <c r="G111" s="450">
        <v>0</v>
      </c>
      <c r="H111" s="450">
        <v>-1281.2</v>
      </c>
      <c r="I111" s="450">
        <v>6476.39</v>
      </c>
      <c r="J111" s="450">
        <v>0</v>
      </c>
      <c r="K111" s="450">
        <v>0</v>
      </c>
      <c r="L111" s="450">
        <f t="shared" si="3"/>
        <v>48162.950000000004</v>
      </c>
    </row>
    <row r="112" spans="1:12" ht="12.75" outlineLevel="1">
      <c r="A112" s="395" t="s">
        <v>1269</v>
      </c>
      <c r="C112" s="455"/>
      <c r="D112" s="433" t="s">
        <v>1270</v>
      </c>
      <c r="E112" s="456" t="str">
        <f t="shared" si="2"/>
        <v>HARLEY LADD SCHP</v>
      </c>
      <c r="F112" s="441">
        <v>32938.5</v>
      </c>
      <c r="G112" s="450">
        <v>275</v>
      </c>
      <c r="H112" s="450">
        <v>-973.89</v>
      </c>
      <c r="I112" s="450">
        <v>4985.11</v>
      </c>
      <c r="J112" s="450">
        <v>0</v>
      </c>
      <c r="K112" s="450">
        <v>0</v>
      </c>
      <c r="L112" s="450">
        <f t="shared" si="3"/>
        <v>37224.72</v>
      </c>
    </row>
    <row r="113" spans="1:12" ht="12.75" outlineLevel="1">
      <c r="A113" s="395" t="s">
        <v>1271</v>
      </c>
      <c r="C113" s="455"/>
      <c r="D113" s="433" t="s">
        <v>1272</v>
      </c>
      <c r="E113" s="456" t="str">
        <f t="shared" si="2"/>
        <v>LANG FAMILY SCHP</v>
      </c>
      <c r="F113" s="441">
        <v>91354.95</v>
      </c>
      <c r="G113" s="450">
        <v>750</v>
      </c>
      <c r="H113" s="450">
        <v>-2667.16</v>
      </c>
      <c r="I113" s="450">
        <v>13846.2</v>
      </c>
      <c r="J113" s="450">
        <v>0</v>
      </c>
      <c r="K113" s="450">
        <v>0</v>
      </c>
      <c r="L113" s="450">
        <f t="shared" si="3"/>
        <v>103283.98999999999</v>
      </c>
    </row>
    <row r="114" spans="1:12" ht="12.75" outlineLevel="1">
      <c r="A114" s="395" t="s">
        <v>1273</v>
      </c>
      <c r="C114" s="455"/>
      <c r="D114" s="433" t="s">
        <v>1274</v>
      </c>
      <c r="E114" s="456" t="str">
        <f t="shared" si="2"/>
        <v>LARKIN MEMORIAL SCH</v>
      </c>
      <c r="F114" s="441">
        <v>20208.95</v>
      </c>
      <c r="G114" s="450">
        <v>0</v>
      </c>
      <c r="H114" s="450">
        <v>-602.58</v>
      </c>
      <c r="I114" s="450">
        <v>3046.05</v>
      </c>
      <c r="J114" s="450">
        <v>0</v>
      </c>
      <c r="K114" s="450">
        <v>0</v>
      </c>
      <c r="L114" s="450">
        <f t="shared" si="3"/>
        <v>22652.42</v>
      </c>
    </row>
    <row r="115" spans="1:12" ht="12.75" outlineLevel="1">
      <c r="A115" s="395" t="s">
        <v>1275</v>
      </c>
      <c r="C115" s="455"/>
      <c r="D115" s="433" t="s">
        <v>1276</v>
      </c>
      <c r="E115" s="456" t="str">
        <f t="shared" si="2"/>
        <v>LASKO ENDOWED SCHP</v>
      </c>
      <c r="F115" s="441">
        <v>37130.91</v>
      </c>
      <c r="G115" s="450">
        <v>11159</v>
      </c>
      <c r="H115" s="450">
        <v>-734.47</v>
      </c>
      <c r="I115" s="450">
        <v>6305.52</v>
      </c>
      <c r="J115" s="450">
        <v>0</v>
      </c>
      <c r="K115" s="450">
        <v>0</v>
      </c>
      <c r="L115" s="450">
        <f t="shared" si="3"/>
        <v>53860.96000000001</v>
      </c>
    </row>
    <row r="116" spans="1:12" ht="12.75" outlineLevel="1">
      <c r="A116" s="395" t="s">
        <v>1277</v>
      </c>
      <c r="C116" s="455"/>
      <c r="D116" s="433" t="s">
        <v>1278</v>
      </c>
      <c r="E116" s="456" t="str">
        <f t="shared" si="2"/>
        <v>M B LAYNE SCHP</v>
      </c>
      <c r="F116" s="441">
        <v>22866.45</v>
      </c>
      <c r="G116" s="450">
        <v>0</v>
      </c>
      <c r="H116" s="450">
        <v>-681.83</v>
      </c>
      <c r="I116" s="450">
        <v>3446.6</v>
      </c>
      <c r="J116" s="450">
        <v>0</v>
      </c>
      <c r="K116" s="450">
        <v>0</v>
      </c>
      <c r="L116" s="450">
        <f t="shared" si="3"/>
        <v>25631.219999999998</v>
      </c>
    </row>
    <row r="117" spans="1:12" ht="12.75" outlineLevel="1">
      <c r="A117" s="395" t="s">
        <v>1279</v>
      </c>
      <c r="C117" s="455"/>
      <c r="D117" s="433" t="s">
        <v>1280</v>
      </c>
      <c r="E117" s="456" t="str">
        <f t="shared" si="2"/>
        <v>LEAVER ENDOWED SCHP</v>
      </c>
      <c r="F117" s="441">
        <v>29719.97</v>
      </c>
      <c r="G117" s="450">
        <v>0</v>
      </c>
      <c r="H117" s="450">
        <v>-878.17</v>
      </c>
      <c r="I117" s="450">
        <v>4490.82</v>
      </c>
      <c r="J117" s="450">
        <v>0</v>
      </c>
      <c r="K117" s="450">
        <v>0</v>
      </c>
      <c r="L117" s="450">
        <f t="shared" si="3"/>
        <v>33332.62</v>
      </c>
    </row>
    <row r="118" spans="1:12" ht="12.75" outlineLevel="1">
      <c r="A118" s="395" t="s">
        <v>1281</v>
      </c>
      <c r="C118" s="455"/>
      <c r="D118" s="433" t="s">
        <v>1282</v>
      </c>
      <c r="E118" s="456" t="str">
        <f t="shared" si="2"/>
        <v>LOVETT EE SCHP</v>
      </c>
      <c r="F118" s="441">
        <v>58864.17</v>
      </c>
      <c r="G118" s="450">
        <v>0</v>
      </c>
      <c r="H118" s="450">
        <v>-1755.18</v>
      </c>
      <c r="I118" s="450">
        <v>8872.41</v>
      </c>
      <c r="J118" s="450">
        <v>0</v>
      </c>
      <c r="K118" s="450">
        <v>0</v>
      </c>
      <c r="L118" s="450">
        <f t="shared" si="3"/>
        <v>65981.4</v>
      </c>
    </row>
    <row r="119" spans="1:12" ht="12.75" outlineLevel="1">
      <c r="A119" s="395" t="s">
        <v>1283</v>
      </c>
      <c r="C119" s="455"/>
      <c r="D119" s="433" t="s">
        <v>1284</v>
      </c>
      <c r="E119" s="456" t="str">
        <f t="shared" si="2"/>
        <v>F &amp; J LYONS END SCHP</v>
      </c>
      <c r="F119" s="441">
        <v>41850.39</v>
      </c>
      <c r="G119" s="450">
        <v>0</v>
      </c>
      <c r="H119" s="450">
        <v>-1247.88</v>
      </c>
      <c r="I119" s="450">
        <v>6307.98</v>
      </c>
      <c r="J119" s="450">
        <v>0</v>
      </c>
      <c r="K119" s="450">
        <v>0</v>
      </c>
      <c r="L119" s="450">
        <f t="shared" si="3"/>
        <v>46910.490000000005</v>
      </c>
    </row>
    <row r="120" spans="1:12" ht="12.75" outlineLevel="1">
      <c r="A120" s="395" t="s">
        <v>1285</v>
      </c>
      <c r="C120" s="455"/>
      <c r="D120" s="433" t="s">
        <v>1286</v>
      </c>
      <c r="E120" s="456" t="str">
        <f t="shared" si="2"/>
        <v>F M MACKLIN MEM FD</v>
      </c>
      <c r="F120" s="441">
        <v>252220.96</v>
      </c>
      <c r="G120" s="450">
        <v>0</v>
      </c>
      <c r="H120" s="450">
        <v>-465.54</v>
      </c>
      <c r="I120" s="450">
        <v>-23234.57</v>
      </c>
      <c r="J120" s="450">
        <v>0</v>
      </c>
      <c r="K120" s="450">
        <v>0</v>
      </c>
      <c r="L120" s="450">
        <f t="shared" si="3"/>
        <v>228520.84999999998</v>
      </c>
    </row>
    <row r="121" spans="1:12" ht="12.75" outlineLevel="1">
      <c r="A121" s="395" t="s">
        <v>1287</v>
      </c>
      <c r="C121" s="455"/>
      <c r="D121" s="433" t="s">
        <v>1288</v>
      </c>
      <c r="E121" s="456" t="str">
        <f t="shared" si="2"/>
        <v>MARCHELLO SCHP</v>
      </c>
      <c r="F121" s="441">
        <v>9766.1</v>
      </c>
      <c r="G121" s="450">
        <v>0</v>
      </c>
      <c r="H121" s="450">
        <v>-291.22</v>
      </c>
      <c r="I121" s="450">
        <v>1472.02</v>
      </c>
      <c r="J121" s="450">
        <v>0</v>
      </c>
      <c r="K121" s="450">
        <v>0</v>
      </c>
      <c r="L121" s="450">
        <f t="shared" si="3"/>
        <v>10946.900000000001</v>
      </c>
    </row>
    <row r="122" spans="1:12" ht="12.75" outlineLevel="1">
      <c r="A122" s="395" t="s">
        <v>1289</v>
      </c>
      <c r="C122" s="455"/>
      <c r="D122" s="433" t="s">
        <v>1290</v>
      </c>
      <c r="E122" s="456" t="str">
        <f t="shared" si="2"/>
        <v>MCNABB END SCHP</v>
      </c>
      <c r="F122" s="441">
        <v>24081.21</v>
      </c>
      <c r="G122" s="450">
        <v>0</v>
      </c>
      <c r="H122" s="450">
        <v>-718.06</v>
      </c>
      <c r="I122" s="450">
        <v>3629.68</v>
      </c>
      <c r="J122" s="450">
        <v>0</v>
      </c>
      <c r="K122" s="450">
        <v>0</v>
      </c>
      <c r="L122" s="450">
        <f t="shared" si="3"/>
        <v>26992.829999999998</v>
      </c>
    </row>
    <row r="123" spans="1:12" ht="12.75" outlineLevel="1">
      <c r="A123" s="395" t="s">
        <v>1291</v>
      </c>
      <c r="C123" s="455"/>
      <c r="D123" s="433" t="s">
        <v>1292</v>
      </c>
      <c r="E123" s="456" t="str">
        <f t="shared" si="2"/>
        <v>MAX MCCRORY SCHP</v>
      </c>
      <c r="F123" s="441">
        <v>74461.31</v>
      </c>
      <c r="G123" s="450">
        <v>0</v>
      </c>
      <c r="H123" s="450">
        <v>-2220.26</v>
      </c>
      <c r="I123" s="450">
        <v>11223.32</v>
      </c>
      <c r="J123" s="450">
        <v>0</v>
      </c>
      <c r="K123" s="450">
        <v>0</v>
      </c>
      <c r="L123" s="450">
        <f t="shared" si="3"/>
        <v>83464.37</v>
      </c>
    </row>
    <row r="124" spans="1:12" ht="12.75" outlineLevel="1">
      <c r="A124" s="395" t="s">
        <v>1293</v>
      </c>
      <c r="C124" s="455"/>
      <c r="D124" s="433" t="s">
        <v>1294</v>
      </c>
      <c r="E124" s="456" t="str">
        <f t="shared" si="2"/>
        <v>HASSELMANN SCHP FD</v>
      </c>
      <c r="F124" s="441">
        <v>3569582.8</v>
      </c>
      <c r="G124" s="450">
        <v>55000</v>
      </c>
      <c r="H124" s="450">
        <v>-98250.62</v>
      </c>
      <c r="I124" s="450">
        <v>554524.53</v>
      </c>
      <c r="J124" s="450">
        <v>31.53</v>
      </c>
      <c r="K124" s="450">
        <v>0</v>
      </c>
      <c r="L124" s="450">
        <f t="shared" si="3"/>
        <v>4080825.18</v>
      </c>
    </row>
    <row r="125" spans="1:12" ht="12.75" outlineLevel="1">
      <c r="A125" s="395" t="s">
        <v>1295</v>
      </c>
      <c r="C125" s="455"/>
      <c r="D125" s="433" t="s">
        <v>1296</v>
      </c>
      <c r="E125" s="456" t="str">
        <f t="shared" si="2"/>
        <v>MCKEE SCHP</v>
      </c>
      <c r="F125" s="441">
        <v>66496.48</v>
      </c>
      <c r="G125" s="450">
        <v>0</v>
      </c>
      <c r="H125" s="450">
        <v>-1982.78</v>
      </c>
      <c r="I125" s="450">
        <v>10022.77</v>
      </c>
      <c r="J125" s="450">
        <v>0</v>
      </c>
      <c r="K125" s="450">
        <v>0</v>
      </c>
      <c r="L125" s="450">
        <f t="shared" si="3"/>
        <v>74536.47</v>
      </c>
    </row>
    <row r="126" spans="1:12" ht="12.75" outlineLevel="1">
      <c r="A126" s="395" t="s">
        <v>1297</v>
      </c>
      <c r="C126" s="455"/>
      <c r="D126" s="433" t="s">
        <v>1298</v>
      </c>
      <c r="E126" s="456" t="str">
        <f t="shared" si="2"/>
        <v>MENTZ SCHP</v>
      </c>
      <c r="F126" s="441">
        <v>235024.05</v>
      </c>
      <c r="G126" s="450">
        <v>0</v>
      </c>
      <c r="H126" s="450">
        <v>-7007.9</v>
      </c>
      <c r="I126" s="450">
        <v>35424.38</v>
      </c>
      <c r="J126" s="450">
        <v>0</v>
      </c>
      <c r="K126" s="450">
        <v>0</v>
      </c>
      <c r="L126" s="450">
        <f t="shared" si="3"/>
        <v>263440.52999999997</v>
      </c>
    </row>
    <row r="127" spans="1:12" ht="12.75" outlineLevel="1">
      <c r="A127" s="395" t="s">
        <v>1299</v>
      </c>
      <c r="C127" s="455"/>
      <c r="D127" s="433" t="s">
        <v>1300</v>
      </c>
      <c r="E127" s="456" t="str">
        <f t="shared" si="2"/>
        <v>METAL ENGR ALUM SCHP</v>
      </c>
      <c r="F127" s="441">
        <v>32876.39</v>
      </c>
      <c r="G127" s="450">
        <v>0</v>
      </c>
      <c r="H127" s="450">
        <v>-980.3</v>
      </c>
      <c r="I127" s="450">
        <v>4955.35</v>
      </c>
      <c r="J127" s="450">
        <v>0</v>
      </c>
      <c r="K127" s="450">
        <v>0</v>
      </c>
      <c r="L127" s="450">
        <f t="shared" si="3"/>
        <v>36851.44</v>
      </c>
    </row>
    <row r="128" spans="1:12" ht="12.75" outlineLevel="1">
      <c r="A128" s="395" t="s">
        <v>1301</v>
      </c>
      <c r="C128" s="455"/>
      <c r="D128" s="433" t="s">
        <v>1302</v>
      </c>
      <c r="E128" s="456" t="str">
        <f t="shared" si="2"/>
        <v>MYERS ENDOWED SCHP</v>
      </c>
      <c r="F128" s="441">
        <v>10484.32</v>
      </c>
      <c r="G128" s="450">
        <v>500</v>
      </c>
      <c r="H128" s="450">
        <v>-266.58</v>
      </c>
      <c r="I128" s="450">
        <v>1691.36</v>
      </c>
      <c r="J128" s="450">
        <v>0</v>
      </c>
      <c r="K128" s="450">
        <v>0</v>
      </c>
      <c r="L128" s="450">
        <f t="shared" si="3"/>
        <v>12409.1</v>
      </c>
    </row>
    <row r="129" spans="1:12" ht="12.75" outlineLevel="1">
      <c r="A129" s="395" t="s">
        <v>1303</v>
      </c>
      <c r="C129" s="455"/>
      <c r="D129" s="433" t="s">
        <v>1304</v>
      </c>
      <c r="E129" s="456" t="str">
        <f t="shared" si="2"/>
        <v>A J MILES MEM SCHP</v>
      </c>
      <c r="F129" s="441">
        <v>54679.11</v>
      </c>
      <c r="G129" s="450">
        <v>0</v>
      </c>
      <c r="H129" s="450">
        <v>-1644.45</v>
      </c>
      <c r="I129" s="450">
        <v>8241.41</v>
      </c>
      <c r="J129" s="450">
        <v>0</v>
      </c>
      <c r="K129" s="450">
        <v>0</v>
      </c>
      <c r="L129" s="450">
        <f t="shared" si="3"/>
        <v>61276.07000000001</v>
      </c>
    </row>
    <row r="130" spans="1:12" ht="12.75" outlineLevel="1">
      <c r="A130" s="395" t="s">
        <v>1305</v>
      </c>
      <c r="C130" s="455"/>
      <c r="D130" s="433" t="s">
        <v>1306</v>
      </c>
      <c r="E130" s="456" t="str">
        <f t="shared" si="2"/>
        <v>B MILLER MEM SCHP</v>
      </c>
      <c r="F130" s="441">
        <v>15670.75</v>
      </c>
      <c r="G130" s="450">
        <v>0</v>
      </c>
      <c r="H130" s="450">
        <v>-64.3</v>
      </c>
      <c r="I130" s="450">
        <v>-858.09</v>
      </c>
      <c r="J130" s="450">
        <v>0</v>
      </c>
      <c r="K130" s="450">
        <v>0</v>
      </c>
      <c r="L130" s="450">
        <f t="shared" si="3"/>
        <v>14748.36</v>
      </c>
    </row>
    <row r="131" spans="1:12" ht="12.75" outlineLevel="1">
      <c r="A131" s="395" t="s">
        <v>1307</v>
      </c>
      <c r="C131" s="455"/>
      <c r="D131" s="433" t="s">
        <v>1308</v>
      </c>
      <c r="E131" s="456" t="str">
        <f t="shared" si="2"/>
        <v>MONSANTO TBP AWARD</v>
      </c>
      <c r="F131" s="441">
        <v>657.68</v>
      </c>
      <c r="G131" s="450">
        <v>0</v>
      </c>
      <c r="H131" s="450">
        <v>-2.7</v>
      </c>
      <c r="I131" s="450">
        <v>-36</v>
      </c>
      <c r="J131" s="450">
        <v>0</v>
      </c>
      <c r="K131" s="450">
        <v>0</v>
      </c>
      <c r="L131" s="450">
        <f t="shared" si="3"/>
        <v>618.9799999999999</v>
      </c>
    </row>
    <row r="132" spans="1:12" ht="12.75" outlineLevel="1">
      <c r="A132" s="395" t="s">
        <v>1309</v>
      </c>
      <c r="C132" s="455"/>
      <c r="D132" s="433" t="s">
        <v>1310</v>
      </c>
      <c r="E132" s="456" t="str">
        <f t="shared" si="2"/>
        <v>MONTGOMERY SCHP</v>
      </c>
      <c r="F132" s="441">
        <v>20244.7</v>
      </c>
      <c r="G132" s="450">
        <v>0</v>
      </c>
      <c r="H132" s="450">
        <v>-377.23</v>
      </c>
      <c r="I132" s="450">
        <v>3157.55</v>
      </c>
      <c r="J132" s="450">
        <v>0</v>
      </c>
      <c r="K132" s="450">
        <v>0</v>
      </c>
      <c r="L132" s="450">
        <f t="shared" si="3"/>
        <v>23025.02</v>
      </c>
    </row>
    <row r="133" spans="1:12" ht="12.75" outlineLevel="1">
      <c r="A133" s="395" t="s">
        <v>1311</v>
      </c>
      <c r="C133" s="455"/>
      <c r="D133" s="433" t="s">
        <v>1312</v>
      </c>
      <c r="E133" s="456" t="str">
        <f t="shared" si="2"/>
        <v>MORGAN SCHP</v>
      </c>
      <c r="F133" s="441">
        <v>25487.9</v>
      </c>
      <c r="G133" s="450">
        <v>0</v>
      </c>
      <c r="H133" s="450">
        <v>-760</v>
      </c>
      <c r="I133" s="450">
        <v>3841.7</v>
      </c>
      <c r="J133" s="450">
        <v>0</v>
      </c>
      <c r="K133" s="450">
        <v>0</v>
      </c>
      <c r="L133" s="450">
        <f t="shared" si="3"/>
        <v>28569.600000000002</v>
      </c>
    </row>
    <row r="134" spans="1:12" ht="12.75" outlineLevel="1">
      <c r="A134" s="395" t="s">
        <v>1313</v>
      </c>
      <c r="C134" s="455"/>
      <c r="D134" s="433" t="s">
        <v>1314</v>
      </c>
      <c r="E134" s="456" t="str">
        <f t="shared" si="2"/>
        <v>MORGAN AND GEOLOGY</v>
      </c>
      <c r="F134" s="441">
        <v>30982.32</v>
      </c>
      <c r="G134" s="450">
        <v>0</v>
      </c>
      <c r="H134" s="450">
        <v>99.56</v>
      </c>
      <c r="I134" s="450">
        <v>-1494.77</v>
      </c>
      <c r="J134" s="450">
        <v>0</v>
      </c>
      <c r="K134" s="450">
        <v>0</v>
      </c>
      <c r="L134" s="450">
        <f t="shared" si="3"/>
        <v>29587.11</v>
      </c>
    </row>
    <row r="135" spans="1:12" ht="12.75" outlineLevel="1">
      <c r="A135" s="395" t="s">
        <v>1315</v>
      </c>
      <c r="C135" s="455"/>
      <c r="D135" s="433" t="s">
        <v>1316</v>
      </c>
      <c r="E135" s="456" t="str">
        <f t="shared" si="2"/>
        <v>MURPHY COMPANY SCHOL</v>
      </c>
      <c r="F135" s="441">
        <v>94926.78</v>
      </c>
      <c r="G135" s="450">
        <v>0</v>
      </c>
      <c r="H135" s="450">
        <v>-2830.51</v>
      </c>
      <c r="I135" s="450">
        <v>14307.99</v>
      </c>
      <c r="J135" s="450">
        <v>0</v>
      </c>
      <c r="K135" s="450">
        <v>0</v>
      </c>
      <c r="L135" s="450">
        <f t="shared" si="3"/>
        <v>106404.26000000001</v>
      </c>
    </row>
    <row r="136" spans="1:12" ht="12.75" outlineLevel="1">
      <c r="A136" s="395" t="s">
        <v>1317</v>
      </c>
      <c r="C136" s="455"/>
      <c r="D136" s="433" t="s">
        <v>1318</v>
      </c>
      <c r="E136" s="456" t="str">
        <f t="shared" si="2"/>
        <v>NAU SCHOLARSHIP</v>
      </c>
      <c r="F136" s="441">
        <v>71662.18</v>
      </c>
      <c r="G136" s="450">
        <v>0</v>
      </c>
      <c r="H136" s="450">
        <v>-2136.79</v>
      </c>
      <c r="I136" s="450">
        <v>10801.4</v>
      </c>
      <c r="J136" s="450">
        <v>0</v>
      </c>
      <c r="K136" s="450">
        <v>0</v>
      </c>
      <c r="L136" s="450">
        <f t="shared" si="3"/>
        <v>80326.79</v>
      </c>
    </row>
    <row r="137" spans="1:12" ht="12.75" outlineLevel="1">
      <c r="A137" s="395" t="s">
        <v>1319</v>
      </c>
      <c r="C137" s="455"/>
      <c r="D137" s="433" t="s">
        <v>1320</v>
      </c>
      <c r="E137" s="456" t="str">
        <f aca="true" t="shared" si="4" ref="E137:E200">UPPER(D137)</f>
        <v>E R NEEDLES SCH-C E</v>
      </c>
      <c r="F137" s="441">
        <v>67020.43</v>
      </c>
      <c r="G137" s="450">
        <v>0</v>
      </c>
      <c r="H137" s="450">
        <v>-1998.41</v>
      </c>
      <c r="I137" s="450">
        <v>10101.75</v>
      </c>
      <c r="J137" s="450">
        <v>0</v>
      </c>
      <c r="K137" s="450">
        <v>0</v>
      </c>
      <c r="L137" s="450">
        <f aca="true" t="shared" si="5" ref="L137:L200">F137+G137+H137+I137-J137+K137</f>
        <v>75123.76999999999</v>
      </c>
    </row>
    <row r="138" spans="1:12" ht="12.75" outlineLevel="1">
      <c r="A138" s="395" t="s">
        <v>1321</v>
      </c>
      <c r="C138" s="455"/>
      <c r="D138" s="433" t="s">
        <v>1322</v>
      </c>
      <c r="E138" s="456" t="str">
        <f t="shared" si="4"/>
        <v>E R NEEDLES SPEECH</v>
      </c>
      <c r="F138" s="441">
        <v>5146.77</v>
      </c>
      <c r="G138" s="450">
        <v>0</v>
      </c>
      <c r="H138" s="450">
        <v>-153.46</v>
      </c>
      <c r="I138" s="450">
        <v>775.77</v>
      </c>
      <c r="J138" s="450">
        <v>0</v>
      </c>
      <c r="K138" s="450">
        <v>0</v>
      </c>
      <c r="L138" s="450">
        <f t="shared" si="5"/>
        <v>5769.08</v>
      </c>
    </row>
    <row r="139" spans="1:12" ht="12.75" outlineLevel="1">
      <c r="A139" s="395" t="s">
        <v>1323</v>
      </c>
      <c r="C139" s="455"/>
      <c r="D139" s="433" t="s">
        <v>1324</v>
      </c>
      <c r="E139" s="456" t="str">
        <f t="shared" si="4"/>
        <v>NEVINS END SCHP</v>
      </c>
      <c r="F139" s="441">
        <v>189628.16</v>
      </c>
      <c r="G139" s="450">
        <v>4000</v>
      </c>
      <c r="H139" s="450">
        <v>-5357.49</v>
      </c>
      <c r="I139" s="450">
        <v>29035.37</v>
      </c>
      <c r="J139" s="450">
        <v>0</v>
      </c>
      <c r="K139" s="450">
        <v>0</v>
      </c>
      <c r="L139" s="450">
        <f t="shared" si="5"/>
        <v>217306.04</v>
      </c>
    </row>
    <row r="140" spans="1:12" ht="12.75" outlineLevel="1">
      <c r="A140" s="395" t="s">
        <v>1325</v>
      </c>
      <c r="C140" s="455"/>
      <c r="D140" s="433" t="s">
        <v>1326</v>
      </c>
      <c r="E140" s="456" t="str">
        <f t="shared" si="4"/>
        <v>NEVINS SCHP MET ENGR</v>
      </c>
      <c r="F140" s="441">
        <v>43510.78</v>
      </c>
      <c r="G140" s="450">
        <v>0</v>
      </c>
      <c r="H140" s="450">
        <v>-1297.37</v>
      </c>
      <c r="I140" s="450">
        <v>6558.08</v>
      </c>
      <c r="J140" s="450">
        <v>0</v>
      </c>
      <c r="K140" s="450">
        <v>0</v>
      </c>
      <c r="L140" s="450">
        <f t="shared" si="5"/>
        <v>48771.49</v>
      </c>
    </row>
    <row r="141" spans="1:12" ht="12.75" outlineLevel="1">
      <c r="A141" s="395" t="s">
        <v>1327</v>
      </c>
      <c r="C141" s="455"/>
      <c r="D141" s="433" t="s">
        <v>1328</v>
      </c>
      <c r="E141" s="456" t="str">
        <f t="shared" si="4"/>
        <v>NICODEMUS ACAD ATH</v>
      </c>
      <c r="F141" s="441">
        <v>47551.93</v>
      </c>
      <c r="G141" s="450">
        <v>450</v>
      </c>
      <c r="H141" s="450">
        <v>-1399.81</v>
      </c>
      <c r="I141" s="450">
        <v>7221.44</v>
      </c>
      <c r="J141" s="450">
        <v>0</v>
      </c>
      <c r="K141" s="450">
        <v>0</v>
      </c>
      <c r="L141" s="450">
        <f t="shared" si="5"/>
        <v>53823.560000000005</v>
      </c>
    </row>
    <row r="142" spans="1:12" ht="12.75" outlineLevel="1">
      <c r="A142" s="395" t="s">
        <v>1329</v>
      </c>
      <c r="C142" s="455"/>
      <c r="D142" s="433" t="s">
        <v>1330</v>
      </c>
      <c r="E142" s="456" t="str">
        <f t="shared" si="4"/>
        <v>OWSLEY SCHP FUND</v>
      </c>
      <c r="F142" s="441">
        <v>12372.56</v>
      </c>
      <c r="G142" s="450">
        <v>0</v>
      </c>
      <c r="H142" s="450">
        <v>-368.94</v>
      </c>
      <c r="I142" s="450">
        <v>1864.88</v>
      </c>
      <c r="J142" s="450">
        <v>0</v>
      </c>
      <c r="K142" s="450">
        <v>0</v>
      </c>
      <c r="L142" s="450">
        <f t="shared" si="5"/>
        <v>13868.5</v>
      </c>
    </row>
    <row r="143" spans="1:12" ht="12.75" outlineLevel="1">
      <c r="A143" s="395" t="s">
        <v>1331</v>
      </c>
      <c r="C143" s="455"/>
      <c r="D143" s="433" t="s">
        <v>1332</v>
      </c>
      <c r="E143" s="456" t="str">
        <f t="shared" si="4"/>
        <v>OMURTAG/BALLARD SCH</v>
      </c>
      <c r="F143" s="441">
        <v>38272.11</v>
      </c>
      <c r="G143" s="450">
        <v>0</v>
      </c>
      <c r="H143" s="450">
        <v>-1141.18</v>
      </c>
      <c r="I143" s="450">
        <v>5768.63</v>
      </c>
      <c r="J143" s="450">
        <v>0</v>
      </c>
      <c r="K143" s="450">
        <v>0</v>
      </c>
      <c r="L143" s="450">
        <f t="shared" si="5"/>
        <v>42899.56</v>
      </c>
    </row>
    <row r="144" spans="1:12" ht="12.75" outlineLevel="1">
      <c r="A144" s="395" t="s">
        <v>1333</v>
      </c>
      <c r="C144" s="455"/>
      <c r="D144" s="433" t="s">
        <v>1334</v>
      </c>
      <c r="E144" s="456" t="str">
        <f t="shared" si="4"/>
        <v>WJ &amp; PW NOLTE SCHP</v>
      </c>
      <c r="F144" s="441">
        <v>106287.06</v>
      </c>
      <c r="G144" s="450">
        <v>0</v>
      </c>
      <c r="H144" s="450">
        <v>-436.04</v>
      </c>
      <c r="I144" s="450">
        <v>-5820.09</v>
      </c>
      <c r="J144" s="450">
        <v>0</v>
      </c>
      <c r="K144" s="450">
        <v>0</v>
      </c>
      <c r="L144" s="450">
        <f t="shared" si="5"/>
        <v>100030.93000000001</v>
      </c>
    </row>
    <row r="145" spans="1:12" ht="12.75" outlineLevel="1">
      <c r="A145" s="395" t="s">
        <v>1335</v>
      </c>
      <c r="C145" s="455"/>
      <c r="D145" s="433" t="s">
        <v>1336</v>
      </c>
      <c r="E145" s="456" t="str">
        <f t="shared" si="4"/>
        <v>PALMER MEM SCHP</v>
      </c>
      <c r="F145" s="441">
        <v>140388.01</v>
      </c>
      <c r="G145" s="450">
        <v>0</v>
      </c>
      <c r="H145" s="450">
        <v>-4186.05</v>
      </c>
      <c r="I145" s="450">
        <v>21160.22</v>
      </c>
      <c r="J145" s="450">
        <v>0</v>
      </c>
      <c r="K145" s="450">
        <v>0</v>
      </c>
      <c r="L145" s="450">
        <f t="shared" si="5"/>
        <v>157362.18000000002</v>
      </c>
    </row>
    <row r="146" spans="1:12" ht="12.75" outlineLevel="1">
      <c r="A146" s="395" t="s">
        <v>1337</v>
      </c>
      <c r="C146" s="455"/>
      <c r="D146" s="433" t="s">
        <v>1338</v>
      </c>
      <c r="E146" s="456" t="str">
        <f t="shared" si="4"/>
        <v>PARSONS SCHP</v>
      </c>
      <c r="F146" s="441">
        <v>54501.14</v>
      </c>
      <c r="G146" s="450">
        <v>0</v>
      </c>
      <c r="H146" s="450">
        <v>-1625.12</v>
      </c>
      <c r="I146" s="450">
        <v>8214.75</v>
      </c>
      <c r="J146" s="450">
        <v>0</v>
      </c>
      <c r="K146" s="450">
        <v>0</v>
      </c>
      <c r="L146" s="450">
        <f t="shared" si="5"/>
        <v>61090.77</v>
      </c>
    </row>
    <row r="147" spans="1:13" ht="12.75" outlineLevel="1">
      <c r="A147" s="395" t="s">
        <v>1339</v>
      </c>
      <c r="C147" s="455"/>
      <c r="D147" s="433" t="s">
        <v>1340</v>
      </c>
      <c r="E147" s="421" t="str">
        <f t="shared" si="4"/>
        <v>LEWIS PAYNE SCHP</v>
      </c>
      <c r="F147" s="449">
        <v>20772.17</v>
      </c>
      <c r="G147" s="450">
        <v>0</v>
      </c>
      <c r="H147" s="450">
        <v>-619.38</v>
      </c>
      <c r="I147" s="450">
        <v>3130.91</v>
      </c>
      <c r="J147" s="450">
        <v>0</v>
      </c>
      <c r="K147" s="450">
        <v>0</v>
      </c>
      <c r="L147" s="450">
        <f t="shared" si="5"/>
        <v>23283.699999999997</v>
      </c>
      <c r="M147" s="455"/>
    </row>
    <row r="148" spans="1:14" s="495" customFormat="1" ht="12.75" outlineLevel="1">
      <c r="A148" s="495" t="s">
        <v>1341</v>
      </c>
      <c r="B148" s="496"/>
      <c r="C148" s="455"/>
      <c r="D148" s="455" t="s">
        <v>1342</v>
      </c>
      <c r="E148" s="497" t="str">
        <f t="shared" si="4"/>
        <v>HG PETERSON SCH FUND</v>
      </c>
      <c r="F148" s="498">
        <v>16217.75</v>
      </c>
      <c r="G148" s="499">
        <v>0</v>
      </c>
      <c r="H148" s="499">
        <v>-483.57</v>
      </c>
      <c r="I148" s="499">
        <v>2444.44</v>
      </c>
      <c r="J148" s="499">
        <v>0</v>
      </c>
      <c r="K148" s="499">
        <v>0</v>
      </c>
      <c r="L148" s="499">
        <f t="shared" si="5"/>
        <v>18178.62</v>
      </c>
      <c r="M148" s="457"/>
      <c r="N148" s="500"/>
    </row>
    <row r="149" spans="1:13" ht="12.75" outlineLevel="1">
      <c r="A149" s="395" t="s">
        <v>1343</v>
      </c>
      <c r="C149" s="455"/>
      <c r="D149" s="433" t="s">
        <v>1344</v>
      </c>
      <c r="E149" s="421" t="str">
        <f t="shared" si="4"/>
        <v>PHELPS CO-CITY PANHL</v>
      </c>
      <c r="F149" s="449">
        <v>75366.5</v>
      </c>
      <c r="G149" s="450">
        <v>2000</v>
      </c>
      <c r="H149" s="450">
        <v>-301.61</v>
      </c>
      <c r="I149" s="450">
        <v>-4210.36</v>
      </c>
      <c r="J149" s="450">
        <v>0</v>
      </c>
      <c r="K149" s="450">
        <v>0</v>
      </c>
      <c r="L149" s="450">
        <f t="shared" si="5"/>
        <v>72854.53</v>
      </c>
      <c r="M149" s="455"/>
    </row>
    <row r="150" spans="1:14" s="495" customFormat="1" ht="12.75" outlineLevel="1">
      <c r="A150" s="495" t="s">
        <v>1345</v>
      </c>
      <c r="B150" s="496"/>
      <c r="C150" s="455"/>
      <c r="D150" s="455" t="s">
        <v>1346</v>
      </c>
      <c r="E150" s="497" t="str">
        <f t="shared" si="4"/>
        <v>P H PIETSCH MEM SCH</v>
      </c>
      <c r="F150" s="498">
        <v>143638.29</v>
      </c>
      <c r="G150" s="499">
        <v>0</v>
      </c>
      <c r="H150" s="499">
        <v>-4281.88</v>
      </c>
      <c r="I150" s="499">
        <v>21648.84</v>
      </c>
      <c r="J150" s="499">
        <v>0</v>
      </c>
      <c r="K150" s="499">
        <v>0</v>
      </c>
      <c r="L150" s="499">
        <f t="shared" si="5"/>
        <v>161005.25</v>
      </c>
      <c r="M150" s="457"/>
      <c r="N150" s="500"/>
    </row>
    <row r="151" spans="1:12" ht="12.75" outlineLevel="1">
      <c r="A151" s="395" t="s">
        <v>1347</v>
      </c>
      <c r="C151" s="455"/>
      <c r="D151" s="433" t="s">
        <v>1348</v>
      </c>
      <c r="E151" s="456" t="str">
        <f t="shared" si="4"/>
        <v>PINZKE MEM SCHP</v>
      </c>
      <c r="F151" s="441">
        <v>23278.24</v>
      </c>
      <c r="G151" s="450">
        <v>0</v>
      </c>
      <c r="H151" s="450">
        <v>-694.11</v>
      </c>
      <c r="I151" s="450">
        <v>3508.64</v>
      </c>
      <c r="J151" s="450">
        <v>0</v>
      </c>
      <c r="K151" s="450">
        <v>0</v>
      </c>
      <c r="L151" s="450">
        <f t="shared" si="5"/>
        <v>26092.77</v>
      </c>
    </row>
    <row r="152" spans="1:12" ht="12.75" outlineLevel="1">
      <c r="A152" s="395" t="s">
        <v>1349</v>
      </c>
      <c r="C152" s="455"/>
      <c r="D152" s="433" t="s">
        <v>1350</v>
      </c>
      <c r="E152" s="456" t="str">
        <f t="shared" si="4"/>
        <v>POGUE END SCHP</v>
      </c>
      <c r="F152" s="441">
        <v>13756.65</v>
      </c>
      <c r="G152" s="450">
        <v>0</v>
      </c>
      <c r="H152" s="450">
        <v>-410.18</v>
      </c>
      <c r="I152" s="450">
        <v>2073.49</v>
      </c>
      <c r="J152" s="450">
        <v>0</v>
      </c>
      <c r="K152" s="450">
        <v>0</v>
      </c>
      <c r="L152" s="450">
        <f t="shared" si="5"/>
        <v>15419.96</v>
      </c>
    </row>
    <row r="153" spans="1:12" ht="12.75" outlineLevel="1">
      <c r="A153" s="395" t="s">
        <v>1351</v>
      </c>
      <c r="C153" s="455"/>
      <c r="D153" s="433" t="s">
        <v>1352</v>
      </c>
      <c r="E153" s="456" t="str">
        <f t="shared" si="4"/>
        <v>POLLARD SCHP</v>
      </c>
      <c r="F153" s="441">
        <v>43007.47</v>
      </c>
      <c r="G153" s="450">
        <v>50</v>
      </c>
      <c r="H153" s="450">
        <v>-176.28</v>
      </c>
      <c r="I153" s="450">
        <v>-2357.23</v>
      </c>
      <c r="J153" s="450">
        <v>0</v>
      </c>
      <c r="K153" s="450">
        <v>0</v>
      </c>
      <c r="L153" s="450">
        <f t="shared" si="5"/>
        <v>40523.96</v>
      </c>
    </row>
    <row r="154" spans="1:12" ht="12.75" outlineLevel="1">
      <c r="A154" s="395" t="s">
        <v>1353</v>
      </c>
      <c r="C154" s="455"/>
      <c r="D154" s="433" t="s">
        <v>1354</v>
      </c>
      <c r="E154" s="456" t="str">
        <f t="shared" si="4"/>
        <v>PORCHEY ENDOW SCHP</v>
      </c>
      <c r="F154" s="441">
        <v>52103.17</v>
      </c>
      <c r="G154" s="450">
        <v>0</v>
      </c>
      <c r="H154" s="450">
        <v>-1553.58</v>
      </c>
      <c r="I154" s="450">
        <v>7853.33</v>
      </c>
      <c r="J154" s="450">
        <v>0</v>
      </c>
      <c r="K154" s="450">
        <v>0</v>
      </c>
      <c r="L154" s="450">
        <f t="shared" si="5"/>
        <v>58402.92</v>
      </c>
    </row>
    <row r="155" spans="1:12" ht="12.75" outlineLevel="1">
      <c r="A155" s="395" t="s">
        <v>1355</v>
      </c>
      <c r="C155" s="455"/>
      <c r="D155" s="433" t="s">
        <v>1356</v>
      </c>
      <c r="E155" s="456" t="str">
        <f t="shared" si="4"/>
        <v>PREWETT ENDOWED SCHP</v>
      </c>
      <c r="F155" s="441">
        <v>183561.92</v>
      </c>
      <c r="G155" s="450">
        <v>0</v>
      </c>
      <c r="H155" s="450">
        <v>-5473.4</v>
      </c>
      <c r="I155" s="450">
        <v>27667.68</v>
      </c>
      <c r="J155" s="450">
        <v>0</v>
      </c>
      <c r="K155" s="450">
        <v>0</v>
      </c>
      <c r="L155" s="450">
        <f t="shared" si="5"/>
        <v>205756.2</v>
      </c>
    </row>
    <row r="156" spans="1:12" ht="12.75" outlineLevel="1">
      <c r="A156" s="395" t="s">
        <v>1357</v>
      </c>
      <c r="C156" s="455"/>
      <c r="D156" s="433" t="s">
        <v>1358</v>
      </c>
      <c r="E156" s="456" t="str">
        <f t="shared" si="4"/>
        <v>RADCLIFFE GEO SCHP</v>
      </c>
      <c r="F156" s="441">
        <v>37150.96</v>
      </c>
      <c r="G156" s="450">
        <v>2939.75</v>
      </c>
      <c r="H156" s="450">
        <v>-988.3</v>
      </c>
      <c r="I156" s="450">
        <v>5516.75</v>
      </c>
      <c r="J156" s="450">
        <v>0</v>
      </c>
      <c r="K156" s="450">
        <v>0</v>
      </c>
      <c r="L156" s="450">
        <f t="shared" si="5"/>
        <v>44619.159999999996</v>
      </c>
    </row>
    <row r="157" spans="1:12" ht="12.75" outlineLevel="1">
      <c r="A157" s="395" t="s">
        <v>1359</v>
      </c>
      <c r="C157" s="455"/>
      <c r="D157" s="433" t="s">
        <v>1360</v>
      </c>
      <c r="E157" s="456" t="str">
        <f t="shared" si="4"/>
        <v>J A REDDING SCHP</v>
      </c>
      <c r="F157" s="441">
        <v>76869.82</v>
      </c>
      <c r="G157" s="450">
        <v>5000</v>
      </c>
      <c r="H157" s="450">
        <v>-2241.99</v>
      </c>
      <c r="I157" s="450">
        <v>11559.81</v>
      </c>
      <c r="J157" s="450">
        <v>35.16</v>
      </c>
      <c r="K157" s="450">
        <v>0</v>
      </c>
      <c r="L157" s="450">
        <f t="shared" si="5"/>
        <v>91152.48</v>
      </c>
    </row>
    <row r="158" spans="1:12" ht="12.75" outlineLevel="1">
      <c r="A158" s="395" t="s">
        <v>1361</v>
      </c>
      <c r="C158" s="455"/>
      <c r="D158" s="433" t="s">
        <v>1362</v>
      </c>
      <c r="E158" s="456" t="str">
        <f t="shared" si="4"/>
        <v>T H REESE JR MEM</v>
      </c>
      <c r="F158" s="441">
        <v>140784.12</v>
      </c>
      <c r="G158" s="450">
        <v>0</v>
      </c>
      <c r="H158" s="450">
        <v>-4197.87</v>
      </c>
      <c r="I158" s="450">
        <v>21219.91</v>
      </c>
      <c r="J158" s="450">
        <v>0</v>
      </c>
      <c r="K158" s="450">
        <v>0</v>
      </c>
      <c r="L158" s="450">
        <f t="shared" si="5"/>
        <v>157806.16</v>
      </c>
    </row>
    <row r="159" spans="1:13" ht="12.75" outlineLevel="1">
      <c r="A159" s="395" t="s">
        <v>1363</v>
      </c>
      <c r="C159" s="455"/>
      <c r="D159" s="433" t="s">
        <v>1364</v>
      </c>
      <c r="E159" s="421" t="str">
        <f t="shared" si="4"/>
        <v>AGNES REMINGTON SCH</v>
      </c>
      <c r="F159" s="449">
        <v>34504.89</v>
      </c>
      <c r="G159" s="450">
        <v>0</v>
      </c>
      <c r="H159" s="450">
        <v>494.04</v>
      </c>
      <c r="I159" s="450">
        <v>-1908.84</v>
      </c>
      <c r="J159" s="450">
        <v>0</v>
      </c>
      <c r="K159" s="450">
        <v>0</v>
      </c>
      <c r="L159" s="450">
        <f t="shared" si="5"/>
        <v>33090.090000000004</v>
      </c>
      <c r="M159" s="455"/>
    </row>
    <row r="160" spans="1:14" s="495" customFormat="1" ht="12.75" outlineLevel="1">
      <c r="A160" s="495" t="s">
        <v>1365</v>
      </c>
      <c r="B160" s="496"/>
      <c r="C160" s="455"/>
      <c r="D160" s="455" t="s">
        <v>1366</v>
      </c>
      <c r="E160" s="497" t="str">
        <f t="shared" si="4"/>
        <v>REMINGTON SCHP</v>
      </c>
      <c r="F160" s="498">
        <v>44491.45</v>
      </c>
      <c r="G160" s="499">
        <v>0</v>
      </c>
      <c r="H160" s="499">
        <v>-1326.64</v>
      </c>
      <c r="I160" s="499">
        <v>6706.05</v>
      </c>
      <c r="J160" s="499">
        <v>0</v>
      </c>
      <c r="K160" s="499">
        <v>0</v>
      </c>
      <c r="L160" s="499">
        <f t="shared" si="5"/>
        <v>49870.86</v>
      </c>
      <c r="M160" s="457"/>
      <c r="N160" s="500"/>
    </row>
    <row r="161" spans="1:12" ht="12.75" outlineLevel="1">
      <c r="A161" s="395" t="s">
        <v>1367</v>
      </c>
      <c r="C161" s="455"/>
      <c r="D161" s="433" t="s">
        <v>1368</v>
      </c>
      <c r="E161" s="456" t="str">
        <f t="shared" si="4"/>
        <v>RIGGS ENDOWED SCHP</v>
      </c>
      <c r="F161" s="441">
        <v>10147.51</v>
      </c>
      <c r="G161" s="450">
        <v>0</v>
      </c>
      <c r="H161" s="450">
        <v>-302.56</v>
      </c>
      <c r="I161" s="450">
        <v>1529.51</v>
      </c>
      <c r="J161" s="450">
        <v>0</v>
      </c>
      <c r="K161" s="450">
        <v>0</v>
      </c>
      <c r="L161" s="450">
        <f t="shared" si="5"/>
        <v>11374.460000000001</v>
      </c>
    </row>
    <row r="162" spans="1:12" ht="12.75" outlineLevel="1">
      <c r="A162" s="395" t="s">
        <v>1369</v>
      </c>
      <c r="C162" s="455"/>
      <c r="D162" s="433" t="s">
        <v>1370</v>
      </c>
      <c r="E162" s="456" t="str">
        <f t="shared" si="4"/>
        <v>ROBERTS CIVIL ENG</v>
      </c>
      <c r="F162" s="441">
        <v>57367.39</v>
      </c>
      <c r="G162" s="450">
        <v>100</v>
      </c>
      <c r="H162" s="450">
        <v>822.02</v>
      </c>
      <c r="I162" s="450">
        <v>-3179.77</v>
      </c>
      <c r="J162" s="450">
        <v>0</v>
      </c>
      <c r="K162" s="450">
        <v>0</v>
      </c>
      <c r="L162" s="450">
        <f t="shared" si="5"/>
        <v>55109.64</v>
      </c>
    </row>
    <row r="163" spans="1:12" ht="12.75" outlineLevel="1">
      <c r="A163" s="395" t="s">
        <v>1371</v>
      </c>
      <c r="C163" s="455"/>
      <c r="D163" s="433" t="s">
        <v>1372</v>
      </c>
      <c r="E163" s="456" t="str">
        <f t="shared" si="4"/>
        <v>ROTHBAND MEMORIAL</v>
      </c>
      <c r="F163" s="441">
        <v>87749.63</v>
      </c>
      <c r="G163" s="450">
        <v>500</v>
      </c>
      <c r="H163" s="450">
        <v>1912.82</v>
      </c>
      <c r="I163" s="450">
        <v>13639.85</v>
      </c>
      <c r="J163" s="450">
        <v>0</v>
      </c>
      <c r="K163" s="450">
        <v>3070.39</v>
      </c>
      <c r="L163" s="450">
        <f t="shared" si="5"/>
        <v>106872.69000000002</v>
      </c>
    </row>
    <row r="164" spans="1:12" ht="12.75" outlineLevel="1">
      <c r="A164" s="395" t="s">
        <v>1373</v>
      </c>
      <c r="C164" s="455"/>
      <c r="D164" s="433" t="s">
        <v>1374</v>
      </c>
      <c r="E164" s="456" t="str">
        <f t="shared" si="4"/>
        <v>BR SARCHET SCHP FUND</v>
      </c>
      <c r="F164" s="441">
        <v>43096.64</v>
      </c>
      <c r="G164" s="450">
        <v>200</v>
      </c>
      <c r="H164" s="450">
        <v>-1271.22</v>
      </c>
      <c r="I164" s="450">
        <v>6525.85</v>
      </c>
      <c r="J164" s="450">
        <v>0</v>
      </c>
      <c r="K164" s="450">
        <v>0</v>
      </c>
      <c r="L164" s="450">
        <f t="shared" si="5"/>
        <v>48551.27</v>
      </c>
    </row>
    <row r="165" spans="1:12" ht="12.75" outlineLevel="1">
      <c r="A165" s="395" t="s">
        <v>1375</v>
      </c>
      <c r="C165" s="455"/>
      <c r="D165" s="433" t="s">
        <v>1376</v>
      </c>
      <c r="E165" s="456" t="str">
        <f t="shared" si="4"/>
        <v>SAUER SCHOLARSHIP</v>
      </c>
      <c r="F165" s="441">
        <v>30168.36</v>
      </c>
      <c r="G165" s="450">
        <v>10000</v>
      </c>
      <c r="H165" s="450">
        <v>-828.8</v>
      </c>
      <c r="I165" s="450">
        <v>4559.22</v>
      </c>
      <c r="J165" s="450">
        <v>0</v>
      </c>
      <c r="K165" s="450">
        <v>0</v>
      </c>
      <c r="L165" s="450">
        <f t="shared" si="5"/>
        <v>43898.78</v>
      </c>
    </row>
    <row r="166" spans="1:12" ht="12.75" outlineLevel="1">
      <c r="A166" s="395" t="s">
        <v>1377</v>
      </c>
      <c r="C166" s="455"/>
      <c r="D166" s="433" t="s">
        <v>1378</v>
      </c>
      <c r="E166" s="456" t="str">
        <f t="shared" si="4"/>
        <v>SCHAFER ENDOW SCHP</v>
      </c>
      <c r="F166" s="441">
        <v>103640.57</v>
      </c>
      <c r="G166" s="450">
        <v>0</v>
      </c>
      <c r="H166" s="450">
        <v>-3090.34</v>
      </c>
      <c r="I166" s="450">
        <v>15621.4</v>
      </c>
      <c r="J166" s="450">
        <v>0</v>
      </c>
      <c r="K166" s="450">
        <v>0</v>
      </c>
      <c r="L166" s="450">
        <f t="shared" si="5"/>
        <v>116171.63</v>
      </c>
    </row>
    <row r="167" spans="1:12" ht="12.75" outlineLevel="1">
      <c r="A167" s="395" t="s">
        <v>1379</v>
      </c>
      <c r="C167" s="455"/>
      <c r="D167" s="433" t="s">
        <v>1380</v>
      </c>
      <c r="E167" s="456" t="str">
        <f t="shared" si="4"/>
        <v>LAIRD SCHEARER FUND</v>
      </c>
      <c r="F167" s="441">
        <v>26712.83</v>
      </c>
      <c r="G167" s="450">
        <v>0</v>
      </c>
      <c r="H167" s="450">
        <v>-796.5</v>
      </c>
      <c r="I167" s="450">
        <v>4026.36</v>
      </c>
      <c r="J167" s="450">
        <v>0</v>
      </c>
      <c r="K167" s="450">
        <v>0</v>
      </c>
      <c r="L167" s="450">
        <f t="shared" si="5"/>
        <v>29942.690000000002</v>
      </c>
    </row>
    <row r="168" spans="1:12" ht="12.75" outlineLevel="1">
      <c r="A168" s="395" t="s">
        <v>1381</v>
      </c>
      <c r="C168" s="455"/>
      <c r="D168" s="433" t="s">
        <v>1382</v>
      </c>
      <c r="E168" s="456" t="str">
        <f t="shared" si="4"/>
        <v>SCHOENTHALER SCHOLAR</v>
      </c>
      <c r="F168" s="441">
        <v>67031.59</v>
      </c>
      <c r="G168" s="450">
        <v>0</v>
      </c>
      <c r="H168" s="450">
        <v>-1534.2</v>
      </c>
      <c r="I168" s="450">
        <v>10322.22</v>
      </c>
      <c r="J168" s="450">
        <v>0</v>
      </c>
      <c r="K168" s="450">
        <v>0</v>
      </c>
      <c r="L168" s="450">
        <f t="shared" si="5"/>
        <v>75819.61</v>
      </c>
    </row>
    <row r="169" spans="1:12" ht="12.75" outlineLevel="1">
      <c r="A169" s="395" t="s">
        <v>1383</v>
      </c>
      <c r="C169" s="455"/>
      <c r="D169" s="433" t="s">
        <v>1384</v>
      </c>
      <c r="E169" s="456" t="str">
        <f t="shared" si="4"/>
        <v>SENNE CIVIL ENG</v>
      </c>
      <c r="F169" s="441">
        <v>63337.06</v>
      </c>
      <c r="G169" s="450">
        <v>500</v>
      </c>
      <c r="H169" s="450">
        <v>904.72</v>
      </c>
      <c r="I169" s="450">
        <v>-3488.97</v>
      </c>
      <c r="J169" s="450">
        <v>0</v>
      </c>
      <c r="K169" s="450">
        <v>0</v>
      </c>
      <c r="L169" s="450">
        <f t="shared" si="5"/>
        <v>61252.81</v>
      </c>
    </row>
    <row r="170" spans="1:12" ht="12.75" outlineLevel="1">
      <c r="A170" s="395" t="s">
        <v>1385</v>
      </c>
      <c r="C170" s="455"/>
      <c r="D170" s="433" t="s">
        <v>1386</v>
      </c>
      <c r="E170" s="456" t="str">
        <f t="shared" si="4"/>
        <v>L T SICKA SCHOLARSHP</v>
      </c>
      <c r="F170" s="441">
        <v>613387.26</v>
      </c>
      <c r="G170" s="450">
        <v>0</v>
      </c>
      <c r="H170" s="450">
        <v>-18289.81</v>
      </c>
      <c r="I170" s="450">
        <v>92453.79</v>
      </c>
      <c r="J170" s="450">
        <v>0</v>
      </c>
      <c r="K170" s="450">
        <v>0</v>
      </c>
      <c r="L170" s="450">
        <f t="shared" si="5"/>
        <v>687551.24</v>
      </c>
    </row>
    <row r="171" spans="1:12" ht="12.75" outlineLevel="1">
      <c r="A171" s="395" t="s">
        <v>1387</v>
      </c>
      <c r="C171" s="455"/>
      <c r="D171" s="433" t="s">
        <v>1388</v>
      </c>
      <c r="E171" s="456" t="str">
        <f t="shared" si="4"/>
        <v>SOWERS ENDOWED SCHP</v>
      </c>
      <c r="F171" s="441">
        <v>13823.79</v>
      </c>
      <c r="G171" s="450">
        <v>0</v>
      </c>
      <c r="H171" s="450">
        <v>-404.16</v>
      </c>
      <c r="I171" s="450">
        <v>2140.27</v>
      </c>
      <c r="J171" s="450">
        <v>0</v>
      </c>
      <c r="K171" s="450">
        <v>0</v>
      </c>
      <c r="L171" s="450">
        <f t="shared" si="5"/>
        <v>15559.900000000001</v>
      </c>
    </row>
    <row r="172" spans="1:12" ht="12.75" outlineLevel="1">
      <c r="A172" s="395" t="s">
        <v>1389</v>
      </c>
      <c r="C172" s="455"/>
      <c r="D172" s="433" t="s">
        <v>1390</v>
      </c>
      <c r="E172" s="456" t="str">
        <f t="shared" si="4"/>
        <v>SMITH ENDOWED SCHP</v>
      </c>
      <c r="F172" s="441">
        <v>27952.1</v>
      </c>
      <c r="G172" s="450">
        <v>0</v>
      </c>
      <c r="H172" s="450">
        <v>-833.46</v>
      </c>
      <c r="I172" s="450">
        <v>4213.12</v>
      </c>
      <c r="J172" s="450">
        <v>0</v>
      </c>
      <c r="K172" s="450">
        <v>0</v>
      </c>
      <c r="L172" s="450">
        <f t="shared" si="5"/>
        <v>31331.76</v>
      </c>
    </row>
    <row r="173" spans="1:12" ht="12.75" outlineLevel="1">
      <c r="A173" s="395" t="s">
        <v>1391</v>
      </c>
      <c r="C173" s="455"/>
      <c r="D173" s="433" t="s">
        <v>1392</v>
      </c>
      <c r="E173" s="456" t="str">
        <f t="shared" si="4"/>
        <v>SNELSON SCHOLARSHIP</v>
      </c>
      <c r="F173" s="441">
        <v>24539.46</v>
      </c>
      <c r="G173" s="450">
        <v>0</v>
      </c>
      <c r="H173" s="450">
        <v>-731.69</v>
      </c>
      <c r="I173" s="450">
        <v>3698.74</v>
      </c>
      <c r="J173" s="450">
        <v>0</v>
      </c>
      <c r="K173" s="450">
        <v>0</v>
      </c>
      <c r="L173" s="450">
        <f t="shared" si="5"/>
        <v>27506.510000000002</v>
      </c>
    </row>
    <row r="174" spans="1:12" ht="12.75" outlineLevel="1">
      <c r="A174" s="395" t="s">
        <v>1393</v>
      </c>
      <c r="C174" s="455"/>
      <c r="D174" s="433" t="s">
        <v>1394</v>
      </c>
      <c r="E174" s="456" t="str">
        <f t="shared" si="4"/>
        <v>SOULT MEM SCHP</v>
      </c>
      <c r="F174" s="441">
        <v>21888.67</v>
      </c>
      <c r="G174" s="450">
        <v>0</v>
      </c>
      <c r="H174" s="450">
        <v>-652.68</v>
      </c>
      <c r="I174" s="450">
        <v>3299.21</v>
      </c>
      <c r="J174" s="450">
        <v>0</v>
      </c>
      <c r="K174" s="450">
        <v>0</v>
      </c>
      <c r="L174" s="450">
        <f t="shared" si="5"/>
        <v>24535.199999999997</v>
      </c>
    </row>
    <row r="175" spans="1:12" ht="12.75" outlineLevel="1">
      <c r="A175" s="395" t="s">
        <v>1395</v>
      </c>
      <c r="C175" s="455"/>
      <c r="D175" s="433" t="s">
        <v>1396</v>
      </c>
      <c r="E175" s="456" t="str">
        <f t="shared" si="4"/>
        <v>SPOKES END SCHP</v>
      </c>
      <c r="F175" s="441">
        <v>33473.93</v>
      </c>
      <c r="G175" s="450">
        <v>0</v>
      </c>
      <c r="H175" s="450">
        <v>-998.12</v>
      </c>
      <c r="I175" s="450">
        <v>5045.43</v>
      </c>
      <c r="J175" s="450">
        <v>0</v>
      </c>
      <c r="K175" s="450">
        <v>0</v>
      </c>
      <c r="L175" s="450">
        <f t="shared" si="5"/>
        <v>37521.240000000005</v>
      </c>
    </row>
    <row r="176" spans="1:12" ht="12.75" outlineLevel="1">
      <c r="A176" s="395" t="s">
        <v>1397</v>
      </c>
      <c r="C176" s="455"/>
      <c r="D176" s="433" t="s">
        <v>1398</v>
      </c>
      <c r="E176" s="456" t="str">
        <f t="shared" si="4"/>
        <v>STL COAL CLUB SCHP</v>
      </c>
      <c r="F176" s="441">
        <v>22767.19</v>
      </c>
      <c r="G176" s="450">
        <v>0</v>
      </c>
      <c r="H176" s="450">
        <v>-678.86</v>
      </c>
      <c r="I176" s="450">
        <v>3431.64</v>
      </c>
      <c r="J176" s="450">
        <v>0</v>
      </c>
      <c r="K176" s="450">
        <v>0</v>
      </c>
      <c r="L176" s="450">
        <f t="shared" si="5"/>
        <v>25519.969999999998</v>
      </c>
    </row>
    <row r="177" spans="1:12" ht="12.75" outlineLevel="1">
      <c r="A177" s="395" t="s">
        <v>1399</v>
      </c>
      <c r="C177" s="455"/>
      <c r="D177" s="433" t="s">
        <v>1400</v>
      </c>
      <c r="E177" s="456" t="str">
        <f t="shared" si="4"/>
        <v>STEVENS ENDOW SCHP</v>
      </c>
      <c r="F177" s="441">
        <v>24834.35</v>
      </c>
      <c r="G177" s="450">
        <v>450</v>
      </c>
      <c r="H177" s="450">
        <v>-713.19</v>
      </c>
      <c r="I177" s="450">
        <v>3787.56</v>
      </c>
      <c r="J177" s="450">
        <v>0</v>
      </c>
      <c r="K177" s="450">
        <v>0</v>
      </c>
      <c r="L177" s="450">
        <f t="shared" si="5"/>
        <v>28358.72</v>
      </c>
    </row>
    <row r="178" spans="1:12" ht="12.75" outlineLevel="1">
      <c r="A178" s="395" t="s">
        <v>1401</v>
      </c>
      <c r="C178" s="455"/>
      <c r="D178" s="433" t="s">
        <v>1402</v>
      </c>
      <c r="E178" s="456" t="str">
        <f t="shared" si="4"/>
        <v>STEWART-FRAIZER SCHP</v>
      </c>
      <c r="F178" s="441">
        <v>53521.56</v>
      </c>
      <c r="G178" s="450">
        <v>0</v>
      </c>
      <c r="H178" s="450">
        <v>-1595.89</v>
      </c>
      <c r="I178" s="450">
        <v>8067.13</v>
      </c>
      <c r="J178" s="450">
        <v>0</v>
      </c>
      <c r="K178" s="450">
        <v>0</v>
      </c>
      <c r="L178" s="450">
        <f t="shared" si="5"/>
        <v>59992.799999999996</v>
      </c>
    </row>
    <row r="179" spans="1:12" ht="12.75" outlineLevel="1">
      <c r="A179" s="395" t="s">
        <v>1403</v>
      </c>
      <c r="C179" s="455"/>
      <c r="D179" s="433" t="s">
        <v>1404</v>
      </c>
      <c r="E179" s="456" t="str">
        <f t="shared" si="4"/>
        <v>STOCKETT SCHOLARSHIP</v>
      </c>
      <c r="F179" s="441">
        <v>55293.34</v>
      </c>
      <c r="G179" s="450">
        <v>0</v>
      </c>
      <c r="H179" s="450">
        <v>-1648.73</v>
      </c>
      <c r="I179" s="450">
        <v>8334.2</v>
      </c>
      <c r="J179" s="450">
        <v>0</v>
      </c>
      <c r="K179" s="450">
        <v>0</v>
      </c>
      <c r="L179" s="450">
        <f t="shared" si="5"/>
        <v>61978.81</v>
      </c>
    </row>
    <row r="180" spans="1:12" ht="12.75" outlineLevel="1">
      <c r="A180" s="395" t="s">
        <v>1405</v>
      </c>
      <c r="C180" s="455"/>
      <c r="D180" s="433" t="s">
        <v>1406</v>
      </c>
      <c r="E180" s="456" t="str">
        <f t="shared" si="4"/>
        <v>STONE ENDOWED SCHP</v>
      </c>
      <c r="F180" s="441">
        <v>776350.1</v>
      </c>
      <c r="G180" s="450">
        <v>0</v>
      </c>
      <c r="H180" s="450">
        <v>-22613.95</v>
      </c>
      <c r="I180" s="450">
        <v>116668.96</v>
      </c>
      <c r="J180" s="450">
        <v>0</v>
      </c>
      <c r="K180" s="450">
        <v>4559.53</v>
      </c>
      <c r="L180" s="450">
        <f t="shared" si="5"/>
        <v>874964.64</v>
      </c>
    </row>
    <row r="181" spans="1:12" ht="12.75" outlineLevel="1">
      <c r="A181" s="395" t="s">
        <v>1407</v>
      </c>
      <c r="C181" s="455"/>
      <c r="D181" s="433" t="s">
        <v>1408</v>
      </c>
      <c r="E181" s="456" t="str">
        <f t="shared" si="4"/>
        <v>B B STRANG MEMORIAL</v>
      </c>
      <c r="F181" s="441">
        <v>18174.94</v>
      </c>
      <c r="G181" s="450">
        <v>0</v>
      </c>
      <c r="H181" s="450">
        <v>-541.91</v>
      </c>
      <c r="I181" s="450">
        <v>2739.44</v>
      </c>
      <c r="J181" s="450">
        <v>0</v>
      </c>
      <c r="K181" s="450">
        <v>0</v>
      </c>
      <c r="L181" s="450">
        <f t="shared" si="5"/>
        <v>20372.469999999998</v>
      </c>
    </row>
    <row r="182" spans="1:12" ht="12.75" outlineLevel="1">
      <c r="A182" s="395" t="s">
        <v>1409</v>
      </c>
      <c r="C182" s="455"/>
      <c r="D182" s="433" t="s">
        <v>1410</v>
      </c>
      <c r="E182" s="456" t="str">
        <f t="shared" si="4"/>
        <v>M R STRUNK SCH</v>
      </c>
      <c r="F182" s="441">
        <v>189674.15</v>
      </c>
      <c r="G182" s="450">
        <v>925</v>
      </c>
      <c r="H182" s="450">
        <v>-5503.17</v>
      </c>
      <c r="I182" s="450">
        <v>28668.54</v>
      </c>
      <c r="J182" s="450">
        <v>0</v>
      </c>
      <c r="K182" s="450">
        <v>0</v>
      </c>
      <c r="L182" s="450">
        <f t="shared" si="5"/>
        <v>213764.52</v>
      </c>
    </row>
    <row r="183" spans="1:12" ht="12.75" outlineLevel="1">
      <c r="A183" s="395" t="s">
        <v>1411</v>
      </c>
      <c r="C183" s="455"/>
      <c r="D183" s="433" t="s">
        <v>1412</v>
      </c>
      <c r="E183" s="456" t="str">
        <f t="shared" si="4"/>
        <v>STUECK SCHP CIVIL EN</v>
      </c>
      <c r="F183" s="441">
        <v>41454.99</v>
      </c>
      <c r="G183" s="450">
        <v>0</v>
      </c>
      <c r="H183" s="450">
        <v>-1236.11</v>
      </c>
      <c r="I183" s="450">
        <v>6248.36</v>
      </c>
      <c r="J183" s="450">
        <v>0</v>
      </c>
      <c r="K183" s="450">
        <v>0</v>
      </c>
      <c r="L183" s="450">
        <f t="shared" si="5"/>
        <v>46467.24</v>
      </c>
    </row>
    <row r="184" spans="1:12" ht="12.75" outlineLevel="1">
      <c r="A184" s="395" t="s">
        <v>1413</v>
      </c>
      <c r="C184" s="455"/>
      <c r="D184" s="433" t="s">
        <v>1414</v>
      </c>
      <c r="E184" s="456" t="str">
        <f t="shared" si="4"/>
        <v>STOFFER SCHP CHEM</v>
      </c>
      <c r="F184" s="441">
        <v>12913.95</v>
      </c>
      <c r="G184" s="450">
        <v>375</v>
      </c>
      <c r="H184" s="450">
        <v>-359.06</v>
      </c>
      <c r="I184" s="450">
        <v>1939.83</v>
      </c>
      <c r="J184" s="450">
        <v>0</v>
      </c>
      <c r="K184" s="450">
        <v>0</v>
      </c>
      <c r="L184" s="450">
        <f t="shared" si="5"/>
        <v>14869.720000000001</v>
      </c>
    </row>
    <row r="185" spans="1:12" ht="12.75" outlineLevel="1">
      <c r="A185" s="395" t="s">
        <v>1415</v>
      </c>
      <c r="C185" s="455"/>
      <c r="D185" s="433" t="s">
        <v>1416</v>
      </c>
      <c r="E185" s="456" t="str">
        <f t="shared" si="4"/>
        <v>JH SUBOW MEM</v>
      </c>
      <c r="F185" s="441">
        <v>37583.85</v>
      </c>
      <c r="G185" s="450">
        <v>70</v>
      </c>
      <c r="H185" s="450">
        <v>-1108.53</v>
      </c>
      <c r="I185" s="450">
        <v>5704.49</v>
      </c>
      <c r="J185" s="450">
        <v>0</v>
      </c>
      <c r="K185" s="450">
        <v>0</v>
      </c>
      <c r="L185" s="450">
        <f t="shared" si="5"/>
        <v>42249.81</v>
      </c>
    </row>
    <row r="186" spans="1:12" ht="12.75" outlineLevel="1">
      <c r="A186" s="395" t="s">
        <v>1417</v>
      </c>
      <c r="C186" s="455"/>
      <c r="D186" s="433" t="s">
        <v>1418</v>
      </c>
      <c r="E186" s="456" t="str">
        <f t="shared" si="4"/>
        <v>TAYLOR SCHOLARSHIP</v>
      </c>
      <c r="F186" s="441">
        <v>31217.27</v>
      </c>
      <c r="G186" s="450">
        <v>0</v>
      </c>
      <c r="H186" s="450">
        <v>-930.81</v>
      </c>
      <c r="I186" s="450">
        <v>4705.28</v>
      </c>
      <c r="J186" s="450">
        <v>0</v>
      </c>
      <c r="K186" s="450">
        <v>0</v>
      </c>
      <c r="L186" s="450">
        <f t="shared" si="5"/>
        <v>34991.74</v>
      </c>
    </row>
    <row r="187" spans="1:12" ht="12.75" outlineLevel="1">
      <c r="A187" s="395" t="s">
        <v>1419</v>
      </c>
      <c r="C187" s="455"/>
      <c r="D187" s="433" t="s">
        <v>1420</v>
      </c>
      <c r="E187" s="456" t="str">
        <f t="shared" si="4"/>
        <v>TODD MEM SCHP</v>
      </c>
      <c r="F187" s="441">
        <v>20245.97</v>
      </c>
      <c r="G187" s="450">
        <v>0</v>
      </c>
      <c r="H187" s="450">
        <v>-603.68</v>
      </c>
      <c r="I187" s="450">
        <v>3051.63</v>
      </c>
      <c r="J187" s="450">
        <v>0</v>
      </c>
      <c r="K187" s="450">
        <v>0</v>
      </c>
      <c r="L187" s="450">
        <f t="shared" si="5"/>
        <v>22693.920000000002</v>
      </c>
    </row>
    <row r="188" spans="1:12" ht="12.75" outlineLevel="1">
      <c r="A188" s="395" t="s">
        <v>1421</v>
      </c>
      <c r="C188" s="455"/>
      <c r="D188" s="433" t="s">
        <v>1422</v>
      </c>
      <c r="E188" s="456" t="str">
        <f t="shared" si="4"/>
        <v>UNSELL MEM SCHP</v>
      </c>
      <c r="F188" s="441">
        <v>20737.66</v>
      </c>
      <c r="G188" s="450">
        <v>0</v>
      </c>
      <c r="H188" s="450">
        <v>-618.36</v>
      </c>
      <c r="I188" s="450">
        <v>3125.74</v>
      </c>
      <c r="J188" s="450">
        <v>0</v>
      </c>
      <c r="K188" s="450">
        <v>0</v>
      </c>
      <c r="L188" s="450">
        <f t="shared" si="5"/>
        <v>23245.04</v>
      </c>
    </row>
    <row r="189" spans="1:12" ht="12.75" outlineLevel="1">
      <c r="A189" s="395" t="s">
        <v>1423</v>
      </c>
      <c r="C189" s="455"/>
      <c r="D189" s="433" t="s">
        <v>1424</v>
      </c>
      <c r="E189" s="456" t="str">
        <f t="shared" si="4"/>
        <v>VALERIUS SCHP</v>
      </c>
      <c r="F189" s="441">
        <v>81072.07</v>
      </c>
      <c r="G189" s="450">
        <v>0</v>
      </c>
      <c r="H189" s="450">
        <v>-2417.39</v>
      </c>
      <c r="I189" s="450">
        <v>12219.71</v>
      </c>
      <c r="J189" s="450">
        <v>0</v>
      </c>
      <c r="K189" s="450">
        <v>0</v>
      </c>
      <c r="L189" s="450">
        <f t="shared" si="5"/>
        <v>90874.39000000001</v>
      </c>
    </row>
    <row r="190" spans="1:12" ht="12.75" outlineLevel="1">
      <c r="A190" s="395" t="s">
        <v>1425</v>
      </c>
      <c r="C190" s="455"/>
      <c r="D190" s="433" t="s">
        <v>1426</v>
      </c>
      <c r="E190" s="456" t="str">
        <f t="shared" si="4"/>
        <v>VAN NOSTRAND SCH</v>
      </c>
      <c r="F190" s="441">
        <v>8853.93</v>
      </c>
      <c r="G190" s="450">
        <v>0</v>
      </c>
      <c r="H190" s="450">
        <v>-36.33</v>
      </c>
      <c r="I190" s="450">
        <v>-484.82</v>
      </c>
      <c r="J190" s="450">
        <v>0</v>
      </c>
      <c r="K190" s="450">
        <v>0</v>
      </c>
      <c r="L190" s="450">
        <f t="shared" si="5"/>
        <v>8332.78</v>
      </c>
    </row>
    <row r="191" spans="1:12" ht="12.75" outlineLevel="1">
      <c r="A191" s="395" t="s">
        <v>1427</v>
      </c>
      <c r="C191" s="455"/>
      <c r="D191" s="433" t="s">
        <v>1428</v>
      </c>
      <c r="E191" s="456" t="str">
        <f t="shared" si="4"/>
        <v>VICKERS ATH SCH</v>
      </c>
      <c r="F191" s="441">
        <v>17711.14</v>
      </c>
      <c r="G191" s="450">
        <v>0</v>
      </c>
      <c r="H191" s="450">
        <v>-528.12</v>
      </c>
      <c r="I191" s="450">
        <v>2669.55</v>
      </c>
      <c r="J191" s="450">
        <v>0</v>
      </c>
      <c r="K191" s="450">
        <v>0</v>
      </c>
      <c r="L191" s="450">
        <f t="shared" si="5"/>
        <v>19852.57</v>
      </c>
    </row>
    <row r="192" spans="1:12" ht="12.75" outlineLevel="1">
      <c r="A192" s="395" t="s">
        <v>1429</v>
      </c>
      <c r="C192" s="455"/>
      <c r="D192" s="433" t="s">
        <v>1430</v>
      </c>
      <c r="E192" s="456" t="str">
        <f t="shared" si="4"/>
        <v>VITEK FELLOWSHIP</v>
      </c>
      <c r="F192" s="441">
        <v>40343.99</v>
      </c>
      <c r="G192" s="450">
        <v>0</v>
      </c>
      <c r="H192" s="450">
        <v>-1066.79</v>
      </c>
      <c r="I192" s="450">
        <v>5984.52</v>
      </c>
      <c r="J192" s="450">
        <v>0</v>
      </c>
      <c r="K192" s="450">
        <v>11104</v>
      </c>
      <c r="L192" s="450">
        <f t="shared" si="5"/>
        <v>56365.72</v>
      </c>
    </row>
    <row r="193" spans="1:12" ht="12.75" outlineLevel="1">
      <c r="A193" s="395" t="s">
        <v>1431</v>
      </c>
      <c r="C193" s="455"/>
      <c r="D193" s="433" t="s">
        <v>1432</v>
      </c>
      <c r="E193" s="456" t="str">
        <f t="shared" si="4"/>
        <v>VOGT ENDOWED FUND</v>
      </c>
      <c r="F193" s="441">
        <v>11613.82</v>
      </c>
      <c r="G193" s="450">
        <v>0</v>
      </c>
      <c r="H193" s="450">
        <v>-319.54</v>
      </c>
      <c r="I193" s="450">
        <v>1788</v>
      </c>
      <c r="J193" s="450">
        <v>0</v>
      </c>
      <c r="K193" s="450">
        <v>0</v>
      </c>
      <c r="L193" s="450">
        <f t="shared" si="5"/>
        <v>13082.279999999999</v>
      </c>
    </row>
    <row r="194" spans="1:13" ht="12.75" outlineLevel="1">
      <c r="A194" s="395" t="s">
        <v>1433</v>
      </c>
      <c r="C194" s="455"/>
      <c r="D194" s="433" t="s">
        <v>1434</v>
      </c>
      <c r="E194" s="421" t="str">
        <f t="shared" si="4"/>
        <v>HAM WEBB END SCH FD</v>
      </c>
      <c r="F194" s="449">
        <v>381425.05</v>
      </c>
      <c r="G194" s="450">
        <v>11990</v>
      </c>
      <c r="H194" s="450">
        <v>-9900.36</v>
      </c>
      <c r="I194" s="450">
        <v>56745.31</v>
      </c>
      <c r="J194" s="450">
        <v>0</v>
      </c>
      <c r="K194" s="450">
        <v>114327.06</v>
      </c>
      <c r="L194" s="450">
        <f t="shared" si="5"/>
        <v>554587.06</v>
      </c>
      <c r="M194" s="455"/>
    </row>
    <row r="195" spans="1:13" ht="12.75" outlineLevel="1">
      <c r="A195" s="395" t="s">
        <v>1435</v>
      </c>
      <c r="D195" s="433" t="s">
        <v>1436</v>
      </c>
      <c r="E195" s="421" t="str">
        <f t="shared" si="4"/>
        <v>BUD WEISER MEM SCHP</v>
      </c>
      <c r="F195" s="449">
        <v>27459.11</v>
      </c>
      <c r="G195" s="450">
        <v>0</v>
      </c>
      <c r="H195" s="450">
        <v>-818.77</v>
      </c>
      <c r="I195" s="450">
        <v>4138.82</v>
      </c>
      <c r="J195" s="450">
        <v>0</v>
      </c>
      <c r="K195" s="450">
        <v>0</v>
      </c>
      <c r="L195" s="450">
        <f t="shared" si="5"/>
        <v>30779.16</v>
      </c>
      <c r="M195" s="433"/>
    </row>
    <row r="196" spans="1:14" s="495" customFormat="1" ht="12.75" outlineLevel="1">
      <c r="A196" s="495" t="s">
        <v>1437</v>
      </c>
      <c r="B196" s="496"/>
      <c r="C196" s="455"/>
      <c r="D196" s="455" t="s">
        <v>1438</v>
      </c>
      <c r="E196" s="497" t="str">
        <f t="shared" si="4"/>
        <v>WEINER SCHP PLA</v>
      </c>
      <c r="F196" s="498">
        <v>44421.03</v>
      </c>
      <c r="G196" s="499">
        <v>0</v>
      </c>
      <c r="H196" s="499">
        <v>-1324.52</v>
      </c>
      <c r="I196" s="499">
        <v>6695.46</v>
      </c>
      <c r="J196" s="499">
        <v>0</v>
      </c>
      <c r="K196" s="499">
        <v>0</v>
      </c>
      <c r="L196" s="499">
        <f t="shared" si="5"/>
        <v>49791.97</v>
      </c>
      <c r="M196" s="457"/>
      <c r="N196" s="500"/>
    </row>
    <row r="197" spans="1:12" ht="12.75" outlineLevel="1">
      <c r="A197" s="395" t="s">
        <v>1439</v>
      </c>
      <c r="C197" s="455"/>
      <c r="D197" s="433" t="s">
        <v>1440</v>
      </c>
      <c r="E197" s="456" t="str">
        <f t="shared" si="4"/>
        <v>WEST CHAP PROF ENG</v>
      </c>
      <c r="F197" s="441">
        <v>35987.48</v>
      </c>
      <c r="G197" s="450">
        <v>429</v>
      </c>
      <c r="H197" s="450">
        <v>-1057.77</v>
      </c>
      <c r="I197" s="450">
        <v>5462.35</v>
      </c>
      <c r="J197" s="450">
        <v>0</v>
      </c>
      <c r="K197" s="450">
        <v>0</v>
      </c>
      <c r="L197" s="450">
        <f t="shared" si="5"/>
        <v>40821.060000000005</v>
      </c>
    </row>
    <row r="198" spans="1:12" ht="12.75" outlineLevel="1">
      <c r="A198" s="395" t="s">
        <v>1441</v>
      </c>
      <c r="C198" s="455"/>
      <c r="D198" s="433" t="s">
        <v>1442</v>
      </c>
      <c r="E198" s="456" t="str">
        <f t="shared" si="4"/>
        <v>CLARK WILSON SCHP</v>
      </c>
      <c r="F198" s="441">
        <v>12473.78</v>
      </c>
      <c r="G198" s="450">
        <v>0</v>
      </c>
      <c r="H198" s="450">
        <v>-290.67</v>
      </c>
      <c r="I198" s="450">
        <v>1881.33</v>
      </c>
      <c r="J198" s="450">
        <v>0</v>
      </c>
      <c r="K198" s="450">
        <v>0</v>
      </c>
      <c r="L198" s="450">
        <f t="shared" si="5"/>
        <v>14064.44</v>
      </c>
    </row>
    <row r="199" spans="1:12" ht="12.75" outlineLevel="1">
      <c r="A199" s="395" t="s">
        <v>1443</v>
      </c>
      <c r="C199" s="455"/>
      <c r="D199" s="433" t="s">
        <v>1444</v>
      </c>
      <c r="E199" s="456" t="str">
        <f t="shared" si="4"/>
        <v>WEINER ENDOW PSYCH</v>
      </c>
      <c r="F199" s="441">
        <v>46449.05</v>
      </c>
      <c r="G199" s="450">
        <v>0</v>
      </c>
      <c r="H199" s="450">
        <v>-1384.99</v>
      </c>
      <c r="I199" s="450">
        <v>7001.1</v>
      </c>
      <c r="J199" s="450">
        <v>0</v>
      </c>
      <c r="K199" s="450">
        <v>0</v>
      </c>
      <c r="L199" s="450">
        <f t="shared" si="5"/>
        <v>52065.16</v>
      </c>
    </row>
    <row r="200" spans="1:12" ht="12.75" outlineLevel="1">
      <c r="A200" s="395" t="s">
        <v>1445</v>
      </c>
      <c r="C200" s="455"/>
      <c r="D200" s="433" t="s">
        <v>1446</v>
      </c>
      <c r="E200" s="456" t="str">
        <f t="shared" si="4"/>
        <v>WEINER ENDOW ECON</v>
      </c>
      <c r="F200" s="441">
        <v>44420.93</v>
      </c>
      <c r="G200" s="450">
        <v>0</v>
      </c>
      <c r="H200" s="450">
        <v>-1324.51</v>
      </c>
      <c r="I200" s="450">
        <v>6695.42</v>
      </c>
      <c r="J200" s="450">
        <v>0</v>
      </c>
      <c r="K200" s="450">
        <v>0</v>
      </c>
      <c r="L200" s="450">
        <f t="shared" si="5"/>
        <v>49791.84</v>
      </c>
    </row>
    <row r="201" spans="1:12" ht="12.75" outlineLevel="1">
      <c r="A201" s="395" t="s">
        <v>1447</v>
      </c>
      <c r="C201" s="455"/>
      <c r="D201" s="433" t="s">
        <v>1448</v>
      </c>
      <c r="E201" s="456" t="str">
        <f aca="true" t="shared" si="6" ref="E201:E264">UPPER(D201)</f>
        <v>WEINER ENDOW HISTORY</v>
      </c>
      <c r="F201" s="441">
        <v>44412.12</v>
      </c>
      <c r="G201" s="450">
        <v>0</v>
      </c>
      <c r="H201" s="450">
        <v>-1347.26</v>
      </c>
      <c r="I201" s="450">
        <v>6648.99</v>
      </c>
      <c r="J201" s="450">
        <v>825.6</v>
      </c>
      <c r="K201" s="450">
        <v>0</v>
      </c>
      <c r="L201" s="450">
        <f aca="true" t="shared" si="7" ref="L201:L264">F201+G201+H201+I201-J201+K201</f>
        <v>48888.25</v>
      </c>
    </row>
    <row r="202" spans="1:12" ht="12.75" outlineLevel="1">
      <c r="A202" s="395" t="s">
        <v>1449</v>
      </c>
      <c r="C202" s="455"/>
      <c r="D202" s="433" t="s">
        <v>1450</v>
      </c>
      <c r="E202" s="456" t="str">
        <f t="shared" si="6"/>
        <v>WITT MINE SAFETY SCH</v>
      </c>
      <c r="F202" s="441">
        <v>6461.3</v>
      </c>
      <c r="G202" s="450">
        <v>0</v>
      </c>
      <c r="H202" s="450">
        <v>-192.67</v>
      </c>
      <c r="I202" s="450">
        <v>973.88</v>
      </c>
      <c r="J202" s="450">
        <v>0</v>
      </c>
      <c r="K202" s="450">
        <v>0</v>
      </c>
      <c r="L202" s="450">
        <f t="shared" si="7"/>
        <v>7242.51</v>
      </c>
    </row>
    <row r="203" spans="1:12" ht="12.75" outlineLevel="1">
      <c r="A203" s="395" t="s">
        <v>1451</v>
      </c>
      <c r="C203" s="455"/>
      <c r="D203" s="433" t="s">
        <v>1452</v>
      </c>
      <c r="E203" s="456" t="str">
        <f t="shared" si="6"/>
        <v>WEINER ENDOW ENGLISH</v>
      </c>
      <c r="F203" s="441">
        <v>44421.03</v>
      </c>
      <c r="G203" s="450">
        <v>0</v>
      </c>
      <c r="H203" s="450">
        <v>-1324.52</v>
      </c>
      <c r="I203" s="450">
        <v>6695.46</v>
      </c>
      <c r="J203" s="450">
        <v>0</v>
      </c>
      <c r="K203" s="450">
        <v>0</v>
      </c>
      <c r="L203" s="450">
        <f t="shared" si="7"/>
        <v>49791.97</v>
      </c>
    </row>
    <row r="204" spans="1:12" ht="12.75" outlineLevel="1">
      <c r="A204" s="395" t="s">
        <v>1453</v>
      </c>
      <c r="C204" s="455"/>
      <c r="D204" s="433" t="s">
        <v>1454</v>
      </c>
      <c r="E204" s="456" t="str">
        <f t="shared" si="6"/>
        <v>WEINER ENDW MGMT SYS</v>
      </c>
      <c r="F204" s="441">
        <v>44421.03</v>
      </c>
      <c r="G204" s="450">
        <v>0</v>
      </c>
      <c r="H204" s="450">
        <v>-1326.67</v>
      </c>
      <c r="I204" s="450">
        <v>6695.45</v>
      </c>
      <c r="J204" s="450">
        <v>531.02</v>
      </c>
      <c r="K204" s="450">
        <v>0</v>
      </c>
      <c r="L204" s="450">
        <f t="shared" si="7"/>
        <v>49258.79</v>
      </c>
    </row>
    <row r="205" spans="1:12" ht="12.75" outlineLevel="1">
      <c r="A205" s="395" t="s">
        <v>1455</v>
      </c>
      <c r="C205" s="455"/>
      <c r="D205" s="433" t="s">
        <v>1456</v>
      </c>
      <c r="E205" s="456" t="str">
        <f t="shared" si="6"/>
        <v>WEINER INTERNATIONAL</v>
      </c>
      <c r="F205" s="441">
        <v>121386.81</v>
      </c>
      <c r="G205" s="450">
        <v>0</v>
      </c>
      <c r="H205" s="450">
        <v>-3619.29</v>
      </c>
      <c r="I205" s="450">
        <v>18296.22</v>
      </c>
      <c r="J205" s="450">
        <v>0</v>
      </c>
      <c r="K205" s="450">
        <v>0</v>
      </c>
      <c r="L205" s="450">
        <f t="shared" si="7"/>
        <v>136063.74</v>
      </c>
    </row>
    <row r="206" spans="1:12" ht="12.75" outlineLevel="1">
      <c r="A206" s="395" t="s">
        <v>1457</v>
      </c>
      <c r="C206" s="455"/>
      <c r="D206" s="433" t="s">
        <v>1458</v>
      </c>
      <c r="E206" s="456" t="str">
        <f t="shared" si="6"/>
        <v>L E WOODMAN MEM SCHP</v>
      </c>
      <c r="F206" s="441">
        <v>30492.27</v>
      </c>
      <c r="G206" s="450">
        <v>0</v>
      </c>
      <c r="H206" s="450">
        <v>-125.04</v>
      </c>
      <c r="I206" s="450">
        <v>-1669.89</v>
      </c>
      <c r="J206" s="450">
        <v>-20</v>
      </c>
      <c r="K206" s="450">
        <v>0</v>
      </c>
      <c r="L206" s="450">
        <f t="shared" si="7"/>
        <v>28717.34</v>
      </c>
    </row>
    <row r="207" spans="1:12" ht="12.75" outlineLevel="1">
      <c r="A207" s="395" t="s">
        <v>1459</v>
      </c>
      <c r="C207" s="455"/>
      <c r="D207" s="433" t="s">
        <v>1460</v>
      </c>
      <c r="E207" s="456" t="str">
        <f t="shared" si="6"/>
        <v>WYATT SCHP</v>
      </c>
      <c r="F207" s="441">
        <v>54639.68</v>
      </c>
      <c r="G207" s="450">
        <v>0</v>
      </c>
      <c r="H207" s="450">
        <v>-1629.25</v>
      </c>
      <c r="I207" s="450">
        <v>8235.67</v>
      </c>
      <c r="J207" s="450">
        <v>0</v>
      </c>
      <c r="K207" s="450">
        <v>0</v>
      </c>
      <c r="L207" s="450">
        <f t="shared" si="7"/>
        <v>61246.1</v>
      </c>
    </row>
    <row r="208" spans="1:12" ht="12.75" outlineLevel="1">
      <c r="A208" s="395" t="s">
        <v>1461</v>
      </c>
      <c r="C208" s="455"/>
      <c r="D208" s="433" t="s">
        <v>1462</v>
      </c>
      <c r="E208" s="456" t="str">
        <f t="shared" si="6"/>
        <v>WISHERD ENDOW SCHP</v>
      </c>
      <c r="F208" s="441">
        <v>20698.21</v>
      </c>
      <c r="G208" s="450">
        <v>0</v>
      </c>
      <c r="H208" s="450">
        <v>-617.18</v>
      </c>
      <c r="I208" s="450">
        <v>3119.76</v>
      </c>
      <c r="J208" s="450">
        <v>0</v>
      </c>
      <c r="K208" s="450">
        <v>0</v>
      </c>
      <c r="L208" s="450">
        <f t="shared" si="7"/>
        <v>23200.79</v>
      </c>
    </row>
    <row r="209" spans="1:12" ht="12.75" outlineLevel="1">
      <c r="A209" s="395" t="s">
        <v>1463</v>
      </c>
      <c r="C209" s="455"/>
      <c r="D209" s="433" t="s">
        <v>1464</v>
      </c>
      <c r="E209" s="456" t="str">
        <f t="shared" si="6"/>
        <v>THOMPSON D SCHOLAR</v>
      </c>
      <c r="F209" s="441">
        <v>14396.58</v>
      </c>
      <c r="G209" s="450">
        <v>0</v>
      </c>
      <c r="H209" s="450">
        <v>-429.3</v>
      </c>
      <c r="I209" s="450">
        <v>2169.96</v>
      </c>
      <c r="J209" s="450">
        <v>0</v>
      </c>
      <c r="K209" s="450">
        <v>0</v>
      </c>
      <c r="L209" s="450">
        <f t="shared" si="7"/>
        <v>16137.240000000002</v>
      </c>
    </row>
    <row r="210" spans="1:13" ht="12.75" outlineLevel="1">
      <c r="A210" s="395" t="s">
        <v>1465</v>
      </c>
      <c r="C210" s="455"/>
      <c r="D210" s="433" t="s">
        <v>1466</v>
      </c>
      <c r="E210" s="421" t="str">
        <f t="shared" si="6"/>
        <v>L E YOUNG SCHP</v>
      </c>
      <c r="F210" s="449">
        <v>145799.25</v>
      </c>
      <c r="G210" s="450">
        <v>0</v>
      </c>
      <c r="H210" s="450">
        <v>-4347.39</v>
      </c>
      <c r="I210" s="450">
        <v>21975.85</v>
      </c>
      <c r="J210" s="450">
        <v>0</v>
      </c>
      <c r="K210" s="450">
        <v>0</v>
      </c>
      <c r="L210" s="450">
        <f t="shared" si="7"/>
        <v>163427.71</v>
      </c>
      <c r="M210" s="455"/>
    </row>
    <row r="211" spans="1:14" s="495" customFormat="1" ht="12.75" outlineLevel="1">
      <c r="A211" s="495" t="s">
        <v>1467</v>
      </c>
      <c r="B211" s="496"/>
      <c r="C211" s="455"/>
      <c r="D211" s="455" t="s">
        <v>1468</v>
      </c>
      <c r="E211" s="497" t="str">
        <f t="shared" si="6"/>
        <v>MARVIN ZEID SCHP</v>
      </c>
      <c r="F211" s="498">
        <v>38783.67</v>
      </c>
      <c r="G211" s="499">
        <v>0</v>
      </c>
      <c r="H211" s="499">
        <v>-1156.45</v>
      </c>
      <c r="I211" s="499">
        <v>5845.76</v>
      </c>
      <c r="J211" s="499">
        <v>0</v>
      </c>
      <c r="K211" s="499">
        <v>0</v>
      </c>
      <c r="L211" s="499">
        <f t="shared" si="7"/>
        <v>43472.98</v>
      </c>
      <c r="M211" s="457"/>
      <c r="N211" s="500"/>
    </row>
    <row r="212" spans="1:12" ht="12.75" outlineLevel="1">
      <c r="A212" s="395" t="s">
        <v>1469</v>
      </c>
      <c r="C212" s="455"/>
      <c r="D212" s="433" t="s">
        <v>1470</v>
      </c>
      <c r="E212" s="456" t="str">
        <f t="shared" si="6"/>
        <v>HAYDON ENDOWED SCHOL</v>
      </c>
      <c r="F212" s="441">
        <v>24517.57</v>
      </c>
      <c r="G212" s="450">
        <v>0</v>
      </c>
      <c r="H212" s="450">
        <v>-732</v>
      </c>
      <c r="I212" s="450">
        <v>3694.43</v>
      </c>
      <c r="J212" s="450">
        <v>75</v>
      </c>
      <c r="K212" s="450">
        <v>0</v>
      </c>
      <c r="L212" s="450">
        <f t="shared" si="7"/>
        <v>27405</v>
      </c>
    </row>
    <row r="213" spans="1:12" ht="12.75" outlineLevel="1">
      <c r="A213" s="395" t="s">
        <v>1471</v>
      </c>
      <c r="C213" s="455"/>
      <c r="D213" s="433" t="s">
        <v>1472</v>
      </c>
      <c r="E213" s="456" t="str">
        <f t="shared" si="6"/>
        <v>ACADEMY CHEMICAL ENG</v>
      </c>
      <c r="F213" s="441">
        <v>9407.47</v>
      </c>
      <c r="G213" s="450">
        <v>0</v>
      </c>
      <c r="H213" s="450">
        <v>-238.37</v>
      </c>
      <c r="I213" s="450">
        <v>1368.54</v>
      </c>
      <c r="J213" s="450">
        <v>0</v>
      </c>
      <c r="K213" s="450">
        <v>0</v>
      </c>
      <c r="L213" s="450">
        <f t="shared" si="7"/>
        <v>10537.64</v>
      </c>
    </row>
    <row r="214" spans="1:12" ht="12.75" outlineLevel="1">
      <c r="A214" s="395" t="s">
        <v>1473</v>
      </c>
      <c r="C214" s="455"/>
      <c r="D214" s="433" t="s">
        <v>1474</v>
      </c>
      <c r="E214" s="456" t="str">
        <f t="shared" si="6"/>
        <v>BAILEY MISSOURI PROF</v>
      </c>
      <c r="F214" s="441">
        <v>325059.55</v>
      </c>
      <c r="G214" s="450">
        <v>0</v>
      </c>
      <c r="H214" s="450">
        <v>-9692.56</v>
      </c>
      <c r="I214" s="450">
        <v>48995.13</v>
      </c>
      <c r="J214" s="450">
        <v>0</v>
      </c>
      <c r="K214" s="450">
        <v>0</v>
      </c>
      <c r="L214" s="450">
        <f t="shared" si="7"/>
        <v>364362.12</v>
      </c>
    </row>
    <row r="215" spans="1:12" ht="12.75" outlineLevel="1">
      <c r="A215" s="395" t="s">
        <v>1475</v>
      </c>
      <c r="C215" s="455"/>
      <c r="D215" s="433" t="s">
        <v>1476</v>
      </c>
      <c r="E215" s="456" t="str">
        <f t="shared" si="6"/>
        <v>FRANK APPLEYARD END</v>
      </c>
      <c r="F215" s="441">
        <v>110304.33</v>
      </c>
      <c r="G215" s="450">
        <v>0</v>
      </c>
      <c r="H215" s="450">
        <v>-3289.03</v>
      </c>
      <c r="I215" s="450">
        <v>16625.82</v>
      </c>
      <c r="J215" s="450">
        <v>0</v>
      </c>
      <c r="K215" s="450">
        <v>0</v>
      </c>
      <c r="L215" s="450">
        <f t="shared" si="7"/>
        <v>123641.12</v>
      </c>
    </row>
    <row r="216" spans="1:12" ht="12.75" outlineLevel="1">
      <c r="A216" s="395" t="s">
        <v>1477</v>
      </c>
      <c r="C216" s="455"/>
      <c r="D216" s="433" t="s">
        <v>1478</v>
      </c>
      <c r="E216" s="456" t="str">
        <f t="shared" si="6"/>
        <v>C E ALUMNI ASSISTANT</v>
      </c>
      <c r="F216" s="441">
        <v>41077.95</v>
      </c>
      <c r="G216" s="450">
        <v>0</v>
      </c>
      <c r="H216" s="450">
        <v>-1224.84</v>
      </c>
      <c r="I216" s="450">
        <v>6191.55</v>
      </c>
      <c r="J216" s="450">
        <v>0</v>
      </c>
      <c r="K216" s="450">
        <v>0</v>
      </c>
      <c r="L216" s="450">
        <f t="shared" si="7"/>
        <v>46044.66</v>
      </c>
    </row>
    <row r="217" spans="1:12" ht="12.75" outlineLevel="1">
      <c r="A217" s="395" t="s">
        <v>1479</v>
      </c>
      <c r="C217" s="455"/>
      <c r="D217" s="433" t="s">
        <v>1480</v>
      </c>
      <c r="E217" s="456" t="str">
        <f t="shared" si="6"/>
        <v>CLASS OF 1937 FAC EX</v>
      </c>
      <c r="F217" s="441">
        <v>38404.94</v>
      </c>
      <c r="G217" s="450">
        <v>0</v>
      </c>
      <c r="H217" s="450">
        <v>-1145.14</v>
      </c>
      <c r="I217" s="450">
        <v>5788.67</v>
      </c>
      <c r="J217" s="450">
        <v>0</v>
      </c>
      <c r="K217" s="450">
        <v>0</v>
      </c>
      <c r="L217" s="450">
        <f t="shared" si="7"/>
        <v>43048.47</v>
      </c>
    </row>
    <row r="218" spans="1:12" ht="12.75" outlineLevel="1">
      <c r="A218" s="395" t="s">
        <v>1481</v>
      </c>
      <c r="C218" s="455"/>
      <c r="D218" s="433" t="s">
        <v>1482</v>
      </c>
      <c r="E218" s="456" t="str">
        <f t="shared" si="6"/>
        <v>DAILY MGMT OF TECH</v>
      </c>
      <c r="F218" s="441">
        <v>43128.28</v>
      </c>
      <c r="G218" s="450">
        <v>0</v>
      </c>
      <c r="H218" s="450">
        <v>-1285.99</v>
      </c>
      <c r="I218" s="450">
        <v>6500.6</v>
      </c>
      <c r="J218" s="450">
        <v>0</v>
      </c>
      <c r="K218" s="450">
        <v>0</v>
      </c>
      <c r="L218" s="450">
        <f t="shared" si="7"/>
        <v>48342.89</v>
      </c>
    </row>
    <row r="219" spans="1:12" ht="12.75" outlineLevel="1">
      <c r="A219" s="395" t="s">
        <v>1483</v>
      </c>
      <c r="C219" s="455"/>
      <c r="D219" s="433" t="s">
        <v>1484</v>
      </c>
      <c r="E219" s="456" t="str">
        <f t="shared" si="6"/>
        <v>ORDER GOLDEN END</v>
      </c>
      <c r="F219" s="441">
        <v>243513.66</v>
      </c>
      <c r="G219" s="450">
        <v>23900</v>
      </c>
      <c r="H219" s="450">
        <v>-5437.06</v>
      </c>
      <c r="I219" s="450">
        <v>38060.06</v>
      </c>
      <c r="J219" s="450">
        <v>0</v>
      </c>
      <c r="K219" s="450">
        <v>0</v>
      </c>
      <c r="L219" s="450">
        <f t="shared" si="7"/>
        <v>300036.66000000003</v>
      </c>
    </row>
    <row r="220" spans="1:12" ht="12.75" outlineLevel="1">
      <c r="A220" s="395" t="s">
        <v>1485</v>
      </c>
      <c r="C220" s="455"/>
      <c r="D220" s="433" t="s">
        <v>1486</v>
      </c>
      <c r="E220" s="456" t="str">
        <f t="shared" si="6"/>
        <v>DAKE-BROWN LIBR ACQ</v>
      </c>
      <c r="F220" s="441">
        <v>64130.03</v>
      </c>
      <c r="G220" s="450">
        <v>0</v>
      </c>
      <c r="H220" s="450">
        <v>-1912.2</v>
      </c>
      <c r="I220" s="450">
        <v>9666.09</v>
      </c>
      <c r="J220" s="450">
        <v>0</v>
      </c>
      <c r="K220" s="450">
        <v>0</v>
      </c>
      <c r="L220" s="450">
        <f t="shared" si="7"/>
        <v>71883.92</v>
      </c>
    </row>
    <row r="221" spans="1:12" ht="12.75" outlineLevel="1">
      <c r="A221" s="395" t="s">
        <v>1487</v>
      </c>
      <c r="C221" s="455"/>
      <c r="D221" s="433" t="s">
        <v>1488</v>
      </c>
      <c r="E221" s="456" t="str">
        <f t="shared" si="6"/>
        <v>ENG MGMT END ST EXCL</v>
      </c>
      <c r="F221" s="441">
        <v>12092.63</v>
      </c>
      <c r="G221" s="450">
        <v>0</v>
      </c>
      <c r="H221" s="450">
        <v>-360.57</v>
      </c>
      <c r="I221" s="450">
        <v>1822.69</v>
      </c>
      <c r="J221" s="450">
        <v>0</v>
      </c>
      <c r="K221" s="450">
        <v>0</v>
      </c>
      <c r="L221" s="450">
        <f t="shared" si="7"/>
        <v>13554.75</v>
      </c>
    </row>
    <row r="222" spans="1:12" ht="12.75" outlineLevel="1">
      <c r="A222" s="395" t="s">
        <v>1489</v>
      </c>
      <c r="C222" s="455"/>
      <c r="D222" s="433" t="s">
        <v>1490</v>
      </c>
      <c r="E222" s="456" t="str">
        <f t="shared" si="6"/>
        <v>ELECT COMP LAB END</v>
      </c>
      <c r="F222" s="441">
        <v>13815.56</v>
      </c>
      <c r="G222" s="450">
        <v>0</v>
      </c>
      <c r="H222" s="450">
        <v>-411.95</v>
      </c>
      <c r="I222" s="450">
        <v>2082.38</v>
      </c>
      <c r="J222" s="450">
        <v>0</v>
      </c>
      <c r="K222" s="450">
        <v>0</v>
      </c>
      <c r="L222" s="450">
        <f t="shared" si="7"/>
        <v>15485.989999999998</v>
      </c>
    </row>
    <row r="223" spans="1:12" ht="12.75" outlineLevel="1">
      <c r="A223" s="395" t="s">
        <v>1491</v>
      </c>
      <c r="C223" s="455"/>
      <c r="D223" s="433" t="s">
        <v>1492</v>
      </c>
      <c r="E223" s="456" t="str">
        <f t="shared" si="6"/>
        <v>FACULTY EXCELLENCE</v>
      </c>
      <c r="F223" s="441">
        <v>373842.4</v>
      </c>
      <c r="G223" s="450">
        <v>0</v>
      </c>
      <c r="H223" s="450">
        <v>-11147.14</v>
      </c>
      <c r="I223" s="450">
        <v>56348</v>
      </c>
      <c r="J223" s="450">
        <v>0</v>
      </c>
      <c r="K223" s="450">
        <v>0</v>
      </c>
      <c r="L223" s="450">
        <f t="shared" si="7"/>
        <v>419043.26</v>
      </c>
    </row>
    <row r="224" spans="1:12" ht="12.75" outlineLevel="1">
      <c r="A224" s="395" t="s">
        <v>1493</v>
      </c>
      <c r="C224" s="455"/>
      <c r="D224" s="433" t="s">
        <v>1494</v>
      </c>
      <c r="E224" s="456" t="str">
        <f t="shared" si="6"/>
        <v>FCR MO PROF CHEMISTR</v>
      </c>
      <c r="F224" s="441">
        <v>583084.18</v>
      </c>
      <c r="G224" s="450">
        <v>0</v>
      </c>
      <c r="H224" s="450">
        <v>-17386.25</v>
      </c>
      <c r="I224" s="450">
        <v>87886.33</v>
      </c>
      <c r="J224" s="450">
        <v>0</v>
      </c>
      <c r="K224" s="450">
        <v>0</v>
      </c>
      <c r="L224" s="450">
        <f t="shared" si="7"/>
        <v>653584.26</v>
      </c>
    </row>
    <row r="225" spans="1:12" ht="12.75" outlineLevel="1">
      <c r="A225" s="395" t="s">
        <v>1495</v>
      </c>
      <c r="C225" s="455"/>
      <c r="D225" s="433" t="s">
        <v>1496</v>
      </c>
      <c r="E225" s="456" t="str">
        <f t="shared" si="6"/>
        <v>FCR ENDOWED EQUP</v>
      </c>
      <c r="F225" s="441">
        <v>104547.13</v>
      </c>
      <c r="G225" s="450">
        <v>820</v>
      </c>
      <c r="H225" s="450">
        <v>-424.05</v>
      </c>
      <c r="I225" s="450">
        <v>-5771.83</v>
      </c>
      <c r="J225" s="450">
        <v>0</v>
      </c>
      <c r="K225" s="450">
        <v>0</v>
      </c>
      <c r="L225" s="450">
        <f t="shared" si="7"/>
        <v>99171.25</v>
      </c>
    </row>
    <row r="226" spans="1:12" ht="12.75" outlineLevel="1">
      <c r="A226" s="395" t="s">
        <v>1497</v>
      </c>
      <c r="C226" s="455"/>
      <c r="D226" s="433" t="s">
        <v>1498</v>
      </c>
      <c r="E226" s="456" t="str">
        <f t="shared" si="6"/>
        <v>FICK END MINES &amp; MET</v>
      </c>
      <c r="F226" s="441">
        <v>146976.52</v>
      </c>
      <c r="G226" s="450">
        <v>5000</v>
      </c>
      <c r="H226" s="450">
        <v>-4260.32</v>
      </c>
      <c r="I226" s="450">
        <v>22762.17</v>
      </c>
      <c r="J226" s="450">
        <v>0</v>
      </c>
      <c r="K226" s="450">
        <v>0</v>
      </c>
      <c r="L226" s="450">
        <f t="shared" si="7"/>
        <v>170478.37</v>
      </c>
    </row>
    <row r="227" spans="1:12" ht="12.75" outlineLevel="1">
      <c r="A227" s="395" t="s">
        <v>1499</v>
      </c>
      <c r="C227" s="455"/>
      <c r="D227" s="433" t="s">
        <v>1500</v>
      </c>
      <c r="E227" s="456" t="str">
        <f t="shared" si="6"/>
        <v>FINLEY FACULTY ENH</v>
      </c>
      <c r="F227" s="441">
        <v>88723.03</v>
      </c>
      <c r="G227" s="450">
        <v>0</v>
      </c>
      <c r="H227" s="450">
        <v>-2645.54</v>
      </c>
      <c r="I227" s="450">
        <v>13372.92</v>
      </c>
      <c r="J227" s="450">
        <v>0</v>
      </c>
      <c r="K227" s="450">
        <v>0</v>
      </c>
      <c r="L227" s="450">
        <f t="shared" si="7"/>
        <v>99450.41</v>
      </c>
    </row>
    <row r="228" spans="1:12" ht="12.75" outlineLevel="1">
      <c r="A228" s="395" t="s">
        <v>1501</v>
      </c>
      <c r="C228" s="455"/>
      <c r="D228" s="433" t="s">
        <v>1502</v>
      </c>
      <c r="E228" s="456" t="str">
        <f t="shared" si="6"/>
        <v>FINLEY PROF ELEC ENG</v>
      </c>
      <c r="F228" s="441">
        <v>676431.16</v>
      </c>
      <c r="G228" s="450">
        <v>0</v>
      </c>
      <c r="H228" s="450">
        <v>-20169.67</v>
      </c>
      <c r="I228" s="450">
        <v>101956.19</v>
      </c>
      <c r="J228" s="450">
        <v>0</v>
      </c>
      <c r="K228" s="450">
        <v>0</v>
      </c>
      <c r="L228" s="450">
        <f t="shared" si="7"/>
        <v>758217.6799999999</v>
      </c>
    </row>
    <row r="229" spans="1:12" ht="12.75" outlineLevel="1">
      <c r="A229" s="395" t="s">
        <v>1503</v>
      </c>
      <c r="C229" s="455"/>
      <c r="D229" s="433" t="s">
        <v>1504</v>
      </c>
      <c r="E229" s="456" t="str">
        <f t="shared" si="6"/>
        <v>FINLEY MO PROF</v>
      </c>
      <c r="F229" s="441">
        <v>641607.83</v>
      </c>
      <c r="G229" s="450">
        <v>0</v>
      </c>
      <c r="H229" s="450">
        <v>-19131.32</v>
      </c>
      <c r="I229" s="450">
        <v>96707.39</v>
      </c>
      <c r="J229" s="450">
        <v>0</v>
      </c>
      <c r="K229" s="450">
        <v>0</v>
      </c>
      <c r="L229" s="450">
        <f t="shared" si="7"/>
        <v>719183.9</v>
      </c>
    </row>
    <row r="230" spans="1:12" ht="12.75" outlineLevel="1">
      <c r="A230" s="395" t="s">
        <v>1505</v>
      </c>
      <c r="C230" s="455"/>
      <c r="D230" s="433" t="s">
        <v>1506</v>
      </c>
      <c r="E230" s="456" t="str">
        <f t="shared" si="6"/>
        <v>GULF OIL FDN PROF</v>
      </c>
      <c r="F230" s="441">
        <v>282797.03</v>
      </c>
      <c r="G230" s="450">
        <v>0</v>
      </c>
      <c r="H230" s="450">
        <v>-8432.38</v>
      </c>
      <c r="I230" s="450">
        <v>42625.04</v>
      </c>
      <c r="J230" s="450">
        <v>0</v>
      </c>
      <c r="K230" s="450">
        <v>0</v>
      </c>
      <c r="L230" s="450">
        <f t="shared" si="7"/>
        <v>316989.69</v>
      </c>
    </row>
    <row r="231" spans="1:12" ht="12.75" outlineLevel="1">
      <c r="A231" s="395" t="s">
        <v>1507</v>
      </c>
      <c r="C231" s="455"/>
      <c r="D231" s="433" t="s">
        <v>1508</v>
      </c>
      <c r="E231" s="456" t="str">
        <f t="shared" si="6"/>
        <v>HALLETT FUND</v>
      </c>
      <c r="F231" s="441">
        <v>32202.91</v>
      </c>
      <c r="G231" s="450">
        <v>0</v>
      </c>
      <c r="H231" s="450">
        <v>-960.22</v>
      </c>
      <c r="I231" s="450">
        <v>4853.83</v>
      </c>
      <c r="J231" s="450">
        <v>0</v>
      </c>
      <c r="K231" s="450">
        <v>0</v>
      </c>
      <c r="L231" s="450">
        <f t="shared" si="7"/>
        <v>36096.52</v>
      </c>
    </row>
    <row r="232" spans="1:12" ht="12.75" outlineLevel="1">
      <c r="A232" s="395" t="s">
        <v>1509</v>
      </c>
      <c r="C232" s="455"/>
      <c r="D232" s="433" t="s">
        <v>1510</v>
      </c>
      <c r="E232" s="456" t="str">
        <f t="shared" si="6"/>
        <v>HASSELMANN ENDOWMENT</v>
      </c>
      <c r="F232" s="441">
        <v>0</v>
      </c>
      <c r="G232" s="450">
        <v>0</v>
      </c>
      <c r="H232" s="450">
        <v>-1.99</v>
      </c>
      <c r="I232" s="450">
        <v>0</v>
      </c>
      <c r="J232" s="450">
        <v>0</v>
      </c>
      <c r="K232" s="450">
        <v>1.99</v>
      </c>
      <c r="L232" s="450">
        <f t="shared" si="7"/>
        <v>0</v>
      </c>
    </row>
    <row r="233" spans="1:12" ht="12.75" outlineLevel="1">
      <c r="A233" s="395" t="s">
        <v>1511</v>
      </c>
      <c r="C233" s="455"/>
      <c r="D233" s="433" t="s">
        <v>1512</v>
      </c>
      <c r="E233" s="456" t="str">
        <f t="shared" si="6"/>
        <v>HASSELMANN PROF</v>
      </c>
      <c r="F233" s="441">
        <v>1100255.41</v>
      </c>
      <c r="G233" s="450">
        <v>0</v>
      </c>
      <c r="H233" s="450">
        <v>-32807.15</v>
      </c>
      <c r="I233" s="450">
        <v>165837.76</v>
      </c>
      <c r="J233" s="450">
        <v>0</v>
      </c>
      <c r="K233" s="450">
        <v>0</v>
      </c>
      <c r="L233" s="450">
        <f t="shared" si="7"/>
        <v>1233286.02</v>
      </c>
    </row>
    <row r="234" spans="1:12" ht="12.75" outlineLevel="1">
      <c r="A234" s="395" t="s">
        <v>1513</v>
      </c>
      <c r="C234" s="455"/>
      <c r="D234" s="433" t="s">
        <v>1514</v>
      </c>
      <c r="E234" s="456" t="str">
        <f t="shared" si="6"/>
        <v>INGRAM LECTURES</v>
      </c>
      <c r="F234" s="441">
        <v>9743.73</v>
      </c>
      <c r="G234" s="450">
        <v>0</v>
      </c>
      <c r="H234" s="450">
        <v>-290.55</v>
      </c>
      <c r="I234" s="450">
        <v>1468.64</v>
      </c>
      <c r="J234" s="450">
        <v>0</v>
      </c>
      <c r="K234" s="450">
        <v>0</v>
      </c>
      <c r="L234" s="450">
        <f t="shared" si="7"/>
        <v>10921.82</v>
      </c>
    </row>
    <row r="235" spans="1:12" ht="12.75" outlineLevel="1">
      <c r="A235" s="395" t="s">
        <v>1515</v>
      </c>
      <c r="C235" s="455"/>
      <c r="D235" s="433" t="s">
        <v>1516</v>
      </c>
      <c r="E235" s="456" t="str">
        <f t="shared" si="6"/>
        <v>HOLMES ENDOWED FUND</v>
      </c>
      <c r="F235" s="441">
        <v>1612275.69</v>
      </c>
      <c r="G235" s="450">
        <v>60000</v>
      </c>
      <c r="H235" s="450">
        <v>-46959.83</v>
      </c>
      <c r="I235" s="450">
        <v>232977.19</v>
      </c>
      <c r="J235" s="450">
        <v>0</v>
      </c>
      <c r="K235" s="450">
        <v>-69262.75</v>
      </c>
      <c r="L235" s="450">
        <f t="shared" si="7"/>
        <v>1789030.2999999998</v>
      </c>
    </row>
    <row r="236" spans="1:12" ht="12.75" outlineLevel="1">
      <c r="A236" s="395" t="s">
        <v>1517</v>
      </c>
      <c r="C236" s="455"/>
      <c r="D236" s="433" t="s">
        <v>1518</v>
      </c>
      <c r="E236" s="456" t="str">
        <f t="shared" si="6"/>
        <v>HORST ENDOWED FUND</v>
      </c>
      <c r="F236" s="441">
        <v>69955.7</v>
      </c>
      <c r="G236" s="450">
        <v>0</v>
      </c>
      <c r="H236" s="450">
        <v>-387.96</v>
      </c>
      <c r="I236" s="450">
        <v>10569.51</v>
      </c>
      <c r="J236" s="450">
        <v>0</v>
      </c>
      <c r="K236" s="450">
        <v>0</v>
      </c>
      <c r="L236" s="450">
        <f t="shared" si="7"/>
        <v>80137.24999999999</v>
      </c>
    </row>
    <row r="237" spans="1:12" ht="12.75" outlineLevel="1">
      <c r="A237" s="395" t="s">
        <v>1519</v>
      </c>
      <c r="C237" s="455"/>
      <c r="D237" s="433" t="s">
        <v>1520</v>
      </c>
      <c r="E237" s="456" t="str">
        <f t="shared" si="6"/>
        <v>HEILSCHER ENDOWED FD</v>
      </c>
      <c r="F237" s="441">
        <v>99947.29</v>
      </c>
      <c r="G237" s="450">
        <v>0</v>
      </c>
      <c r="H237" s="450">
        <v>-2980.2</v>
      </c>
      <c r="I237" s="450">
        <v>15064.73</v>
      </c>
      <c r="J237" s="450">
        <v>0</v>
      </c>
      <c r="K237" s="450">
        <v>0</v>
      </c>
      <c r="L237" s="450">
        <f t="shared" si="7"/>
        <v>112031.81999999999</v>
      </c>
    </row>
    <row r="238" spans="1:12" ht="12.75" outlineLevel="1">
      <c r="A238" s="395" t="s">
        <v>1521</v>
      </c>
      <c r="C238" s="455"/>
      <c r="D238" s="433" t="s">
        <v>1522</v>
      </c>
      <c r="E238" s="456" t="str">
        <f t="shared" si="6"/>
        <v>KUMR ENDOW FUND</v>
      </c>
      <c r="F238" s="441">
        <v>31322.55</v>
      </c>
      <c r="G238" s="450">
        <v>1307.5</v>
      </c>
      <c r="H238" s="450">
        <v>-837.71</v>
      </c>
      <c r="I238" s="450">
        <v>4823.7</v>
      </c>
      <c r="J238" s="450">
        <v>0</v>
      </c>
      <c r="K238" s="450">
        <v>0</v>
      </c>
      <c r="L238" s="450">
        <f t="shared" si="7"/>
        <v>36616.04</v>
      </c>
    </row>
    <row r="239" spans="1:12" ht="12.75" outlineLevel="1">
      <c r="A239" s="395" t="s">
        <v>1523</v>
      </c>
      <c r="C239" s="455"/>
      <c r="D239" s="433" t="s">
        <v>1524</v>
      </c>
      <c r="E239" s="456" t="str">
        <f t="shared" si="6"/>
        <v>MOELLER BRO ENDOW</v>
      </c>
      <c r="F239" s="441">
        <v>168692.15</v>
      </c>
      <c r="G239" s="450">
        <v>0</v>
      </c>
      <c r="H239" s="450">
        <v>-5030.02</v>
      </c>
      <c r="I239" s="450">
        <v>25426.4</v>
      </c>
      <c r="J239" s="450">
        <v>0</v>
      </c>
      <c r="K239" s="450">
        <v>0</v>
      </c>
      <c r="L239" s="450">
        <f t="shared" si="7"/>
        <v>189088.53</v>
      </c>
    </row>
    <row r="240" spans="1:12" ht="12.75" outlineLevel="1">
      <c r="A240" s="395" t="s">
        <v>1525</v>
      </c>
      <c r="C240" s="455"/>
      <c r="D240" s="433" t="s">
        <v>1526</v>
      </c>
      <c r="E240" s="456" t="str">
        <f t="shared" si="6"/>
        <v>OMURTAG ENGR END FND</v>
      </c>
      <c r="F240" s="441">
        <v>212977.24</v>
      </c>
      <c r="G240" s="450">
        <v>0</v>
      </c>
      <c r="H240" s="450">
        <v>-6351.49</v>
      </c>
      <c r="I240" s="450">
        <v>32099.42</v>
      </c>
      <c r="J240" s="450">
        <v>35.1</v>
      </c>
      <c r="K240" s="450">
        <v>0</v>
      </c>
      <c r="L240" s="450">
        <f t="shared" si="7"/>
        <v>238690.06999999998</v>
      </c>
    </row>
    <row r="241" spans="1:13" ht="12.75" outlineLevel="1">
      <c r="A241" s="395" t="s">
        <v>1527</v>
      </c>
      <c r="C241" s="455"/>
      <c r="D241" s="433" t="s">
        <v>1528</v>
      </c>
      <c r="E241" s="421" t="str">
        <f t="shared" si="6"/>
        <v>REMMERS SPEC LEC ART</v>
      </c>
      <c r="F241" s="449">
        <v>1030067.21</v>
      </c>
      <c r="G241" s="450">
        <v>0</v>
      </c>
      <c r="H241" s="450">
        <v>-30368.71</v>
      </c>
      <c r="I241" s="450">
        <v>154719.58</v>
      </c>
      <c r="J241" s="450">
        <v>0</v>
      </c>
      <c r="K241" s="450">
        <v>0</v>
      </c>
      <c r="L241" s="450">
        <f t="shared" si="7"/>
        <v>1154418.08</v>
      </c>
      <c r="M241" s="455"/>
    </row>
    <row r="242" spans="1:13" ht="12.75" outlineLevel="1">
      <c r="A242" s="395" t="s">
        <v>1529</v>
      </c>
      <c r="D242" s="433" t="s">
        <v>1530</v>
      </c>
      <c r="E242" s="421" t="str">
        <f t="shared" si="6"/>
        <v>JACKLING MIN IND FD</v>
      </c>
      <c r="F242" s="449">
        <v>876770.01</v>
      </c>
      <c r="G242" s="450">
        <v>0</v>
      </c>
      <c r="H242" s="450">
        <v>26323.51</v>
      </c>
      <c r="I242" s="450">
        <v>48319.72</v>
      </c>
      <c r="J242" s="450">
        <v>0</v>
      </c>
      <c r="K242" s="450">
        <v>-61127.08</v>
      </c>
      <c r="L242" s="450">
        <f t="shared" si="7"/>
        <v>890286.16</v>
      </c>
      <c r="M242" s="433"/>
    </row>
    <row r="243" spans="1:14" s="495" customFormat="1" ht="12.75" outlineLevel="1">
      <c r="A243" s="495" t="s">
        <v>1531</v>
      </c>
      <c r="B243" s="496"/>
      <c r="C243" s="455"/>
      <c r="D243" s="455" t="s">
        <v>1532</v>
      </c>
      <c r="E243" s="497" t="str">
        <f t="shared" si="6"/>
        <v>MATHES PROF CIVIL EN</v>
      </c>
      <c r="F243" s="498">
        <v>885382.19</v>
      </c>
      <c r="G243" s="499">
        <v>0</v>
      </c>
      <c r="H243" s="499">
        <v>-26397.54</v>
      </c>
      <c r="I243" s="499">
        <v>133452.53</v>
      </c>
      <c r="J243" s="499">
        <v>0</v>
      </c>
      <c r="K243" s="499">
        <v>0</v>
      </c>
      <c r="L243" s="499">
        <f t="shared" si="7"/>
        <v>992437.1799999999</v>
      </c>
      <c r="M243" s="457"/>
      <c r="N243" s="500"/>
    </row>
    <row r="244" spans="1:12" ht="12.75" outlineLevel="1">
      <c r="A244" s="395" t="s">
        <v>1533</v>
      </c>
      <c r="C244" s="455"/>
      <c r="D244" s="433" t="s">
        <v>1534</v>
      </c>
      <c r="E244" s="456" t="str">
        <f t="shared" si="6"/>
        <v>MATTHEWS CANCER RES</v>
      </c>
      <c r="F244" s="441">
        <v>18170.38</v>
      </c>
      <c r="G244" s="450">
        <v>0</v>
      </c>
      <c r="H244" s="450">
        <v>-492.01</v>
      </c>
      <c r="I244" s="450">
        <v>2797.38</v>
      </c>
      <c r="J244" s="450">
        <v>0</v>
      </c>
      <c r="K244" s="450">
        <v>0</v>
      </c>
      <c r="L244" s="450">
        <f t="shared" si="7"/>
        <v>20475.750000000004</v>
      </c>
    </row>
    <row r="245" spans="1:12" ht="12.75" outlineLevel="1">
      <c r="A245" s="395" t="s">
        <v>1535</v>
      </c>
      <c r="C245" s="455"/>
      <c r="D245" s="433" t="s">
        <v>1536</v>
      </c>
      <c r="E245" s="456" t="str">
        <f t="shared" si="6"/>
        <v>RUTLEDGE PROF</v>
      </c>
      <c r="F245" s="441">
        <v>482337.07</v>
      </c>
      <c r="G245" s="450">
        <v>0</v>
      </c>
      <c r="H245" s="450">
        <v>-14382.21</v>
      </c>
      <c r="I245" s="450">
        <v>72701.04</v>
      </c>
      <c r="J245" s="450">
        <v>0</v>
      </c>
      <c r="K245" s="450">
        <v>0</v>
      </c>
      <c r="L245" s="450">
        <f t="shared" si="7"/>
        <v>540655.9</v>
      </c>
    </row>
    <row r="246" spans="1:12" ht="12.75" outlineLevel="1">
      <c r="A246" s="395" t="s">
        <v>1537</v>
      </c>
      <c r="C246" s="455"/>
      <c r="D246" s="433" t="s">
        <v>1538</v>
      </c>
      <c r="E246" s="456" t="str">
        <f t="shared" si="6"/>
        <v>MO SOYBEAN RES PROF</v>
      </c>
      <c r="F246" s="441">
        <v>497586.31</v>
      </c>
      <c r="G246" s="450">
        <v>0</v>
      </c>
      <c r="H246" s="450">
        <v>-14836.91</v>
      </c>
      <c r="I246" s="450">
        <v>74999.51</v>
      </c>
      <c r="J246" s="450">
        <v>0</v>
      </c>
      <c r="K246" s="450">
        <v>0</v>
      </c>
      <c r="L246" s="450">
        <f t="shared" si="7"/>
        <v>557748.91</v>
      </c>
    </row>
    <row r="247" spans="1:12" ht="12.75" outlineLevel="1">
      <c r="A247" s="395" t="s">
        <v>1539</v>
      </c>
      <c r="C247" s="455"/>
      <c r="D247" s="433" t="s">
        <v>1540</v>
      </c>
      <c r="E247" s="456" t="str">
        <f t="shared" si="6"/>
        <v>SCHLUMBERGER PROF</v>
      </c>
      <c r="F247" s="441">
        <v>1090987.04</v>
      </c>
      <c r="G247" s="450">
        <v>0</v>
      </c>
      <c r="H247" s="450">
        <v>-32530.81</v>
      </c>
      <c r="I247" s="450">
        <v>164440.77</v>
      </c>
      <c r="J247" s="450">
        <v>0</v>
      </c>
      <c r="K247" s="450">
        <v>0</v>
      </c>
      <c r="L247" s="450">
        <f t="shared" si="7"/>
        <v>1222897</v>
      </c>
    </row>
    <row r="248" spans="1:12" ht="12.75" outlineLevel="1">
      <c r="A248" s="395" t="s">
        <v>1541</v>
      </c>
      <c r="C248" s="455"/>
      <c r="D248" s="433" t="s">
        <v>1542</v>
      </c>
      <c r="E248" s="456" t="str">
        <f t="shared" si="6"/>
        <v>SCOTT-MORRIS AWARD</v>
      </c>
      <c r="F248" s="441">
        <v>28185.92</v>
      </c>
      <c r="G248" s="450">
        <v>0</v>
      </c>
      <c r="H248" s="450">
        <v>1.62</v>
      </c>
      <c r="I248" s="450">
        <v>-1239.46</v>
      </c>
      <c r="J248" s="450">
        <v>0</v>
      </c>
      <c r="K248" s="450">
        <v>0</v>
      </c>
      <c r="L248" s="450">
        <f t="shared" si="7"/>
        <v>26948.079999999998</v>
      </c>
    </row>
    <row r="249" spans="1:12" ht="12.75" outlineLevel="1">
      <c r="A249" s="395" t="s">
        <v>1543</v>
      </c>
      <c r="C249" s="455"/>
      <c r="D249" s="433" t="s">
        <v>1544</v>
      </c>
      <c r="E249" s="456" t="str">
        <f t="shared" si="6"/>
        <v>SENNE FACULTY ACHIEV</v>
      </c>
      <c r="F249" s="441">
        <v>91647.38</v>
      </c>
      <c r="G249" s="450">
        <v>0</v>
      </c>
      <c r="H249" s="450">
        <v>-2732.72</v>
      </c>
      <c r="I249" s="450">
        <v>13813.72</v>
      </c>
      <c r="J249" s="450">
        <v>0</v>
      </c>
      <c r="K249" s="450">
        <v>0</v>
      </c>
      <c r="L249" s="450">
        <f t="shared" si="7"/>
        <v>102728.38</v>
      </c>
    </row>
    <row r="250" spans="1:12" ht="12.75" outlineLevel="1">
      <c r="A250" s="395" t="s">
        <v>1545</v>
      </c>
      <c r="C250" s="455"/>
      <c r="D250" s="433" t="s">
        <v>1546</v>
      </c>
      <c r="E250" s="456" t="str">
        <f t="shared" si="6"/>
        <v>SHALLER END FUND</v>
      </c>
      <c r="F250" s="441">
        <v>29923.19</v>
      </c>
      <c r="G250" s="450">
        <v>0</v>
      </c>
      <c r="H250" s="450">
        <v>-892.24</v>
      </c>
      <c r="I250" s="450">
        <v>4510.21</v>
      </c>
      <c r="J250" s="450">
        <v>0</v>
      </c>
      <c r="K250" s="450">
        <v>0</v>
      </c>
      <c r="L250" s="450">
        <f t="shared" si="7"/>
        <v>33541.159999999996</v>
      </c>
    </row>
    <row r="251" spans="1:12" ht="12.75" outlineLevel="1">
      <c r="A251" s="395" t="s">
        <v>1547</v>
      </c>
      <c r="C251" s="455"/>
      <c r="D251" s="433" t="s">
        <v>1548</v>
      </c>
      <c r="E251" s="456" t="str">
        <f t="shared" si="6"/>
        <v>SPHAR ENDOW MINING</v>
      </c>
      <c r="F251" s="441">
        <v>15095.96</v>
      </c>
      <c r="G251" s="450">
        <v>0</v>
      </c>
      <c r="H251" s="450">
        <v>-450.13</v>
      </c>
      <c r="I251" s="450">
        <v>2275.38</v>
      </c>
      <c r="J251" s="450">
        <v>0</v>
      </c>
      <c r="K251" s="450">
        <v>0</v>
      </c>
      <c r="L251" s="450">
        <f t="shared" si="7"/>
        <v>16921.21</v>
      </c>
    </row>
    <row r="252" spans="1:12" ht="12.75" outlineLevel="1">
      <c r="A252" s="395" t="s">
        <v>1549</v>
      </c>
      <c r="C252" s="455"/>
      <c r="D252" s="433" t="s">
        <v>1550</v>
      </c>
      <c r="E252" s="456" t="str">
        <f t="shared" si="6"/>
        <v>QUENON MO PROFESSOR</v>
      </c>
      <c r="F252" s="441">
        <v>1448295.32</v>
      </c>
      <c r="G252" s="450">
        <v>0</v>
      </c>
      <c r="H252" s="450">
        <v>-43184.91</v>
      </c>
      <c r="I252" s="450">
        <v>218296.67</v>
      </c>
      <c r="J252" s="450">
        <v>0</v>
      </c>
      <c r="K252" s="450">
        <v>0</v>
      </c>
      <c r="L252" s="450">
        <f t="shared" si="7"/>
        <v>1623407.08</v>
      </c>
    </row>
    <row r="253" spans="1:12" ht="12.75" outlineLevel="1">
      <c r="A253" s="395" t="s">
        <v>1551</v>
      </c>
      <c r="C253" s="455"/>
      <c r="D253" s="433" t="s">
        <v>1552</v>
      </c>
      <c r="E253" s="456" t="str">
        <f t="shared" si="6"/>
        <v>TANG MO PROF COMP EN</v>
      </c>
      <c r="F253" s="441">
        <v>327360.6</v>
      </c>
      <c r="G253" s="450">
        <v>0</v>
      </c>
      <c r="H253" s="450">
        <v>-9761.16</v>
      </c>
      <c r="I253" s="450">
        <v>49341.98</v>
      </c>
      <c r="J253" s="450">
        <v>0</v>
      </c>
      <c r="K253" s="450">
        <v>0</v>
      </c>
      <c r="L253" s="450">
        <f t="shared" si="7"/>
        <v>366941.42</v>
      </c>
    </row>
    <row r="254" spans="1:12" ht="12.75" outlineLevel="1">
      <c r="A254" s="395" t="s">
        <v>1553</v>
      </c>
      <c r="C254" s="455"/>
      <c r="D254" s="433" t="s">
        <v>1554</v>
      </c>
      <c r="E254" s="456" t="str">
        <f t="shared" si="6"/>
        <v>TAPPMEYER ENDOW</v>
      </c>
      <c r="F254" s="441">
        <v>27358.35</v>
      </c>
      <c r="G254" s="450">
        <v>250</v>
      </c>
      <c r="H254" s="450">
        <v>-116.54</v>
      </c>
      <c r="I254" s="450">
        <v>-1524.57</v>
      </c>
      <c r="J254" s="450">
        <v>0</v>
      </c>
      <c r="K254" s="450">
        <v>0</v>
      </c>
      <c r="L254" s="450">
        <f t="shared" si="7"/>
        <v>25967.239999999998</v>
      </c>
    </row>
    <row r="255" spans="1:12" ht="12.75" outlineLevel="1">
      <c r="A255" s="395" t="s">
        <v>1555</v>
      </c>
      <c r="C255" s="455"/>
      <c r="D255" s="433" t="s">
        <v>1556</v>
      </c>
      <c r="E255" s="456" t="str">
        <f t="shared" si="6"/>
        <v>UMR BAND FUND</v>
      </c>
      <c r="F255" s="441">
        <v>102729.82</v>
      </c>
      <c r="G255" s="450">
        <v>0</v>
      </c>
      <c r="H255" s="450">
        <v>-3063.19</v>
      </c>
      <c r="I255" s="450">
        <v>15484.13</v>
      </c>
      <c r="J255" s="450">
        <v>0</v>
      </c>
      <c r="K255" s="450">
        <v>0</v>
      </c>
      <c r="L255" s="450">
        <f t="shared" si="7"/>
        <v>115150.76000000001</v>
      </c>
    </row>
    <row r="256" spans="1:12" ht="12.75" outlineLevel="1">
      <c r="A256" s="395" t="s">
        <v>1557</v>
      </c>
      <c r="C256" s="455"/>
      <c r="D256" s="433" t="s">
        <v>1558</v>
      </c>
      <c r="E256" s="456" t="str">
        <f t="shared" si="6"/>
        <v>WEINER MO PROF</v>
      </c>
      <c r="F256" s="441">
        <v>555899.24</v>
      </c>
      <c r="G256" s="450">
        <v>0</v>
      </c>
      <c r="H256" s="450">
        <v>-16575.66</v>
      </c>
      <c r="I256" s="450">
        <v>83788.83</v>
      </c>
      <c r="J256" s="450">
        <v>0</v>
      </c>
      <c r="K256" s="450">
        <v>0</v>
      </c>
      <c r="L256" s="450">
        <f t="shared" si="7"/>
        <v>623112.4099999999</v>
      </c>
    </row>
    <row r="257" spans="1:12" ht="12.75" outlineLevel="1">
      <c r="A257" s="395" t="s">
        <v>1559</v>
      </c>
      <c r="C257" s="455"/>
      <c r="D257" s="433" t="s">
        <v>1560</v>
      </c>
      <c r="E257" s="456" t="str">
        <f t="shared" si="6"/>
        <v>WILKENS MO PROFESSHP</v>
      </c>
      <c r="F257" s="441">
        <v>495689.42</v>
      </c>
      <c r="G257" s="450">
        <v>0</v>
      </c>
      <c r="H257" s="450">
        <v>-14780.34</v>
      </c>
      <c r="I257" s="450">
        <v>74713.6</v>
      </c>
      <c r="J257" s="450">
        <v>0</v>
      </c>
      <c r="K257" s="450">
        <v>0</v>
      </c>
      <c r="L257" s="450">
        <f t="shared" si="7"/>
        <v>555622.6799999999</v>
      </c>
    </row>
    <row r="258" spans="1:12" ht="12.75" outlineLevel="1">
      <c r="A258" s="395" t="s">
        <v>1561</v>
      </c>
      <c r="C258" s="455"/>
      <c r="D258" s="433" t="s">
        <v>1562</v>
      </c>
      <c r="E258" s="456" t="str">
        <f t="shared" si="6"/>
        <v>UN PAC/ROCKY MTN PRF</v>
      </c>
      <c r="F258" s="441">
        <v>254547.46</v>
      </c>
      <c r="G258" s="450">
        <v>0</v>
      </c>
      <c r="H258" s="450">
        <v>-7590.04</v>
      </c>
      <c r="I258" s="450">
        <v>38367.08</v>
      </c>
      <c r="J258" s="450">
        <v>0</v>
      </c>
      <c r="K258" s="450">
        <v>0</v>
      </c>
      <c r="L258" s="450">
        <f t="shared" si="7"/>
        <v>285324.5</v>
      </c>
    </row>
    <row r="259" spans="1:12" ht="12.75" outlineLevel="1">
      <c r="A259" s="395" t="s">
        <v>1563</v>
      </c>
      <c r="C259" s="455"/>
      <c r="D259" s="433" t="s">
        <v>1564</v>
      </c>
      <c r="E259" s="456" t="str">
        <f t="shared" si="6"/>
        <v>WEINER DEV PSYCH</v>
      </c>
      <c r="F259" s="441">
        <v>41068.84</v>
      </c>
      <c r="G259" s="450">
        <v>0</v>
      </c>
      <c r="H259" s="450">
        <v>-1224.8</v>
      </c>
      <c r="I259" s="450">
        <v>6190.19</v>
      </c>
      <c r="J259" s="450">
        <v>0</v>
      </c>
      <c r="K259" s="450">
        <v>0</v>
      </c>
      <c r="L259" s="450">
        <f t="shared" si="7"/>
        <v>46034.229999999996</v>
      </c>
    </row>
    <row r="260" spans="1:12" ht="12.75" outlineLevel="1">
      <c r="A260" s="395" t="s">
        <v>1565</v>
      </c>
      <c r="C260" s="455"/>
      <c r="D260" s="433" t="s">
        <v>1566</v>
      </c>
      <c r="E260" s="456" t="str">
        <f t="shared" si="6"/>
        <v>WEINER END MGMT SYTM</v>
      </c>
      <c r="F260" s="441">
        <v>41086.8</v>
      </c>
      <c r="G260" s="450">
        <v>0</v>
      </c>
      <c r="H260" s="450">
        <v>-1224.94</v>
      </c>
      <c r="I260" s="450">
        <v>6217.37</v>
      </c>
      <c r="J260" s="450">
        <v>100</v>
      </c>
      <c r="K260" s="450">
        <v>0</v>
      </c>
      <c r="L260" s="450">
        <f t="shared" si="7"/>
        <v>45979.23</v>
      </c>
    </row>
    <row r="261" spans="1:13" ht="12.75" outlineLevel="1">
      <c r="A261" s="395" t="s">
        <v>1567</v>
      </c>
      <c r="C261" s="455"/>
      <c r="D261" s="433" t="s">
        <v>1568</v>
      </c>
      <c r="E261" s="421" t="str">
        <f t="shared" si="6"/>
        <v>WEINER END ENGLISH</v>
      </c>
      <c r="F261" s="449">
        <v>41073.47</v>
      </c>
      <c r="G261" s="450">
        <v>0</v>
      </c>
      <c r="H261" s="450">
        <v>-1224.71</v>
      </c>
      <c r="I261" s="450">
        <v>6190.91</v>
      </c>
      <c r="J261" s="450">
        <v>0</v>
      </c>
      <c r="K261" s="450">
        <v>0</v>
      </c>
      <c r="L261" s="450">
        <f t="shared" si="7"/>
        <v>46039.67</v>
      </c>
      <c r="M261" s="455"/>
    </row>
    <row r="262" spans="1:14" s="495" customFormat="1" ht="12.75" outlineLevel="1">
      <c r="A262" s="495" t="s">
        <v>1569</v>
      </c>
      <c r="B262" s="496"/>
      <c r="C262" s="455"/>
      <c r="D262" s="455" t="s">
        <v>1570</v>
      </c>
      <c r="E262" s="497" t="str">
        <f t="shared" si="6"/>
        <v>WEINER END ECONOMICS</v>
      </c>
      <c r="F262" s="498">
        <v>41073.47</v>
      </c>
      <c r="G262" s="499">
        <v>0</v>
      </c>
      <c r="H262" s="499">
        <v>-1224.71</v>
      </c>
      <c r="I262" s="499">
        <v>6190.91</v>
      </c>
      <c r="J262" s="499">
        <v>0</v>
      </c>
      <c r="K262" s="499">
        <v>0</v>
      </c>
      <c r="L262" s="499">
        <f t="shared" si="7"/>
        <v>46039.67</v>
      </c>
      <c r="M262" s="457"/>
      <c r="N262" s="500"/>
    </row>
    <row r="263" spans="1:12" ht="12.75" outlineLevel="1">
      <c r="A263" s="395" t="s">
        <v>1571</v>
      </c>
      <c r="C263" s="455"/>
      <c r="D263" s="433" t="s">
        <v>1572</v>
      </c>
      <c r="E263" s="456" t="str">
        <f t="shared" si="6"/>
        <v>WEINER END HISTORY</v>
      </c>
      <c r="F263" s="441">
        <v>41073.47</v>
      </c>
      <c r="G263" s="450">
        <v>0</v>
      </c>
      <c r="H263" s="450">
        <v>-1224.71</v>
      </c>
      <c r="I263" s="450">
        <v>6190.91</v>
      </c>
      <c r="J263" s="450">
        <v>0</v>
      </c>
      <c r="K263" s="450">
        <v>0</v>
      </c>
      <c r="L263" s="450">
        <f t="shared" si="7"/>
        <v>46039.67</v>
      </c>
    </row>
    <row r="264" spans="1:12" ht="12.75" outlineLevel="1">
      <c r="A264" s="395" t="s">
        <v>1573</v>
      </c>
      <c r="C264" s="455"/>
      <c r="D264" s="433" t="s">
        <v>1574</v>
      </c>
      <c r="E264" s="456" t="str">
        <f t="shared" si="6"/>
        <v>WEINER END P L A</v>
      </c>
      <c r="F264" s="441">
        <v>41073.47</v>
      </c>
      <c r="G264" s="450">
        <v>0</v>
      </c>
      <c r="H264" s="450">
        <v>-1224.71</v>
      </c>
      <c r="I264" s="450">
        <v>6190.91</v>
      </c>
      <c r="J264" s="450">
        <v>0</v>
      </c>
      <c r="K264" s="450">
        <v>0</v>
      </c>
      <c r="L264" s="450">
        <f t="shared" si="7"/>
        <v>46039.67</v>
      </c>
    </row>
    <row r="265" spans="1:12" ht="12.75" outlineLevel="1">
      <c r="A265" s="395" t="s">
        <v>1575</v>
      </c>
      <c r="C265" s="455"/>
      <c r="D265" s="433" t="s">
        <v>1576</v>
      </c>
      <c r="E265" s="456" t="str">
        <f aca="true" t="shared" si="8" ref="E265:E328">UPPER(D265)</f>
        <v>WEINER END ARTS/SCI</v>
      </c>
      <c r="F265" s="441">
        <v>125344.59</v>
      </c>
      <c r="G265" s="450">
        <v>0</v>
      </c>
      <c r="H265" s="450">
        <v>-3737.5</v>
      </c>
      <c r="I265" s="450">
        <v>18892.78</v>
      </c>
      <c r="J265" s="450">
        <v>0</v>
      </c>
      <c r="K265" s="450">
        <v>0</v>
      </c>
      <c r="L265" s="450">
        <f aca="true" t="shared" si="9" ref="L265:L328">F265+G265+H265+I265-J265+K265</f>
        <v>140499.87</v>
      </c>
    </row>
    <row r="266" spans="1:12" ht="12.75" outlineLevel="1">
      <c r="A266" s="395" t="s">
        <v>1577</v>
      </c>
      <c r="C266" s="455"/>
      <c r="D266" s="433" t="s">
        <v>1578</v>
      </c>
      <c r="E266" s="456" t="str">
        <f t="shared" si="8"/>
        <v>WEINER ENDOW PERFORM</v>
      </c>
      <c r="F266" s="441">
        <v>438285.58</v>
      </c>
      <c r="G266" s="450">
        <v>0</v>
      </c>
      <c r="H266" s="450">
        <v>-13068.7</v>
      </c>
      <c r="I266" s="450">
        <v>66061.3</v>
      </c>
      <c r="J266" s="450">
        <v>0</v>
      </c>
      <c r="K266" s="450">
        <v>0</v>
      </c>
      <c r="L266" s="450">
        <f t="shared" si="9"/>
        <v>491278.18</v>
      </c>
    </row>
    <row r="267" spans="1:12" ht="12.75" outlineLevel="1">
      <c r="A267" s="395" t="s">
        <v>1579</v>
      </c>
      <c r="C267" s="455"/>
      <c r="D267" s="433" t="s">
        <v>1580</v>
      </c>
      <c r="E267" s="456" t="str">
        <f t="shared" si="8"/>
        <v>WEINER FD LEACH THEA</v>
      </c>
      <c r="F267" s="441">
        <v>121325.3</v>
      </c>
      <c r="G267" s="450">
        <v>0</v>
      </c>
      <c r="H267" s="450">
        <v>-3617.66</v>
      </c>
      <c r="I267" s="450">
        <v>18286.98</v>
      </c>
      <c r="J267" s="450">
        <v>0</v>
      </c>
      <c r="K267" s="450">
        <v>0</v>
      </c>
      <c r="L267" s="450">
        <f t="shared" si="9"/>
        <v>135994.62</v>
      </c>
    </row>
    <row r="268" spans="1:12" ht="12.75" outlineLevel="1">
      <c r="A268" s="395" t="s">
        <v>1581</v>
      </c>
      <c r="C268" s="455"/>
      <c r="D268" s="433" t="s">
        <v>1582</v>
      </c>
      <c r="E268" s="456" t="str">
        <f t="shared" si="8"/>
        <v>WEINER KUMR END FUND</v>
      </c>
      <c r="F268" s="441">
        <v>113294.45</v>
      </c>
      <c r="G268" s="450">
        <v>0</v>
      </c>
      <c r="H268" s="450">
        <v>-3378.19</v>
      </c>
      <c r="I268" s="450">
        <v>17076.48</v>
      </c>
      <c r="J268" s="450">
        <v>0</v>
      </c>
      <c r="K268" s="450">
        <v>0</v>
      </c>
      <c r="L268" s="450">
        <f t="shared" si="9"/>
        <v>126992.73999999999</v>
      </c>
    </row>
    <row r="269" spans="1:12" ht="12.75" outlineLevel="1">
      <c r="A269" s="395" t="s">
        <v>1583</v>
      </c>
      <c r="C269" s="455"/>
      <c r="D269" s="433" t="s">
        <v>1584</v>
      </c>
      <c r="E269" s="456" t="str">
        <f t="shared" si="8"/>
        <v>WEINER FUND WRITING</v>
      </c>
      <c r="F269" s="441">
        <v>41016.6</v>
      </c>
      <c r="G269" s="450">
        <v>0</v>
      </c>
      <c r="H269" s="450">
        <v>-1229</v>
      </c>
      <c r="I269" s="450">
        <v>6160.16</v>
      </c>
      <c r="J269" s="450">
        <v>0</v>
      </c>
      <c r="K269" s="450">
        <v>0</v>
      </c>
      <c r="L269" s="450">
        <f t="shared" si="9"/>
        <v>45947.759999999995</v>
      </c>
    </row>
    <row r="270" spans="1:12" ht="12.75" outlineLevel="1">
      <c r="A270" s="395" t="s">
        <v>1585</v>
      </c>
      <c r="C270" s="455"/>
      <c r="D270" s="433" t="s">
        <v>1586</v>
      </c>
      <c r="E270" s="456" t="str">
        <f t="shared" si="8"/>
        <v>ACCENTURE SCHOLARSHIP FUND</v>
      </c>
      <c r="F270" s="441">
        <v>27771.83</v>
      </c>
      <c r="G270" s="450">
        <v>2157.38</v>
      </c>
      <c r="H270" s="450">
        <v>-752.38</v>
      </c>
      <c r="I270" s="450">
        <v>4161.47</v>
      </c>
      <c r="J270" s="450">
        <v>0</v>
      </c>
      <c r="K270" s="450">
        <v>0</v>
      </c>
      <c r="L270" s="450">
        <f t="shared" si="9"/>
        <v>33338.3</v>
      </c>
    </row>
    <row r="271" spans="1:12" ht="12.75" outlineLevel="1">
      <c r="A271" s="395" t="s">
        <v>1587</v>
      </c>
      <c r="C271" s="455"/>
      <c r="D271" s="433" t="s">
        <v>1588</v>
      </c>
      <c r="E271" s="456" t="str">
        <f t="shared" si="8"/>
        <v>BAILEY ENDOWED SCHP</v>
      </c>
      <c r="F271" s="441">
        <v>24467.3</v>
      </c>
      <c r="G271" s="450">
        <v>1000</v>
      </c>
      <c r="H271" s="450">
        <v>499.82</v>
      </c>
      <c r="I271" s="450">
        <v>3803.72</v>
      </c>
      <c r="J271" s="450">
        <v>0</v>
      </c>
      <c r="K271" s="450">
        <v>0</v>
      </c>
      <c r="L271" s="450">
        <f t="shared" si="9"/>
        <v>29770.84</v>
      </c>
    </row>
    <row r="272" spans="1:12" ht="12.75" outlineLevel="1">
      <c r="A272" s="395" t="s">
        <v>1589</v>
      </c>
      <c r="C272" s="455"/>
      <c r="D272" s="433" t="s">
        <v>1590</v>
      </c>
      <c r="E272" s="456" t="str">
        <f t="shared" si="8"/>
        <v>BARNETT ENDOW CHEM</v>
      </c>
      <c r="F272" s="441">
        <v>23846.17</v>
      </c>
      <c r="G272" s="450">
        <v>20610</v>
      </c>
      <c r="H272" s="450">
        <v>-449.01</v>
      </c>
      <c r="I272" s="450">
        <v>4262.35</v>
      </c>
      <c r="J272" s="450">
        <v>0</v>
      </c>
      <c r="K272" s="450">
        <v>0</v>
      </c>
      <c r="L272" s="450">
        <f t="shared" si="9"/>
        <v>48269.509999999995</v>
      </c>
    </row>
    <row r="273" spans="1:12" ht="12.75" outlineLevel="1">
      <c r="A273" s="395" t="s">
        <v>1591</v>
      </c>
      <c r="C273" s="455"/>
      <c r="D273" s="433" t="s">
        <v>1592</v>
      </c>
      <c r="E273" s="456" t="str">
        <f t="shared" si="8"/>
        <v>DAVIES FAMILY SCHP</v>
      </c>
      <c r="F273" s="441">
        <v>10335.4</v>
      </c>
      <c r="G273" s="450">
        <v>1500</v>
      </c>
      <c r="H273" s="450">
        <v>-256.86</v>
      </c>
      <c r="I273" s="450">
        <v>1628.07</v>
      </c>
      <c r="J273" s="450">
        <v>0</v>
      </c>
      <c r="K273" s="450">
        <v>0</v>
      </c>
      <c r="L273" s="450">
        <f t="shared" si="9"/>
        <v>13206.609999999999</v>
      </c>
    </row>
    <row r="274" spans="1:12" ht="12.75" outlineLevel="1">
      <c r="A274" s="395" t="s">
        <v>1593</v>
      </c>
      <c r="C274" s="455"/>
      <c r="D274" s="433" t="s">
        <v>1594</v>
      </c>
      <c r="E274" s="456" t="str">
        <f t="shared" si="8"/>
        <v>EVENSON MEMORIAL FD</v>
      </c>
      <c r="F274" s="441">
        <v>1416.08</v>
      </c>
      <c r="G274" s="450">
        <v>125</v>
      </c>
      <c r="H274" s="450">
        <v>32.25</v>
      </c>
      <c r="I274" s="450">
        <v>225.23</v>
      </c>
      <c r="J274" s="450">
        <v>0</v>
      </c>
      <c r="K274" s="450">
        <v>0</v>
      </c>
      <c r="L274" s="450">
        <f t="shared" si="9"/>
        <v>1798.56</v>
      </c>
    </row>
    <row r="275" spans="1:12" ht="12.75" outlineLevel="1">
      <c r="A275" s="395" t="s">
        <v>1595</v>
      </c>
      <c r="C275" s="455"/>
      <c r="D275" s="433" t="s">
        <v>1596</v>
      </c>
      <c r="E275" s="456" t="str">
        <f t="shared" si="8"/>
        <v>FOURNELLE SCHP MET</v>
      </c>
      <c r="F275" s="441">
        <v>9811.47</v>
      </c>
      <c r="G275" s="450">
        <v>2000</v>
      </c>
      <c r="H275" s="450">
        <v>209.48</v>
      </c>
      <c r="I275" s="450">
        <v>1511.58</v>
      </c>
      <c r="J275" s="450">
        <v>0</v>
      </c>
      <c r="K275" s="450">
        <v>0</v>
      </c>
      <c r="L275" s="450">
        <f t="shared" si="9"/>
        <v>13532.529999999999</v>
      </c>
    </row>
    <row r="276" spans="1:12" ht="12.75" outlineLevel="1">
      <c r="A276" s="395" t="s">
        <v>1597</v>
      </c>
      <c r="C276" s="455"/>
      <c r="D276" s="433" t="s">
        <v>1598</v>
      </c>
      <c r="E276" s="456" t="str">
        <f t="shared" si="8"/>
        <v>LASKO ATHLETIC FUND</v>
      </c>
      <c r="F276" s="441">
        <v>12970.02</v>
      </c>
      <c r="G276" s="450">
        <v>0</v>
      </c>
      <c r="H276" s="450">
        <v>268.99</v>
      </c>
      <c r="I276" s="450">
        <v>2004.03</v>
      </c>
      <c r="J276" s="450">
        <v>0</v>
      </c>
      <c r="K276" s="450">
        <v>0</v>
      </c>
      <c r="L276" s="450">
        <f t="shared" si="9"/>
        <v>15243.04</v>
      </c>
    </row>
    <row r="277" spans="1:12" ht="12.75" outlineLevel="1">
      <c r="A277" s="395" t="s">
        <v>1599</v>
      </c>
      <c r="C277" s="455"/>
      <c r="D277" s="433" t="s">
        <v>1600</v>
      </c>
      <c r="E277" s="456" t="str">
        <f t="shared" si="8"/>
        <v>LEGSDIN ENGLISH SCHP</v>
      </c>
      <c r="F277" s="441">
        <v>10073.18</v>
      </c>
      <c r="G277" s="450">
        <v>232.88</v>
      </c>
      <c r="H277" s="450">
        <v>210.07</v>
      </c>
      <c r="I277" s="450">
        <v>1541.08</v>
      </c>
      <c r="J277" s="450">
        <v>0</v>
      </c>
      <c r="K277" s="450">
        <v>0</v>
      </c>
      <c r="L277" s="450">
        <f t="shared" si="9"/>
        <v>12057.21</v>
      </c>
    </row>
    <row r="278" spans="1:12" ht="12.75" outlineLevel="1">
      <c r="A278" s="395" t="s">
        <v>1601</v>
      </c>
      <c r="C278" s="455"/>
      <c r="D278" s="433" t="s">
        <v>1602</v>
      </c>
      <c r="E278" s="456" t="str">
        <f t="shared" si="8"/>
        <v>LEGSDIN ECONOMICS SP</v>
      </c>
      <c r="F278" s="441">
        <v>10073.35</v>
      </c>
      <c r="G278" s="450">
        <v>232.88</v>
      </c>
      <c r="H278" s="450">
        <v>209</v>
      </c>
      <c r="I278" s="450">
        <v>1539.23</v>
      </c>
      <c r="J278" s="450">
        <v>0</v>
      </c>
      <c r="K278" s="450">
        <v>0</v>
      </c>
      <c r="L278" s="450">
        <f t="shared" si="9"/>
        <v>12054.46</v>
      </c>
    </row>
    <row r="279" spans="1:12" ht="12.75" outlineLevel="1">
      <c r="A279" s="395" t="s">
        <v>1603</v>
      </c>
      <c r="C279" s="455"/>
      <c r="D279" s="433" t="s">
        <v>1604</v>
      </c>
      <c r="E279" s="456" t="str">
        <f t="shared" si="8"/>
        <v>NELSON EE FUND</v>
      </c>
      <c r="F279" s="441">
        <v>12395.26</v>
      </c>
      <c r="G279" s="450">
        <v>500</v>
      </c>
      <c r="H279" s="450">
        <v>-329.92</v>
      </c>
      <c r="I279" s="450">
        <v>1921.98</v>
      </c>
      <c r="J279" s="450">
        <v>0</v>
      </c>
      <c r="K279" s="450">
        <v>0</v>
      </c>
      <c r="L279" s="450">
        <f t="shared" si="9"/>
        <v>14487.32</v>
      </c>
    </row>
    <row r="280" spans="1:12" ht="12.75" outlineLevel="1">
      <c r="A280" s="395" t="s">
        <v>1605</v>
      </c>
      <c r="C280" s="455"/>
      <c r="D280" s="433" t="s">
        <v>1606</v>
      </c>
      <c r="E280" s="456" t="str">
        <f t="shared" si="8"/>
        <v>PARKER END SCHP</v>
      </c>
      <c r="F280" s="441">
        <v>93048.85</v>
      </c>
      <c r="G280" s="450">
        <v>0</v>
      </c>
      <c r="H280" s="450">
        <v>-2152.21</v>
      </c>
      <c r="I280" s="450">
        <v>14820.17</v>
      </c>
      <c r="J280" s="450">
        <v>0</v>
      </c>
      <c r="K280" s="450">
        <v>0</v>
      </c>
      <c r="L280" s="450">
        <f t="shared" si="9"/>
        <v>105716.81</v>
      </c>
    </row>
    <row r="281" spans="1:12" ht="12.75" outlineLevel="1">
      <c r="A281" s="395" t="s">
        <v>1607</v>
      </c>
      <c r="C281" s="455"/>
      <c r="D281" s="433" t="s">
        <v>1608</v>
      </c>
      <c r="E281" s="456" t="str">
        <f t="shared" si="8"/>
        <v>PROFESHIP ENGR MGNT</v>
      </c>
      <c r="F281" s="441">
        <v>15462.77</v>
      </c>
      <c r="G281" s="450">
        <v>0</v>
      </c>
      <c r="H281" s="450">
        <v>356.62</v>
      </c>
      <c r="I281" s="450">
        <v>2390.21</v>
      </c>
      <c r="J281" s="450">
        <v>0</v>
      </c>
      <c r="K281" s="450">
        <v>9582.59</v>
      </c>
      <c r="L281" s="450">
        <f t="shared" si="9"/>
        <v>27792.190000000002</v>
      </c>
    </row>
    <row r="282" spans="1:12" ht="12.75" outlineLevel="1">
      <c r="A282" s="395" t="s">
        <v>1609</v>
      </c>
      <c r="C282" s="455"/>
      <c r="D282" s="433" t="s">
        <v>1610</v>
      </c>
      <c r="E282" s="456" t="str">
        <f t="shared" si="8"/>
        <v>SCOTT MEMORIAL FLSHP</v>
      </c>
      <c r="F282" s="441">
        <v>44466.91</v>
      </c>
      <c r="G282" s="450">
        <v>6000</v>
      </c>
      <c r="H282" s="450">
        <v>-999.79</v>
      </c>
      <c r="I282" s="450">
        <v>6655.31</v>
      </c>
      <c r="J282" s="450">
        <v>0</v>
      </c>
      <c r="K282" s="450">
        <v>0</v>
      </c>
      <c r="L282" s="450">
        <f t="shared" si="9"/>
        <v>56122.43</v>
      </c>
    </row>
    <row r="283" spans="1:12" ht="12.75" outlineLevel="1">
      <c r="A283" s="395" t="s">
        <v>1611</v>
      </c>
      <c r="C283" s="455"/>
      <c r="D283" s="433" t="s">
        <v>1612</v>
      </c>
      <c r="E283" s="456" t="str">
        <f t="shared" si="8"/>
        <v>SNOWDEN ENGR SCHP</v>
      </c>
      <c r="F283" s="441">
        <v>78467.49</v>
      </c>
      <c r="G283" s="450">
        <v>0</v>
      </c>
      <c r="H283" s="450">
        <v>-2339.71</v>
      </c>
      <c r="I283" s="450">
        <v>11827.13</v>
      </c>
      <c r="J283" s="450">
        <v>0</v>
      </c>
      <c r="K283" s="450">
        <v>0</v>
      </c>
      <c r="L283" s="450">
        <f t="shared" si="9"/>
        <v>87954.91</v>
      </c>
    </row>
    <row r="284" spans="1:12" ht="12.75" outlineLevel="1">
      <c r="A284" s="395" t="s">
        <v>1613</v>
      </c>
      <c r="C284" s="455"/>
      <c r="D284" s="433" t="s">
        <v>1614</v>
      </c>
      <c r="E284" s="456" t="str">
        <f t="shared" si="8"/>
        <v>STUECK CIVIL ENDOW</v>
      </c>
      <c r="F284" s="441">
        <v>8033.58</v>
      </c>
      <c r="G284" s="450">
        <v>0</v>
      </c>
      <c r="H284" s="450">
        <v>-239.55</v>
      </c>
      <c r="I284" s="450">
        <v>1210.87</v>
      </c>
      <c r="J284" s="450">
        <v>0</v>
      </c>
      <c r="K284" s="450">
        <v>0</v>
      </c>
      <c r="L284" s="450">
        <f t="shared" si="9"/>
        <v>9004.9</v>
      </c>
    </row>
    <row r="285" spans="1:12" ht="12.75" outlineLevel="1">
      <c r="A285" s="395" t="s">
        <v>1615</v>
      </c>
      <c r="C285" s="455"/>
      <c r="D285" s="433" t="s">
        <v>1616</v>
      </c>
      <c r="E285" s="456" t="str">
        <f t="shared" si="8"/>
        <v>STUECK CORNELIUS END</v>
      </c>
      <c r="F285" s="441">
        <v>179034.3</v>
      </c>
      <c r="G285" s="450">
        <v>0</v>
      </c>
      <c r="H285" s="450">
        <v>1692.3</v>
      </c>
      <c r="I285" s="450">
        <v>28876.16</v>
      </c>
      <c r="J285" s="450">
        <v>0</v>
      </c>
      <c r="K285" s="450">
        <v>-209602.76</v>
      </c>
      <c r="L285" s="450">
        <f t="shared" si="9"/>
        <v>0</v>
      </c>
    </row>
    <row r="286" spans="1:12" ht="12.75" outlineLevel="1">
      <c r="A286" s="395" t="s">
        <v>1617</v>
      </c>
      <c r="C286" s="455"/>
      <c r="D286" s="433" t="s">
        <v>1618</v>
      </c>
      <c r="E286" s="456" t="str">
        <f t="shared" si="8"/>
        <v>SUMMERS ED FUND</v>
      </c>
      <c r="F286" s="441">
        <v>17083.35</v>
      </c>
      <c r="G286" s="450">
        <v>0</v>
      </c>
      <c r="H286" s="450">
        <v>-509.39</v>
      </c>
      <c r="I286" s="450">
        <v>2574.95</v>
      </c>
      <c r="J286" s="450">
        <v>0</v>
      </c>
      <c r="K286" s="450">
        <v>0</v>
      </c>
      <c r="L286" s="450">
        <f t="shared" si="9"/>
        <v>19148.91</v>
      </c>
    </row>
    <row r="287" spans="1:12" ht="12.75" outlineLevel="1">
      <c r="A287" s="395" t="s">
        <v>1619</v>
      </c>
      <c r="C287" s="455"/>
      <c r="D287" s="433" t="s">
        <v>1620</v>
      </c>
      <c r="E287" s="456" t="str">
        <f t="shared" si="8"/>
        <v>UNSELL SCHP CIVIL</v>
      </c>
      <c r="F287" s="441">
        <v>10148.01</v>
      </c>
      <c r="G287" s="450">
        <v>0</v>
      </c>
      <c r="H287" s="450">
        <v>-302.59</v>
      </c>
      <c r="I287" s="450">
        <v>1529.56</v>
      </c>
      <c r="J287" s="450">
        <v>0</v>
      </c>
      <c r="K287" s="450">
        <v>0</v>
      </c>
      <c r="L287" s="450">
        <f t="shared" si="9"/>
        <v>11374.98</v>
      </c>
    </row>
    <row r="288" spans="1:13" ht="12.75" outlineLevel="1">
      <c r="A288" s="395" t="s">
        <v>1621</v>
      </c>
      <c r="C288" s="455"/>
      <c r="D288" s="433" t="s">
        <v>1622</v>
      </c>
      <c r="E288" s="421" t="str">
        <f t="shared" si="8"/>
        <v>WARNER MIN ENGR SCHP</v>
      </c>
      <c r="F288" s="449">
        <v>827.13</v>
      </c>
      <c r="G288" s="450">
        <v>0</v>
      </c>
      <c r="H288" s="450">
        <v>17.15</v>
      </c>
      <c r="I288" s="450">
        <v>127.95</v>
      </c>
      <c r="J288" s="450">
        <v>0</v>
      </c>
      <c r="K288" s="450">
        <v>0</v>
      </c>
      <c r="L288" s="450">
        <f t="shared" si="9"/>
        <v>972.23</v>
      </c>
      <c r="M288" s="455"/>
    </row>
    <row r="289" spans="1:13" ht="12.75" outlineLevel="1">
      <c r="A289" s="395" t="s">
        <v>1623</v>
      </c>
      <c r="D289" s="433" t="s">
        <v>1624</v>
      </c>
      <c r="E289" s="421" t="str">
        <f t="shared" si="8"/>
        <v>WIDMER SOFTWARE SCHP</v>
      </c>
      <c r="F289" s="449">
        <v>17921.51</v>
      </c>
      <c r="G289" s="450">
        <v>0</v>
      </c>
      <c r="H289" s="450">
        <v>-534.4</v>
      </c>
      <c r="I289" s="450">
        <v>2701.23</v>
      </c>
      <c r="J289" s="450">
        <v>0</v>
      </c>
      <c r="K289" s="450">
        <v>0</v>
      </c>
      <c r="L289" s="450">
        <f t="shared" si="9"/>
        <v>20088.339999999997</v>
      </c>
      <c r="M289" s="433"/>
    </row>
    <row r="290" spans="1:14" s="495" customFormat="1" ht="12.75" outlineLevel="1">
      <c r="A290" s="495" t="s">
        <v>1625</v>
      </c>
      <c r="B290" s="496"/>
      <c r="C290" s="455"/>
      <c r="D290" s="455" t="s">
        <v>1626</v>
      </c>
      <c r="E290" s="497" t="str">
        <f t="shared" si="8"/>
        <v>WOLF PROFESSORSHIP</v>
      </c>
      <c r="F290" s="498">
        <v>514731.09</v>
      </c>
      <c r="G290" s="499">
        <v>0</v>
      </c>
      <c r="H290" s="499">
        <v>-15348.13</v>
      </c>
      <c r="I290" s="499">
        <v>77583.67</v>
      </c>
      <c r="J290" s="499">
        <v>0</v>
      </c>
      <c r="K290" s="499">
        <v>0</v>
      </c>
      <c r="L290" s="499">
        <f t="shared" si="9"/>
        <v>576966.63</v>
      </c>
      <c r="M290" s="457"/>
      <c r="N290" s="500"/>
    </row>
    <row r="291" spans="1:12" ht="12.75" outlineLevel="1">
      <c r="A291" s="395" t="s">
        <v>1627</v>
      </c>
      <c r="C291" s="455"/>
      <c r="D291" s="433" t="s">
        <v>1628</v>
      </c>
      <c r="E291" s="456" t="str">
        <f t="shared" si="8"/>
        <v>DOUGLAS END SCHP</v>
      </c>
      <c r="F291" s="441">
        <v>12847.5</v>
      </c>
      <c r="G291" s="450">
        <v>1000</v>
      </c>
      <c r="H291" s="450">
        <v>-343.82</v>
      </c>
      <c r="I291" s="450">
        <v>1987.55</v>
      </c>
      <c r="J291" s="450">
        <v>0</v>
      </c>
      <c r="K291" s="450">
        <v>0</v>
      </c>
      <c r="L291" s="450">
        <f t="shared" si="9"/>
        <v>15491.23</v>
      </c>
    </row>
    <row r="292" spans="1:12" ht="12.75" outlineLevel="1">
      <c r="A292" s="395" t="s">
        <v>1629</v>
      </c>
      <c r="C292" s="455"/>
      <c r="D292" s="433" t="s">
        <v>1630</v>
      </c>
      <c r="E292" s="456" t="str">
        <f t="shared" si="8"/>
        <v>GARVEY MET SCHP</v>
      </c>
      <c r="F292" s="441">
        <v>12962.29</v>
      </c>
      <c r="G292" s="450">
        <v>0</v>
      </c>
      <c r="H292" s="450">
        <v>-386.5</v>
      </c>
      <c r="I292" s="450">
        <v>1953.76</v>
      </c>
      <c r="J292" s="450">
        <v>0</v>
      </c>
      <c r="K292" s="450">
        <v>0</v>
      </c>
      <c r="L292" s="450">
        <f t="shared" si="9"/>
        <v>14529.550000000001</v>
      </c>
    </row>
    <row r="293" spans="1:12" ht="12.75" outlineLevel="1">
      <c r="A293" s="395" t="s">
        <v>1631</v>
      </c>
      <c r="C293" s="455"/>
      <c r="D293" s="433" t="s">
        <v>1632</v>
      </c>
      <c r="E293" s="456" t="str">
        <f t="shared" si="8"/>
        <v>KOCH ENDOWED SCHP</v>
      </c>
      <c r="F293" s="441">
        <v>27256.37</v>
      </c>
      <c r="G293" s="450">
        <v>2250</v>
      </c>
      <c r="H293" s="450">
        <v>-711.9</v>
      </c>
      <c r="I293" s="450">
        <v>4269.4</v>
      </c>
      <c r="J293" s="450">
        <v>0</v>
      </c>
      <c r="K293" s="450">
        <v>0</v>
      </c>
      <c r="L293" s="450">
        <f t="shared" si="9"/>
        <v>33063.869999999995</v>
      </c>
    </row>
    <row r="294" spans="1:12" ht="12.75" outlineLevel="1">
      <c r="A294" s="395" t="s">
        <v>1633</v>
      </c>
      <c r="C294" s="455"/>
      <c r="D294" s="433" t="s">
        <v>1634</v>
      </c>
      <c r="E294" s="456" t="str">
        <f t="shared" si="8"/>
        <v>PRIESTER SCHP</v>
      </c>
      <c r="F294" s="441">
        <v>11127.48</v>
      </c>
      <c r="G294" s="450">
        <v>0</v>
      </c>
      <c r="H294" s="450">
        <v>-331.8</v>
      </c>
      <c r="I294" s="450">
        <v>1677.23</v>
      </c>
      <c r="J294" s="450">
        <v>0</v>
      </c>
      <c r="K294" s="450">
        <v>0</v>
      </c>
      <c r="L294" s="450">
        <f t="shared" si="9"/>
        <v>12472.91</v>
      </c>
    </row>
    <row r="295" spans="1:12" ht="12.75" outlineLevel="1">
      <c r="A295" s="395" t="s">
        <v>1635</v>
      </c>
      <c r="C295" s="455"/>
      <c r="D295" s="433" t="s">
        <v>1636</v>
      </c>
      <c r="E295" s="456" t="str">
        <f t="shared" si="8"/>
        <v>SEMINARY - A &amp; M</v>
      </c>
      <c r="F295" s="441">
        <v>675192.04</v>
      </c>
      <c r="G295" s="450">
        <v>0</v>
      </c>
      <c r="H295" s="450">
        <v>0</v>
      </c>
      <c r="I295" s="450">
        <v>-20227.41</v>
      </c>
      <c r="J295" s="450">
        <v>0</v>
      </c>
      <c r="K295" s="450">
        <v>0</v>
      </c>
      <c r="L295" s="450">
        <f t="shared" si="9"/>
        <v>654964.63</v>
      </c>
    </row>
    <row r="296" spans="1:12" ht="12.75" outlineLevel="1">
      <c r="A296" s="395" t="s">
        <v>1637</v>
      </c>
      <c r="C296" s="455"/>
      <c r="D296" s="433" t="s">
        <v>1638</v>
      </c>
      <c r="E296" s="456" t="str">
        <f t="shared" si="8"/>
        <v>SEMINARY - ENDOWMENT GENERAL</v>
      </c>
      <c r="F296" s="441">
        <v>145031.06</v>
      </c>
      <c r="G296" s="450">
        <v>0</v>
      </c>
      <c r="H296" s="450">
        <v>0</v>
      </c>
      <c r="I296" s="450">
        <v>-4344.72</v>
      </c>
      <c r="J296" s="450">
        <v>0</v>
      </c>
      <c r="K296" s="450">
        <v>0</v>
      </c>
      <c r="L296" s="450">
        <f t="shared" si="9"/>
        <v>140686.34</v>
      </c>
    </row>
    <row r="297" spans="1:12" ht="12.75" outlineLevel="1">
      <c r="A297" s="395" t="s">
        <v>1639</v>
      </c>
      <c r="C297" s="455"/>
      <c r="D297" s="433" t="s">
        <v>1640</v>
      </c>
      <c r="E297" s="456" t="str">
        <f t="shared" si="8"/>
        <v>PORTH DIST LECTURE</v>
      </c>
      <c r="F297" s="441">
        <v>34642.59</v>
      </c>
      <c r="G297" s="450">
        <v>0</v>
      </c>
      <c r="H297" s="450">
        <v>-1032.97</v>
      </c>
      <c r="I297" s="450">
        <v>5221.57</v>
      </c>
      <c r="J297" s="450">
        <v>0</v>
      </c>
      <c r="K297" s="450">
        <v>0</v>
      </c>
      <c r="L297" s="450">
        <f t="shared" si="9"/>
        <v>38831.189999999995</v>
      </c>
    </row>
    <row r="298" spans="1:12" ht="12.75" outlineLevel="1">
      <c r="A298" s="395" t="s">
        <v>1641</v>
      </c>
      <c r="C298" s="455"/>
      <c r="D298" s="433" t="s">
        <v>1642</v>
      </c>
      <c r="E298" s="456" t="str">
        <f t="shared" si="8"/>
        <v>DEUTCH ENDWD FUND</v>
      </c>
      <c r="F298" s="441">
        <v>92023.47</v>
      </c>
      <c r="G298" s="450">
        <v>25000</v>
      </c>
      <c r="H298" s="450">
        <v>-1762.73</v>
      </c>
      <c r="I298" s="450">
        <v>15155.91</v>
      </c>
      <c r="J298" s="450">
        <v>0</v>
      </c>
      <c r="K298" s="450">
        <v>0</v>
      </c>
      <c r="L298" s="450">
        <f t="shared" si="9"/>
        <v>130416.65000000001</v>
      </c>
    </row>
    <row r="299" spans="1:12" ht="12.75" outlineLevel="1">
      <c r="A299" s="395" t="s">
        <v>1643</v>
      </c>
      <c r="C299" s="455"/>
      <c r="D299" s="433" t="s">
        <v>1644</v>
      </c>
      <c r="E299" s="456" t="str">
        <f t="shared" si="8"/>
        <v>MODESITT SCHP FUND</v>
      </c>
      <c r="F299" s="441">
        <v>9701.81</v>
      </c>
      <c r="G299" s="450">
        <v>0</v>
      </c>
      <c r="H299" s="450">
        <v>-286.62</v>
      </c>
      <c r="I299" s="450">
        <v>1466.08</v>
      </c>
      <c r="J299" s="450">
        <v>0</v>
      </c>
      <c r="K299" s="450">
        <v>0</v>
      </c>
      <c r="L299" s="450">
        <f t="shared" si="9"/>
        <v>10881.269999999999</v>
      </c>
    </row>
    <row r="300" spans="1:12" ht="12.75" outlineLevel="1">
      <c r="A300" s="395" t="s">
        <v>1645</v>
      </c>
      <c r="C300" s="455"/>
      <c r="D300" s="433" t="s">
        <v>1646</v>
      </c>
      <c r="E300" s="456" t="str">
        <f t="shared" si="8"/>
        <v>VOLK ENDOWED SCHP</v>
      </c>
      <c r="F300" s="441">
        <v>11565.87</v>
      </c>
      <c r="G300" s="450">
        <v>3750</v>
      </c>
      <c r="H300" s="450">
        <v>274.44</v>
      </c>
      <c r="I300" s="450">
        <v>1835.99</v>
      </c>
      <c r="J300" s="450">
        <v>0</v>
      </c>
      <c r="K300" s="450">
        <v>417.41</v>
      </c>
      <c r="L300" s="450">
        <f t="shared" si="9"/>
        <v>17843.710000000003</v>
      </c>
    </row>
    <row r="301" spans="1:12" ht="12.75" outlineLevel="1">
      <c r="A301" s="395" t="s">
        <v>1647</v>
      </c>
      <c r="C301" s="455"/>
      <c r="D301" s="433" t="s">
        <v>1648</v>
      </c>
      <c r="E301" s="456" t="str">
        <f t="shared" si="8"/>
        <v>CENTER STAGE CLUB FD</v>
      </c>
      <c r="F301" s="441">
        <v>13482.06</v>
      </c>
      <c r="G301" s="450">
        <v>0</v>
      </c>
      <c r="H301" s="450">
        <v>-401.94</v>
      </c>
      <c r="I301" s="450">
        <v>2032.13</v>
      </c>
      <c r="J301" s="450">
        <v>0</v>
      </c>
      <c r="K301" s="450">
        <v>0</v>
      </c>
      <c r="L301" s="450">
        <f t="shared" si="9"/>
        <v>15112.25</v>
      </c>
    </row>
    <row r="302" spans="1:12" ht="12.75" outlineLevel="1">
      <c r="A302" s="395" t="s">
        <v>1649</v>
      </c>
      <c r="C302" s="455"/>
      <c r="D302" s="433" t="s">
        <v>1650</v>
      </c>
      <c r="E302" s="456" t="str">
        <f t="shared" si="8"/>
        <v>HART SCHOLARSHIP</v>
      </c>
      <c r="F302" s="441">
        <v>43686.37</v>
      </c>
      <c r="G302" s="450">
        <v>0</v>
      </c>
      <c r="H302" s="450">
        <v>-1302.66</v>
      </c>
      <c r="I302" s="450">
        <v>6584.69</v>
      </c>
      <c r="J302" s="450">
        <v>0</v>
      </c>
      <c r="K302" s="450">
        <v>0</v>
      </c>
      <c r="L302" s="450">
        <f t="shared" si="9"/>
        <v>48968.4</v>
      </c>
    </row>
    <row r="303" spans="1:12" ht="12.75" outlineLevel="1">
      <c r="A303" s="395" t="s">
        <v>1651</v>
      </c>
      <c r="C303" s="455"/>
      <c r="D303" s="433" t="s">
        <v>1652</v>
      </c>
      <c r="E303" s="456" t="str">
        <f t="shared" si="8"/>
        <v>SCHMIDT ENDOWED SCHP</v>
      </c>
      <c r="F303" s="441">
        <v>18886.3</v>
      </c>
      <c r="G303" s="450">
        <v>0</v>
      </c>
      <c r="H303" s="450">
        <v>-563.14</v>
      </c>
      <c r="I303" s="450">
        <v>2846.67</v>
      </c>
      <c r="J303" s="450">
        <v>0</v>
      </c>
      <c r="K303" s="450">
        <v>0</v>
      </c>
      <c r="L303" s="450">
        <f t="shared" si="9"/>
        <v>21169.83</v>
      </c>
    </row>
    <row r="304" spans="1:12" ht="12.75" outlineLevel="1">
      <c r="A304" s="395" t="s">
        <v>1653</v>
      </c>
      <c r="C304" s="455"/>
      <c r="D304" s="433" t="s">
        <v>1654</v>
      </c>
      <c r="E304" s="456" t="str">
        <f t="shared" si="8"/>
        <v>JOHN W CLAYPOOL FD MEDICAL RES</v>
      </c>
      <c r="F304" s="441">
        <v>13158.54</v>
      </c>
      <c r="G304" s="450">
        <v>0</v>
      </c>
      <c r="H304" s="450">
        <v>-392.34</v>
      </c>
      <c r="I304" s="450">
        <v>1983.36</v>
      </c>
      <c r="J304" s="450">
        <v>0</v>
      </c>
      <c r="K304" s="450">
        <v>0</v>
      </c>
      <c r="L304" s="450">
        <f t="shared" si="9"/>
        <v>14749.560000000001</v>
      </c>
    </row>
    <row r="305" spans="1:12" ht="12.75" outlineLevel="1">
      <c r="A305" s="395" t="s">
        <v>1655</v>
      </c>
      <c r="C305" s="455"/>
      <c r="D305" s="433" t="s">
        <v>1656</v>
      </c>
      <c r="E305" s="456" t="str">
        <f t="shared" si="8"/>
        <v>FORSEE FAMILY ENGR FACULTY FD</v>
      </c>
      <c r="F305" s="441">
        <v>101833.16</v>
      </c>
      <c r="G305" s="450">
        <v>0</v>
      </c>
      <c r="H305" s="450">
        <v>-3036.42</v>
      </c>
      <c r="I305" s="450">
        <v>15348.98</v>
      </c>
      <c r="J305" s="450">
        <v>0</v>
      </c>
      <c r="K305" s="450">
        <v>0</v>
      </c>
      <c r="L305" s="450">
        <f t="shared" si="9"/>
        <v>114145.72</v>
      </c>
    </row>
    <row r="306" spans="1:12" ht="12.75" outlineLevel="1">
      <c r="A306" s="395" t="s">
        <v>0</v>
      </c>
      <c r="C306" s="455"/>
      <c r="D306" s="433" t="s">
        <v>1</v>
      </c>
      <c r="E306" s="456" t="str">
        <f t="shared" si="8"/>
        <v>MAEEM BLDG RENOVATION QUAIS</v>
      </c>
      <c r="F306" s="441">
        <v>62909.64</v>
      </c>
      <c r="G306" s="450">
        <v>0</v>
      </c>
      <c r="H306" s="450">
        <v>0</v>
      </c>
      <c r="I306" s="450">
        <v>0</v>
      </c>
      <c r="J306" s="450">
        <v>0</v>
      </c>
      <c r="K306" s="450">
        <v>-62909.64</v>
      </c>
      <c r="L306" s="450">
        <f t="shared" si="9"/>
        <v>0</v>
      </c>
    </row>
    <row r="307" spans="1:12" ht="12.75" outlineLevel="1">
      <c r="A307" s="395" t="s">
        <v>2</v>
      </c>
      <c r="C307" s="455"/>
      <c r="D307" s="433" t="s">
        <v>3</v>
      </c>
      <c r="E307" s="456" t="str">
        <f t="shared" si="8"/>
        <v>FORSEE FAMILY ENGR SCHOLARSHIP</v>
      </c>
      <c r="F307" s="441">
        <v>101837.06</v>
      </c>
      <c r="G307" s="450">
        <v>0</v>
      </c>
      <c r="H307" s="450">
        <v>-3036.55</v>
      </c>
      <c r="I307" s="450">
        <v>15349.58</v>
      </c>
      <c r="J307" s="450">
        <v>0</v>
      </c>
      <c r="K307" s="450">
        <v>0</v>
      </c>
      <c r="L307" s="450">
        <f t="shared" si="9"/>
        <v>114150.09</v>
      </c>
    </row>
    <row r="308" spans="1:12" ht="12.75" outlineLevel="1">
      <c r="A308" s="395" t="s">
        <v>4</v>
      </c>
      <c r="C308" s="455"/>
      <c r="D308" s="433" t="s">
        <v>5</v>
      </c>
      <c r="E308" s="456" t="str">
        <f t="shared" si="8"/>
        <v>ROBERT *KEISER ENDOWED SCHP</v>
      </c>
      <c r="F308" s="441">
        <v>245635.89</v>
      </c>
      <c r="G308" s="450">
        <v>0</v>
      </c>
      <c r="H308" s="450">
        <v>-7263.12</v>
      </c>
      <c r="I308" s="450">
        <v>37266.52</v>
      </c>
      <c r="J308" s="450">
        <v>0</v>
      </c>
      <c r="K308" s="450">
        <v>0</v>
      </c>
      <c r="L308" s="450">
        <f t="shared" si="9"/>
        <v>275639.29000000004</v>
      </c>
    </row>
    <row r="309" spans="1:12" ht="12.75" outlineLevel="1">
      <c r="A309" s="395" t="s">
        <v>6</v>
      </c>
      <c r="C309" s="455"/>
      <c r="D309" s="433" t="s">
        <v>7</v>
      </c>
      <c r="E309" s="456" t="str">
        <f t="shared" si="8"/>
        <v>KENT W *LYNN ENDOWED SCHP</v>
      </c>
      <c r="F309" s="441">
        <v>27610.3</v>
      </c>
      <c r="G309" s="450">
        <v>10042.03</v>
      </c>
      <c r="H309" s="450">
        <v>-432.63</v>
      </c>
      <c r="I309" s="450">
        <v>4783.42</v>
      </c>
      <c r="J309" s="450">
        <v>0</v>
      </c>
      <c r="K309" s="450">
        <v>0</v>
      </c>
      <c r="L309" s="450">
        <f t="shared" si="9"/>
        <v>42003.12</v>
      </c>
    </row>
    <row r="310" spans="1:12" ht="12.75" outlineLevel="1">
      <c r="A310" s="395" t="s">
        <v>8</v>
      </c>
      <c r="C310" s="455"/>
      <c r="D310" s="433" t="s">
        <v>9</v>
      </c>
      <c r="E310" s="456" t="str">
        <f t="shared" si="8"/>
        <v>MARK X *STRATMAN ENDOWED SCHP</v>
      </c>
      <c r="F310" s="441">
        <v>29232.92</v>
      </c>
      <c r="G310" s="450">
        <v>10000</v>
      </c>
      <c r="H310" s="450">
        <v>-550.67</v>
      </c>
      <c r="I310" s="450">
        <v>4457</v>
      </c>
      <c r="J310" s="450">
        <v>0</v>
      </c>
      <c r="K310" s="450">
        <v>0</v>
      </c>
      <c r="L310" s="450">
        <f t="shared" si="9"/>
        <v>43139.25</v>
      </c>
    </row>
    <row r="311" spans="1:12" ht="12.75" outlineLevel="1">
      <c r="A311" s="395" t="s">
        <v>10</v>
      </c>
      <c r="C311" s="455"/>
      <c r="D311" s="433" t="s">
        <v>11</v>
      </c>
      <c r="E311" s="456" t="str">
        <f t="shared" si="8"/>
        <v>R KEISER ENDOWED FAC</v>
      </c>
      <c r="F311" s="441">
        <v>47910.65</v>
      </c>
      <c r="G311" s="450">
        <v>0</v>
      </c>
      <c r="H311" s="450">
        <v>-1428.58</v>
      </c>
      <c r="I311" s="450">
        <v>7221.43</v>
      </c>
      <c r="J311" s="450">
        <v>0</v>
      </c>
      <c r="K311" s="450">
        <v>0</v>
      </c>
      <c r="L311" s="450">
        <f t="shared" si="9"/>
        <v>53703.5</v>
      </c>
    </row>
    <row r="312" spans="1:13" ht="12.75" outlineLevel="1">
      <c r="A312" s="395" t="s">
        <v>12</v>
      </c>
      <c r="C312" s="455"/>
      <c r="D312" s="433" t="s">
        <v>13</v>
      </c>
      <c r="E312" s="421" t="str">
        <f t="shared" si="8"/>
        <v>MO ASPHALT PAVEMENT FELSHIP</v>
      </c>
      <c r="F312" s="449">
        <v>7939.5</v>
      </c>
      <c r="G312" s="450">
        <v>0</v>
      </c>
      <c r="H312" s="450">
        <v>-236.73</v>
      </c>
      <c r="I312" s="450">
        <v>1196.7</v>
      </c>
      <c r="J312" s="450">
        <v>0</v>
      </c>
      <c r="K312" s="450">
        <v>0</v>
      </c>
      <c r="L312" s="450">
        <f t="shared" si="9"/>
        <v>8899.470000000001</v>
      </c>
      <c r="M312" s="455"/>
    </row>
    <row r="313" spans="1:14" s="495" customFormat="1" ht="12.75" outlineLevel="1">
      <c r="A313" s="495" t="s">
        <v>14</v>
      </c>
      <c r="B313" s="496"/>
      <c r="C313" s="455"/>
      <c r="D313" s="455" t="s">
        <v>15</v>
      </c>
      <c r="E313" s="497" t="str">
        <f t="shared" si="8"/>
        <v>MINER FOOTBALL ENDOWED SCHP</v>
      </c>
      <c r="F313" s="498">
        <v>14264.7</v>
      </c>
      <c r="G313" s="499">
        <v>3250</v>
      </c>
      <c r="H313" s="499">
        <v>-135.85</v>
      </c>
      <c r="I313" s="499">
        <v>2354.94</v>
      </c>
      <c r="J313" s="499">
        <v>0</v>
      </c>
      <c r="K313" s="499">
        <v>8000</v>
      </c>
      <c r="L313" s="499">
        <f t="shared" si="9"/>
        <v>27733.79</v>
      </c>
      <c r="M313" s="457"/>
      <c r="N313" s="500"/>
    </row>
    <row r="314" spans="1:12" ht="12.75" outlineLevel="1">
      <c r="A314" s="395" t="s">
        <v>16</v>
      </c>
      <c r="C314" s="455"/>
      <c r="D314" s="433" t="s">
        <v>17</v>
      </c>
      <c r="E314" s="456" t="str">
        <f t="shared" si="8"/>
        <v>ELLEN M *HODGES MEMORIAL SCHP</v>
      </c>
      <c r="F314" s="441">
        <v>29351.27</v>
      </c>
      <c r="G314" s="450">
        <v>10000</v>
      </c>
      <c r="H314" s="450">
        <v>-253.37</v>
      </c>
      <c r="I314" s="450">
        <v>5149.96</v>
      </c>
      <c r="J314" s="450">
        <v>0</v>
      </c>
      <c r="K314" s="450">
        <v>0</v>
      </c>
      <c r="L314" s="450">
        <f t="shared" si="9"/>
        <v>44247.86</v>
      </c>
    </row>
    <row r="315" spans="1:12" ht="12.75" outlineLevel="1">
      <c r="A315" s="395" t="s">
        <v>18</v>
      </c>
      <c r="C315" s="455"/>
      <c r="D315" s="433" t="s">
        <v>19</v>
      </c>
      <c r="E315" s="456" t="str">
        <f t="shared" si="8"/>
        <v>HEAGLER SCHP CIVIL ENGR</v>
      </c>
      <c r="F315" s="441">
        <v>18320.25</v>
      </c>
      <c r="G315" s="450">
        <v>0</v>
      </c>
      <c r="H315" s="450">
        <v>-546.28</v>
      </c>
      <c r="I315" s="450">
        <v>2761.37</v>
      </c>
      <c r="J315" s="450">
        <v>0</v>
      </c>
      <c r="K315" s="450">
        <v>0</v>
      </c>
      <c r="L315" s="450">
        <f t="shared" si="9"/>
        <v>20535.34</v>
      </c>
    </row>
    <row r="316" spans="1:12" ht="12.75" outlineLevel="1">
      <c r="A316" s="395" t="s">
        <v>20</v>
      </c>
      <c r="C316" s="455"/>
      <c r="D316" s="433" t="s">
        <v>21</v>
      </c>
      <c r="E316" s="456" t="str">
        <f t="shared" si="8"/>
        <v>WEISE FRESHMAN ENGR SCHP</v>
      </c>
      <c r="F316" s="441">
        <v>36077.7</v>
      </c>
      <c r="G316" s="450">
        <v>0</v>
      </c>
      <c r="H316" s="450">
        <v>-1075.76</v>
      </c>
      <c r="I316" s="450">
        <v>5437.88</v>
      </c>
      <c r="J316" s="450">
        <v>0</v>
      </c>
      <c r="K316" s="450">
        <v>0</v>
      </c>
      <c r="L316" s="450">
        <f t="shared" si="9"/>
        <v>40439.81999999999</v>
      </c>
    </row>
    <row r="317" spans="1:12" ht="12.75" outlineLevel="1">
      <c r="A317" s="395" t="s">
        <v>22</v>
      </c>
      <c r="C317" s="455"/>
      <c r="D317" s="433" t="s">
        <v>23</v>
      </c>
      <c r="E317" s="456" t="str">
        <f t="shared" si="8"/>
        <v>FRIS ENDOWED SCHOLARSHIP</v>
      </c>
      <c r="F317" s="441">
        <v>45373.01</v>
      </c>
      <c r="G317" s="450">
        <v>0</v>
      </c>
      <c r="H317" s="450">
        <v>-1344.22</v>
      </c>
      <c r="I317" s="450">
        <v>6869.36</v>
      </c>
      <c r="J317" s="450">
        <v>0</v>
      </c>
      <c r="K317" s="450">
        <v>0</v>
      </c>
      <c r="L317" s="450">
        <f t="shared" si="9"/>
        <v>50898.15</v>
      </c>
    </row>
    <row r="318" spans="1:12" ht="12.75" outlineLevel="1">
      <c r="A318" s="395" t="s">
        <v>24</v>
      </c>
      <c r="C318" s="455"/>
      <c r="D318" s="433" t="s">
        <v>25</v>
      </c>
      <c r="E318" s="456" t="str">
        <f t="shared" si="8"/>
        <v>BAILEY ATHLETIC ENDOWMENT</v>
      </c>
      <c r="F318" s="441">
        <v>250850.82</v>
      </c>
      <c r="G318" s="450">
        <v>0</v>
      </c>
      <c r="H318" s="450">
        <v>-7459.56</v>
      </c>
      <c r="I318" s="450">
        <v>37810.76</v>
      </c>
      <c r="J318" s="450">
        <v>0</v>
      </c>
      <c r="K318" s="450">
        <v>0</v>
      </c>
      <c r="L318" s="450">
        <f t="shared" si="9"/>
        <v>281202.02</v>
      </c>
    </row>
    <row r="319" spans="1:12" ht="12.75" outlineLevel="1">
      <c r="A319" s="395" t="s">
        <v>26</v>
      </c>
      <c r="C319" s="455"/>
      <c r="D319" s="433" t="s">
        <v>27</v>
      </c>
      <c r="E319" s="456" t="str">
        <f t="shared" si="8"/>
        <v>MATTHEWS PROF COMP SCI</v>
      </c>
      <c r="F319" s="441">
        <v>112221.37</v>
      </c>
      <c r="G319" s="450">
        <v>0</v>
      </c>
      <c r="H319" s="450">
        <v>-2856.96</v>
      </c>
      <c r="I319" s="450">
        <v>16099.74</v>
      </c>
      <c r="J319" s="450">
        <v>0</v>
      </c>
      <c r="K319" s="450">
        <v>0</v>
      </c>
      <c r="L319" s="450">
        <f t="shared" si="9"/>
        <v>125464.15</v>
      </c>
    </row>
    <row r="320" spans="1:12" ht="12.75" outlineLevel="1">
      <c r="A320" s="395" t="s">
        <v>28</v>
      </c>
      <c r="C320" s="455"/>
      <c r="D320" s="433" t="s">
        <v>29</v>
      </c>
      <c r="E320" s="456" t="str">
        <f t="shared" si="8"/>
        <v>BOAZ SCHP CIVIL</v>
      </c>
      <c r="F320" s="441">
        <v>50718.84</v>
      </c>
      <c r="G320" s="450">
        <v>0</v>
      </c>
      <c r="H320" s="450">
        <v>-1512.31</v>
      </c>
      <c r="I320" s="450">
        <v>7644.7</v>
      </c>
      <c r="J320" s="450">
        <v>0</v>
      </c>
      <c r="K320" s="450">
        <v>0</v>
      </c>
      <c r="L320" s="450">
        <f t="shared" si="9"/>
        <v>56851.229999999996</v>
      </c>
    </row>
    <row r="321" spans="1:12" ht="12.75" outlineLevel="1">
      <c r="A321" s="395" t="s">
        <v>30</v>
      </c>
      <c r="C321" s="455"/>
      <c r="D321" s="433" t="s">
        <v>31</v>
      </c>
      <c r="E321" s="456" t="str">
        <f t="shared" si="8"/>
        <v>PAUL W *ELOE GRAD FELLOWSHIP</v>
      </c>
      <c r="F321" s="441">
        <v>17601.03</v>
      </c>
      <c r="G321" s="450">
        <v>150</v>
      </c>
      <c r="H321" s="450">
        <v>-517.6</v>
      </c>
      <c r="I321" s="450">
        <v>2650.13</v>
      </c>
      <c r="J321" s="450">
        <v>0</v>
      </c>
      <c r="K321" s="450">
        <v>0</v>
      </c>
      <c r="L321" s="450">
        <f t="shared" si="9"/>
        <v>19883.56</v>
      </c>
    </row>
    <row r="322" spans="1:12" ht="12.75" outlineLevel="1">
      <c r="A322" s="395" t="s">
        <v>32</v>
      </c>
      <c r="C322" s="455"/>
      <c r="D322" s="433" t="s">
        <v>33</v>
      </c>
      <c r="E322" s="456" t="str">
        <f t="shared" si="8"/>
        <v>SICKAFUS ENDOWED</v>
      </c>
      <c r="F322" s="441">
        <v>29280.11</v>
      </c>
      <c r="G322" s="450">
        <v>15000</v>
      </c>
      <c r="H322" s="450">
        <v>-339.78</v>
      </c>
      <c r="I322" s="450">
        <v>5547.77</v>
      </c>
      <c r="J322" s="450">
        <v>0</v>
      </c>
      <c r="K322" s="450">
        <v>0</v>
      </c>
      <c r="L322" s="450">
        <f t="shared" si="9"/>
        <v>49488.100000000006</v>
      </c>
    </row>
    <row r="323" spans="1:12" ht="12.75" outlineLevel="1">
      <c r="A323" s="395" t="s">
        <v>34</v>
      </c>
      <c r="C323" s="455"/>
      <c r="D323" s="433" t="s">
        <v>35</v>
      </c>
      <c r="E323" s="456" t="str">
        <f t="shared" si="8"/>
        <v>BROWNGARD ENDOWED SCHOLARSHIP</v>
      </c>
      <c r="F323" s="441">
        <v>9270.71</v>
      </c>
      <c r="G323" s="450">
        <v>0</v>
      </c>
      <c r="H323" s="450">
        <v>-276.45</v>
      </c>
      <c r="I323" s="450">
        <v>1397.36</v>
      </c>
      <c r="J323" s="450">
        <v>0</v>
      </c>
      <c r="K323" s="450">
        <v>0</v>
      </c>
      <c r="L323" s="450">
        <f t="shared" si="9"/>
        <v>10391.619999999999</v>
      </c>
    </row>
    <row r="324" spans="1:12" ht="12.75" outlineLevel="1">
      <c r="A324" s="395" t="s">
        <v>36</v>
      </c>
      <c r="C324" s="455"/>
      <c r="D324" s="433" t="s">
        <v>37</v>
      </c>
      <c r="E324" s="456" t="str">
        <f t="shared" si="8"/>
        <v>GRAYSON INTERNET COMPUTING</v>
      </c>
      <c r="F324" s="441">
        <v>9496.86</v>
      </c>
      <c r="G324" s="450">
        <v>0</v>
      </c>
      <c r="H324" s="450">
        <v>-283.17</v>
      </c>
      <c r="I324" s="450">
        <v>1431.44</v>
      </c>
      <c r="J324" s="450">
        <v>0</v>
      </c>
      <c r="K324" s="450">
        <v>0</v>
      </c>
      <c r="L324" s="450">
        <f t="shared" si="9"/>
        <v>10645.130000000001</v>
      </c>
    </row>
    <row r="325" spans="1:12" ht="12.75" outlineLevel="1">
      <c r="A325" s="395" t="s">
        <v>38</v>
      </c>
      <c r="C325" s="455"/>
      <c r="D325" s="433" t="s">
        <v>39</v>
      </c>
      <c r="E325" s="456" t="str">
        <f t="shared" si="8"/>
        <v>LOVITT INTERNET COMPUTING</v>
      </c>
      <c r="F325" s="441">
        <v>104075.59</v>
      </c>
      <c r="G325" s="450">
        <v>0</v>
      </c>
      <c r="H325" s="450">
        <v>-3103.29</v>
      </c>
      <c r="I325" s="450">
        <v>15686.97</v>
      </c>
      <c r="J325" s="450">
        <v>0</v>
      </c>
      <c r="K325" s="450">
        <v>0</v>
      </c>
      <c r="L325" s="450">
        <f t="shared" si="9"/>
        <v>116659.27</v>
      </c>
    </row>
    <row r="326" spans="1:12" ht="12.75" outlineLevel="1">
      <c r="A326" s="395" t="s">
        <v>40</v>
      </c>
      <c r="C326" s="455"/>
      <c r="D326" s="433" t="s">
        <v>41</v>
      </c>
      <c r="E326" s="456" t="str">
        <f t="shared" si="8"/>
        <v>MCKEE ENDOWED SCHOLARSHIP</v>
      </c>
      <c r="F326" s="441">
        <v>17892.68</v>
      </c>
      <c r="G326" s="450">
        <v>4334</v>
      </c>
      <c r="H326" s="450">
        <v>-393.83</v>
      </c>
      <c r="I326" s="450">
        <v>3004.8</v>
      </c>
      <c r="J326" s="450">
        <v>0</v>
      </c>
      <c r="K326" s="450">
        <v>0</v>
      </c>
      <c r="L326" s="450">
        <f t="shared" si="9"/>
        <v>24837.649999999998</v>
      </c>
    </row>
    <row r="327" spans="1:12" ht="12.75" outlineLevel="1">
      <c r="A327" s="395" t="s">
        <v>42</v>
      </c>
      <c r="C327" s="455"/>
      <c r="D327" s="433" t="s">
        <v>43</v>
      </c>
      <c r="E327" s="456" t="str">
        <f t="shared" si="8"/>
        <v>RICHARD W HANNUM ENDOWED DEV</v>
      </c>
      <c r="F327" s="441">
        <v>10997.85</v>
      </c>
      <c r="G327" s="450">
        <v>749.64</v>
      </c>
      <c r="H327" s="450">
        <v>-307.03</v>
      </c>
      <c r="I327" s="450">
        <v>1698.65</v>
      </c>
      <c r="J327" s="450">
        <v>0</v>
      </c>
      <c r="K327" s="450">
        <v>0</v>
      </c>
      <c r="L327" s="450">
        <f t="shared" si="9"/>
        <v>13139.109999999999</v>
      </c>
    </row>
    <row r="328" spans="1:12" ht="12.75" outlineLevel="1">
      <c r="A328" s="395" t="s">
        <v>44</v>
      </c>
      <c r="C328" s="455"/>
      <c r="D328" s="433" t="s">
        <v>45</v>
      </c>
      <c r="E328" s="456" t="str">
        <f t="shared" si="8"/>
        <v>CHEMICAL ENGR FLEXIBLE END FD</v>
      </c>
      <c r="F328" s="441">
        <v>24821.46</v>
      </c>
      <c r="G328" s="450">
        <v>3391.5</v>
      </c>
      <c r="H328" s="450">
        <v>-494.56</v>
      </c>
      <c r="I328" s="450">
        <v>4128.48</v>
      </c>
      <c r="J328" s="450">
        <v>0</v>
      </c>
      <c r="K328" s="450">
        <v>0</v>
      </c>
      <c r="L328" s="450">
        <f t="shared" si="9"/>
        <v>31846.879999999997</v>
      </c>
    </row>
    <row r="329" spans="1:12" ht="12.75" outlineLevel="1">
      <c r="A329" s="395" t="s">
        <v>46</v>
      </c>
      <c r="C329" s="455"/>
      <c r="D329" s="433" t="s">
        <v>47</v>
      </c>
      <c r="E329" s="456" t="str">
        <f aca="true" t="shared" si="10" ref="E329:E382">UPPER(D329)</f>
        <v>MO CONFERENCE SCHP</v>
      </c>
      <c r="F329" s="441">
        <v>5460.47</v>
      </c>
      <c r="G329" s="450">
        <v>2000</v>
      </c>
      <c r="H329" s="450">
        <v>157.05</v>
      </c>
      <c r="I329" s="450">
        <v>946.13</v>
      </c>
      <c r="J329" s="450">
        <v>0</v>
      </c>
      <c r="K329" s="450">
        <v>0</v>
      </c>
      <c r="L329" s="450">
        <f aca="true" t="shared" si="11" ref="L329:L382">F329+G329+H329+I329-J329+K329</f>
        <v>8563.65</v>
      </c>
    </row>
    <row r="330" spans="1:12" ht="12.75" outlineLevel="1">
      <c r="A330" s="395" t="s">
        <v>48</v>
      </c>
      <c r="C330" s="455"/>
      <c r="D330" s="433" t="s">
        <v>49</v>
      </c>
      <c r="E330" s="456" t="str">
        <f t="shared" si="10"/>
        <v>RICHARD L *BULLOCK RECRUIT FUN</v>
      </c>
      <c r="F330" s="441">
        <v>9395.57</v>
      </c>
      <c r="G330" s="450">
        <v>0</v>
      </c>
      <c r="H330" s="450">
        <v>196</v>
      </c>
      <c r="I330" s="450">
        <v>1558.78</v>
      </c>
      <c r="J330" s="450">
        <v>0</v>
      </c>
      <c r="K330" s="450">
        <v>0</v>
      </c>
      <c r="L330" s="450">
        <f t="shared" si="11"/>
        <v>11150.35</v>
      </c>
    </row>
    <row r="331" spans="1:12" ht="12.75" outlineLevel="1">
      <c r="A331" s="395" t="s">
        <v>50</v>
      </c>
      <c r="C331" s="455"/>
      <c r="D331" s="433" t="s">
        <v>51</v>
      </c>
      <c r="E331" s="456" t="str">
        <f t="shared" si="10"/>
        <v>SPRINGER SCHP FUND</v>
      </c>
      <c r="F331" s="441">
        <v>15912.79</v>
      </c>
      <c r="G331" s="450">
        <v>0</v>
      </c>
      <c r="H331" s="450">
        <v>-65.27</v>
      </c>
      <c r="I331" s="450">
        <v>-871.34</v>
      </c>
      <c r="J331" s="450">
        <v>0</v>
      </c>
      <c r="K331" s="450">
        <v>0</v>
      </c>
      <c r="L331" s="450">
        <f t="shared" si="11"/>
        <v>14976.18</v>
      </c>
    </row>
    <row r="332" spans="1:12" ht="12.75" outlineLevel="1">
      <c r="A332" s="395" t="s">
        <v>52</v>
      </c>
      <c r="C332" s="455"/>
      <c r="D332" s="433" t="s">
        <v>53</v>
      </c>
      <c r="E332" s="456" t="str">
        <f t="shared" si="10"/>
        <v>BLUE KEY SCHP FUND</v>
      </c>
      <c r="F332" s="441">
        <v>9087.74</v>
      </c>
      <c r="G332" s="450">
        <v>0</v>
      </c>
      <c r="H332" s="450">
        <v>-271</v>
      </c>
      <c r="I332" s="450">
        <v>1369.77</v>
      </c>
      <c r="J332" s="450">
        <v>0</v>
      </c>
      <c r="K332" s="450">
        <v>0</v>
      </c>
      <c r="L332" s="450">
        <f t="shared" si="11"/>
        <v>10186.51</v>
      </c>
    </row>
    <row r="333" spans="1:12" ht="12.75" outlineLevel="1">
      <c r="A333" s="395" t="s">
        <v>54</v>
      </c>
      <c r="C333" s="455"/>
      <c r="D333" s="433" t="s">
        <v>55</v>
      </c>
      <c r="E333" s="456" t="str">
        <f t="shared" si="10"/>
        <v>CARLSTROM ENDOWED SCHP</v>
      </c>
      <c r="F333" s="441">
        <v>7219.22</v>
      </c>
      <c r="G333" s="450">
        <v>3000</v>
      </c>
      <c r="H333" s="450">
        <v>181.46</v>
      </c>
      <c r="I333" s="450">
        <v>1266.18</v>
      </c>
      <c r="J333" s="450">
        <v>0</v>
      </c>
      <c r="K333" s="450">
        <v>0</v>
      </c>
      <c r="L333" s="450">
        <f t="shared" si="11"/>
        <v>11666.86</v>
      </c>
    </row>
    <row r="334" spans="1:12" ht="12.75" outlineLevel="1">
      <c r="A334" s="395" t="s">
        <v>56</v>
      </c>
      <c r="C334" s="455"/>
      <c r="D334" s="433" t="s">
        <v>57</v>
      </c>
      <c r="E334" s="456" t="str">
        <f t="shared" si="10"/>
        <v>MCGHEE ENDOWED SCHOLARSHIP</v>
      </c>
      <c r="F334" s="441">
        <v>15269.4</v>
      </c>
      <c r="G334" s="450">
        <v>11600</v>
      </c>
      <c r="H334" s="450">
        <v>-217.39</v>
      </c>
      <c r="I334" s="450">
        <v>2964.11</v>
      </c>
      <c r="J334" s="450">
        <v>0</v>
      </c>
      <c r="K334" s="450">
        <v>0</v>
      </c>
      <c r="L334" s="450">
        <f t="shared" si="11"/>
        <v>29616.120000000003</v>
      </c>
    </row>
    <row r="335" spans="1:13" ht="12.75" outlineLevel="1">
      <c r="A335" s="395" t="s">
        <v>58</v>
      </c>
      <c r="C335" s="455"/>
      <c r="D335" s="433" t="s">
        <v>59</v>
      </c>
      <c r="E335" s="421" t="str">
        <f t="shared" si="10"/>
        <v>QUENON ENDOWED LECTURESHIP</v>
      </c>
      <c r="F335" s="449">
        <v>9178.93</v>
      </c>
      <c r="G335" s="450">
        <v>1400</v>
      </c>
      <c r="H335" s="450">
        <v>228.79</v>
      </c>
      <c r="I335" s="450">
        <v>1495.38</v>
      </c>
      <c r="J335" s="450">
        <v>0</v>
      </c>
      <c r="K335" s="450">
        <v>0</v>
      </c>
      <c r="L335" s="450">
        <f t="shared" si="11"/>
        <v>12303.100000000002</v>
      </c>
      <c r="M335" s="455"/>
    </row>
    <row r="336" spans="1:14" s="495" customFormat="1" ht="12.75" outlineLevel="1">
      <c r="A336" s="495" t="s">
        <v>60</v>
      </c>
      <c r="B336" s="496"/>
      <c r="C336" s="455"/>
      <c r="D336" s="455" t="s">
        <v>61</v>
      </c>
      <c r="E336" s="497" t="str">
        <f t="shared" si="10"/>
        <v>THOMPSON ENDOW SCH PETRO ENGR</v>
      </c>
      <c r="F336" s="498">
        <v>23154.91</v>
      </c>
      <c r="G336" s="499">
        <v>0</v>
      </c>
      <c r="H336" s="499">
        <v>-690.43</v>
      </c>
      <c r="I336" s="499">
        <v>3490.07</v>
      </c>
      <c r="J336" s="499">
        <v>0</v>
      </c>
      <c r="K336" s="499">
        <v>0</v>
      </c>
      <c r="L336" s="499">
        <f t="shared" si="11"/>
        <v>25954.55</v>
      </c>
      <c r="M336" s="457"/>
      <c r="N336" s="500"/>
    </row>
    <row r="337" spans="1:13" ht="12.75" outlineLevel="1">
      <c r="A337" s="395" t="s">
        <v>62</v>
      </c>
      <c r="C337" s="455"/>
      <c r="D337" s="433" t="s">
        <v>63</v>
      </c>
      <c r="E337" s="421" t="str">
        <f t="shared" si="10"/>
        <v>TOOMEY PARK SCH FND UMR FRESH</v>
      </c>
      <c r="F337" s="449">
        <v>0.9</v>
      </c>
      <c r="G337" s="450">
        <v>0</v>
      </c>
      <c r="H337" s="450">
        <v>0</v>
      </c>
      <c r="I337" s="450">
        <v>0</v>
      </c>
      <c r="J337" s="450">
        <v>0</v>
      </c>
      <c r="K337" s="450">
        <v>0</v>
      </c>
      <c r="L337" s="450">
        <f t="shared" si="11"/>
        <v>0.9</v>
      </c>
      <c r="M337" s="455"/>
    </row>
    <row r="338" spans="1:14" s="495" customFormat="1" ht="12.75" outlineLevel="1">
      <c r="A338" s="495" t="s">
        <v>64</v>
      </c>
      <c r="B338" s="496"/>
      <c r="C338" s="455"/>
      <c r="D338" s="455" t="s">
        <v>65</v>
      </c>
      <c r="E338" s="497" t="str">
        <f t="shared" si="10"/>
        <v>JAMES SCHP FUND</v>
      </c>
      <c r="F338" s="498">
        <v>161793</v>
      </c>
      <c r="G338" s="499">
        <v>50000</v>
      </c>
      <c r="H338" s="499">
        <v>-2144.78</v>
      </c>
      <c r="I338" s="499">
        <v>26249.17</v>
      </c>
      <c r="J338" s="499">
        <v>0</v>
      </c>
      <c r="K338" s="499">
        <v>0</v>
      </c>
      <c r="L338" s="499">
        <f t="shared" si="11"/>
        <v>235897.39</v>
      </c>
      <c r="M338" s="457"/>
      <c r="N338" s="500"/>
    </row>
    <row r="339" spans="1:12" ht="12.75" outlineLevel="1">
      <c r="A339" s="395" t="s">
        <v>66</v>
      </c>
      <c r="C339" s="455"/>
      <c r="D339" s="433" t="s">
        <v>67</v>
      </c>
      <c r="E339" s="456" t="str">
        <f t="shared" si="10"/>
        <v>WRIGHT ENDOWED SCHP</v>
      </c>
      <c r="F339" s="441">
        <v>20362.31</v>
      </c>
      <c r="G339" s="450">
        <v>10000</v>
      </c>
      <c r="H339" s="450">
        <v>483.64</v>
      </c>
      <c r="I339" s="450">
        <v>2943.99</v>
      </c>
      <c r="J339" s="450">
        <v>0</v>
      </c>
      <c r="K339" s="450">
        <v>0</v>
      </c>
      <c r="L339" s="450">
        <f t="shared" si="11"/>
        <v>33789.94</v>
      </c>
    </row>
    <row r="340" spans="1:12" ht="12.75" outlineLevel="1">
      <c r="A340" s="395" t="s">
        <v>68</v>
      </c>
      <c r="C340" s="455"/>
      <c r="D340" s="433" t="s">
        <v>69</v>
      </c>
      <c r="E340" s="456" t="str">
        <f t="shared" si="10"/>
        <v>KISSLINGER METALLURGY ENDOW</v>
      </c>
      <c r="F340" s="441">
        <v>84100.06</v>
      </c>
      <c r="G340" s="450">
        <v>30000</v>
      </c>
      <c r="H340" s="450">
        <v>-1164.58</v>
      </c>
      <c r="I340" s="450">
        <v>12966.52</v>
      </c>
      <c r="J340" s="450">
        <v>0</v>
      </c>
      <c r="K340" s="450">
        <v>0</v>
      </c>
      <c r="L340" s="450">
        <f t="shared" si="11"/>
        <v>125902</v>
      </c>
    </row>
    <row r="341" spans="1:12" ht="12.75" outlineLevel="1">
      <c r="A341" s="395" t="s">
        <v>70</v>
      </c>
      <c r="C341" s="455"/>
      <c r="D341" s="433" t="s">
        <v>71</v>
      </c>
      <c r="E341" s="456" t="str">
        <f t="shared" si="10"/>
        <v>KISSLINGER ATHLETIC ENDOW</v>
      </c>
      <c r="F341" s="441">
        <v>26952.07</v>
      </c>
      <c r="G341" s="450">
        <v>6000</v>
      </c>
      <c r="H341" s="450">
        <v>-347.64</v>
      </c>
      <c r="I341" s="450">
        <v>4184.22</v>
      </c>
      <c r="J341" s="450">
        <v>0</v>
      </c>
      <c r="K341" s="450">
        <v>0</v>
      </c>
      <c r="L341" s="450">
        <f t="shared" si="11"/>
        <v>36788.65</v>
      </c>
    </row>
    <row r="342" spans="1:12" ht="12.75" outlineLevel="1">
      <c r="A342" s="395" t="s">
        <v>72</v>
      </c>
      <c r="C342" s="455"/>
      <c r="D342" s="433" t="s">
        <v>73</v>
      </c>
      <c r="E342" s="456" t="str">
        <f t="shared" si="10"/>
        <v>CONSTANCE R BROWN EN FD HIS &amp;</v>
      </c>
      <c r="F342" s="441">
        <v>10175.83</v>
      </c>
      <c r="G342" s="450">
        <v>0</v>
      </c>
      <c r="H342" s="450">
        <v>-1042.69</v>
      </c>
      <c r="I342" s="450">
        <v>5309.71</v>
      </c>
      <c r="J342" s="450">
        <v>0</v>
      </c>
      <c r="K342" s="450">
        <v>24932.1</v>
      </c>
      <c r="L342" s="450">
        <f t="shared" si="11"/>
        <v>39374.95</v>
      </c>
    </row>
    <row r="343" spans="1:12" ht="12.75" outlineLevel="1">
      <c r="A343" s="395" t="s">
        <v>74</v>
      </c>
      <c r="C343" s="455"/>
      <c r="D343" s="433" t="s">
        <v>75</v>
      </c>
      <c r="E343" s="456" t="str">
        <f t="shared" si="10"/>
        <v>FINLEY ENDOW SCHOLAR ATH</v>
      </c>
      <c r="F343" s="441">
        <v>9753.42</v>
      </c>
      <c r="G343" s="450">
        <v>1050</v>
      </c>
      <c r="H343" s="450">
        <v>-261.55</v>
      </c>
      <c r="I343" s="450">
        <v>1527.49</v>
      </c>
      <c r="J343" s="450">
        <v>0</v>
      </c>
      <c r="K343" s="450">
        <v>0</v>
      </c>
      <c r="L343" s="450">
        <f t="shared" si="11"/>
        <v>12069.36</v>
      </c>
    </row>
    <row r="344" spans="1:12" ht="12.75" outlineLevel="1">
      <c r="A344" s="395" t="s">
        <v>76</v>
      </c>
      <c r="C344" s="455"/>
      <c r="D344" s="433" t="s">
        <v>77</v>
      </c>
      <c r="E344" s="456" t="str">
        <f t="shared" si="10"/>
        <v>DOSHI QUASI ENDOWMENT FUND</v>
      </c>
      <c r="F344" s="441">
        <v>27947.71</v>
      </c>
      <c r="G344" s="450">
        <v>0</v>
      </c>
      <c r="H344" s="450">
        <v>-659.19</v>
      </c>
      <c r="I344" s="450">
        <v>4007.09</v>
      </c>
      <c r="J344" s="450">
        <v>0</v>
      </c>
      <c r="K344" s="450">
        <v>0</v>
      </c>
      <c r="L344" s="450">
        <f t="shared" si="11"/>
        <v>31295.61</v>
      </c>
    </row>
    <row r="345" spans="1:12" ht="12.75" outlineLevel="1">
      <c r="A345" s="395" t="s">
        <v>78</v>
      </c>
      <c r="C345" s="455"/>
      <c r="D345" s="433" t="s">
        <v>79</v>
      </c>
      <c r="E345" s="456" t="str">
        <f t="shared" si="10"/>
        <v>F H CONRAD CHEM ENGR SCH</v>
      </c>
      <c r="F345" s="441">
        <v>70307.84</v>
      </c>
      <c r="G345" s="450">
        <v>1550</v>
      </c>
      <c r="H345" s="450">
        <v>-2026.99</v>
      </c>
      <c r="I345" s="450">
        <v>10661.58</v>
      </c>
      <c r="J345" s="450">
        <v>0</v>
      </c>
      <c r="K345" s="450">
        <v>0</v>
      </c>
      <c r="L345" s="450">
        <f t="shared" si="11"/>
        <v>80492.43</v>
      </c>
    </row>
    <row r="346" spans="1:12" ht="12.75" outlineLevel="1">
      <c r="A346" s="395" t="s">
        <v>80</v>
      </c>
      <c r="C346" s="455"/>
      <c r="D346" s="433" t="s">
        <v>81</v>
      </c>
      <c r="E346" s="456" t="str">
        <f t="shared" si="10"/>
        <v>PHILIP &amp; DIANE WADE ENDOWMENT</v>
      </c>
      <c r="F346" s="441">
        <v>24399.74</v>
      </c>
      <c r="G346" s="450">
        <v>0</v>
      </c>
      <c r="H346" s="450">
        <v>-722.43</v>
      </c>
      <c r="I346" s="450">
        <v>3677.77</v>
      </c>
      <c r="J346" s="450">
        <v>0</v>
      </c>
      <c r="K346" s="450">
        <v>0</v>
      </c>
      <c r="L346" s="450">
        <f t="shared" si="11"/>
        <v>27355.08</v>
      </c>
    </row>
    <row r="347" spans="1:12" ht="12.75" outlineLevel="1">
      <c r="A347" s="395" t="s">
        <v>82</v>
      </c>
      <c r="C347" s="455"/>
      <c r="D347" s="433" t="s">
        <v>83</v>
      </c>
      <c r="E347" s="456" t="str">
        <f t="shared" si="10"/>
        <v>CONSTANCE BROWN FACULTY EXCELL</v>
      </c>
      <c r="F347" s="441">
        <v>24932.1</v>
      </c>
      <c r="G347" s="450">
        <v>0</v>
      </c>
      <c r="H347" s="450">
        <v>15.62</v>
      </c>
      <c r="I347" s="450">
        <v>0</v>
      </c>
      <c r="J347" s="450">
        <v>0</v>
      </c>
      <c r="K347" s="450">
        <v>-24932.1</v>
      </c>
      <c r="L347" s="450">
        <f t="shared" si="11"/>
        <v>15.619999999998981</v>
      </c>
    </row>
    <row r="348" spans="1:12" ht="12.75" outlineLevel="1">
      <c r="A348" s="395" t="s">
        <v>84</v>
      </c>
      <c r="C348" s="455"/>
      <c r="D348" s="433" t="s">
        <v>85</v>
      </c>
      <c r="E348" s="456" t="str">
        <f t="shared" si="10"/>
        <v>CHARLES &amp; JEAN NASLUND ENDOWED</v>
      </c>
      <c r="F348" s="441">
        <v>493.08</v>
      </c>
      <c r="G348" s="450">
        <v>0</v>
      </c>
      <c r="H348" s="450">
        <v>10.23</v>
      </c>
      <c r="I348" s="450">
        <v>76.06</v>
      </c>
      <c r="J348" s="450">
        <v>0</v>
      </c>
      <c r="K348" s="450">
        <v>0</v>
      </c>
      <c r="L348" s="450">
        <f t="shared" si="11"/>
        <v>579.37</v>
      </c>
    </row>
    <row r="349" spans="1:12" ht="12.75" outlineLevel="1">
      <c r="A349" s="395" t="s">
        <v>86</v>
      </c>
      <c r="C349" s="455"/>
      <c r="D349" s="433" t="s">
        <v>87</v>
      </c>
      <c r="E349" s="456" t="str">
        <f t="shared" si="10"/>
        <v>ASSOCIATED GENERAL CONTRACTORS</v>
      </c>
      <c r="F349" s="441">
        <v>13121.2</v>
      </c>
      <c r="G349" s="450">
        <v>2006.42</v>
      </c>
      <c r="H349" s="450">
        <v>5.15</v>
      </c>
      <c r="I349" s="450">
        <v>2844.18</v>
      </c>
      <c r="J349" s="450">
        <v>0</v>
      </c>
      <c r="K349" s="450">
        <v>0</v>
      </c>
      <c r="L349" s="450">
        <f t="shared" si="11"/>
        <v>17976.95</v>
      </c>
    </row>
    <row r="350" spans="1:12" ht="12.75" outlineLevel="1">
      <c r="A350" s="395" t="s">
        <v>88</v>
      </c>
      <c r="C350" s="455"/>
      <c r="D350" s="433" t="s">
        <v>89</v>
      </c>
      <c r="E350" s="456" t="str">
        <f t="shared" si="10"/>
        <v>MICHAEL BRATCHER ENDOWED FUND</v>
      </c>
      <c r="F350" s="441">
        <v>5113.9</v>
      </c>
      <c r="G350" s="450">
        <v>5000</v>
      </c>
      <c r="H350" s="450">
        <v>134.89</v>
      </c>
      <c r="I350" s="450">
        <v>939.07</v>
      </c>
      <c r="J350" s="450">
        <v>0</v>
      </c>
      <c r="K350" s="450">
        <v>0</v>
      </c>
      <c r="L350" s="450">
        <f t="shared" si="11"/>
        <v>11187.859999999999</v>
      </c>
    </row>
    <row r="351" spans="1:12" ht="12.75" outlineLevel="1">
      <c r="A351" s="395" t="s">
        <v>90</v>
      </c>
      <c r="C351" s="455"/>
      <c r="D351" s="433" t="s">
        <v>91</v>
      </c>
      <c r="E351" s="456" t="str">
        <f t="shared" si="10"/>
        <v>BROWNING SCHOLARSHIP</v>
      </c>
      <c r="F351" s="441">
        <v>86306.17</v>
      </c>
      <c r="G351" s="450">
        <v>0</v>
      </c>
      <c r="H351" s="450">
        <v>-754.12</v>
      </c>
      <c r="I351" s="450">
        <v>13849.79</v>
      </c>
      <c r="J351" s="450">
        <v>0</v>
      </c>
      <c r="K351" s="450">
        <v>0</v>
      </c>
      <c r="L351" s="450">
        <f t="shared" si="11"/>
        <v>99401.84</v>
      </c>
    </row>
    <row r="352" spans="1:12" ht="12.75" outlineLevel="1">
      <c r="A352" s="395" t="s">
        <v>92</v>
      </c>
      <c r="C352" s="455"/>
      <c r="D352" s="433" t="s">
        <v>93</v>
      </c>
      <c r="E352" s="456" t="str">
        <f t="shared" si="10"/>
        <v>WILLIAM M BYRNE SCHOLARS</v>
      </c>
      <c r="F352" s="441">
        <v>5931.77</v>
      </c>
      <c r="G352" s="450">
        <v>1000</v>
      </c>
      <c r="H352" s="450">
        <v>129.34</v>
      </c>
      <c r="I352" s="450">
        <v>1252.47</v>
      </c>
      <c r="J352" s="450">
        <v>0</v>
      </c>
      <c r="K352" s="450">
        <v>0</v>
      </c>
      <c r="L352" s="450">
        <f t="shared" si="11"/>
        <v>8313.58</v>
      </c>
    </row>
    <row r="353" spans="1:12" ht="12.75" outlineLevel="1">
      <c r="A353" s="395" t="s">
        <v>94</v>
      </c>
      <c r="C353" s="455"/>
      <c r="D353" s="433" t="s">
        <v>95</v>
      </c>
      <c r="E353" s="456" t="str">
        <f t="shared" si="10"/>
        <v>WEIR ENDOWED SCHOLARSHIP FUND</v>
      </c>
      <c r="F353" s="441">
        <v>12016.19</v>
      </c>
      <c r="G353" s="450">
        <v>0</v>
      </c>
      <c r="H353" s="450">
        <v>-179.63</v>
      </c>
      <c r="I353" s="450">
        <v>2110.74</v>
      </c>
      <c r="J353" s="450">
        <v>0</v>
      </c>
      <c r="K353" s="450">
        <v>0</v>
      </c>
      <c r="L353" s="450">
        <f t="shared" si="11"/>
        <v>13947.300000000001</v>
      </c>
    </row>
    <row r="354" spans="1:12" ht="12.75" outlineLevel="1">
      <c r="A354" s="395" t="s">
        <v>96</v>
      </c>
      <c r="C354" s="455"/>
      <c r="D354" s="433" t="s">
        <v>97</v>
      </c>
      <c r="E354" s="456" t="str">
        <f t="shared" si="10"/>
        <v>GLADBACH ENDOWED FUND GEOLOGY</v>
      </c>
      <c r="F354" s="441">
        <v>11015.06</v>
      </c>
      <c r="G354" s="450">
        <v>5000</v>
      </c>
      <c r="H354" s="450">
        <v>262.78</v>
      </c>
      <c r="I354" s="450">
        <v>2286.89</v>
      </c>
      <c r="J354" s="450">
        <v>0</v>
      </c>
      <c r="K354" s="450">
        <v>0</v>
      </c>
      <c r="L354" s="450">
        <f t="shared" si="11"/>
        <v>18564.73</v>
      </c>
    </row>
    <row r="355" spans="1:12" ht="12.75" outlineLevel="1">
      <c r="A355" s="395" t="s">
        <v>98</v>
      </c>
      <c r="C355" s="455"/>
      <c r="D355" s="433" t="s">
        <v>99</v>
      </c>
      <c r="E355" s="456" t="str">
        <f t="shared" si="10"/>
        <v>GRANT FIELD CAMP SCHOLARSHIP</v>
      </c>
      <c r="F355" s="441">
        <v>0</v>
      </c>
      <c r="G355" s="450">
        <v>0</v>
      </c>
      <c r="H355" s="450">
        <v>74.15</v>
      </c>
      <c r="I355" s="450">
        <v>-173.42</v>
      </c>
      <c r="J355" s="450">
        <v>0</v>
      </c>
      <c r="K355" s="450">
        <v>10947.5</v>
      </c>
      <c r="L355" s="450">
        <f t="shared" si="11"/>
        <v>10848.23</v>
      </c>
    </row>
    <row r="356" spans="1:12" ht="12.75" outlineLevel="1">
      <c r="A356" s="395" t="s">
        <v>100</v>
      </c>
      <c r="C356" s="455"/>
      <c r="D356" s="433" t="s">
        <v>101</v>
      </c>
      <c r="E356" s="456" t="str">
        <f t="shared" si="10"/>
        <v>BERNARD R SARCHET DISTINGUISHE</v>
      </c>
      <c r="F356" s="441">
        <v>184256.4</v>
      </c>
      <c r="G356" s="450">
        <v>4000</v>
      </c>
      <c r="H356" s="450">
        <v>-1347.64</v>
      </c>
      <c r="I356" s="450">
        <v>36153.62</v>
      </c>
      <c r="J356" s="450">
        <v>0</v>
      </c>
      <c r="K356" s="450">
        <v>0</v>
      </c>
      <c r="L356" s="450">
        <f t="shared" si="11"/>
        <v>223062.37999999998</v>
      </c>
    </row>
    <row r="357" spans="1:12" ht="12.75" outlineLevel="1">
      <c r="A357" s="395" t="s">
        <v>102</v>
      </c>
      <c r="C357" s="455"/>
      <c r="D357" s="433" t="s">
        <v>103</v>
      </c>
      <c r="E357" s="456" t="str">
        <f t="shared" si="10"/>
        <v>LESTER BIRBECK CHAIR</v>
      </c>
      <c r="F357" s="441">
        <v>1188278.48</v>
      </c>
      <c r="G357" s="450">
        <v>0</v>
      </c>
      <c r="H357" s="450">
        <v>-21112.53</v>
      </c>
      <c r="I357" s="450">
        <v>295230.44</v>
      </c>
      <c r="J357" s="450">
        <v>0</v>
      </c>
      <c r="K357" s="450">
        <v>0</v>
      </c>
      <c r="L357" s="450">
        <f t="shared" si="11"/>
        <v>1462396.39</v>
      </c>
    </row>
    <row r="358" spans="1:12" ht="12.75" outlineLevel="1">
      <c r="A358" s="395" t="s">
        <v>104</v>
      </c>
      <c r="C358" s="455"/>
      <c r="D358" s="433" t="s">
        <v>105</v>
      </c>
      <c r="E358" s="456" t="str">
        <f t="shared" si="10"/>
        <v>WIGGINS ENDOWED FUND HISTORY</v>
      </c>
      <c r="F358" s="441">
        <v>10612.71</v>
      </c>
      <c r="G358" s="450">
        <v>0</v>
      </c>
      <c r="H358" s="450">
        <v>-95.04</v>
      </c>
      <c r="I358" s="450">
        <v>1703.89</v>
      </c>
      <c r="J358" s="450">
        <v>0</v>
      </c>
      <c r="K358" s="450">
        <v>0</v>
      </c>
      <c r="L358" s="450">
        <f t="shared" si="11"/>
        <v>12221.559999999998</v>
      </c>
    </row>
    <row r="359" spans="1:12" ht="12.75" outlineLevel="1">
      <c r="A359" s="395" t="s">
        <v>106</v>
      </c>
      <c r="C359" s="455"/>
      <c r="D359" s="433" t="s">
        <v>107</v>
      </c>
      <c r="E359" s="456" t="str">
        <f t="shared" si="10"/>
        <v>ENGLISH ALUMNI ENDOWED SCH</v>
      </c>
      <c r="F359" s="441">
        <v>14831.18</v>
      </c>
      <c r="G359" s="450">
        <v>0</v>
      </c>
      <c r="H359" s="450">
        <v>-127.02</v>
      </c>
      <c r="I359" s="450">
        <v>3550.74</v>
      </c>
      <c r="J359" s="450">
        <v>0</v>
      </c>
      <c r="K359" s="450">
        <v>0</v>
      </c>
      <c r="L359" s="450">
        <f t="shared" si="11"/>
        <v>18254.9</v>
      </c>
    </row>
    <row r="360" spans="1:12" ht="12.75" outlineLevel="1">
      <c r="A360" s="395" t="s">
        <v>108</v>
      </c>
      <c r="C360" s="455"/>
      <c r="D360" s="433" t="s">
        <v>109</v>
      </c>
      <c r="E360" s="456" t="str">
        <f t="shared" si="10"/>
        <v>THOMAS &amp; CAROL VOSS ENDOWED</v>
      </c>
      <c r="F360" s="441">
        <v>1486.19</v>
      </c>
      <c r="G360" s="450">
        <v>1850</v>
      </c>
      <c r="H360" s="450">
        <v>36.22</v>
      </c>
      <c r="I360" s="450">
        <v>326.78</v>
      </c>
      <c r="J360" s="450">
        <v>0</v>
      </c>
      <c r="K360" s="450">
        <v>0</v>
      </c>
      <c r="L360" s="450">
        <f t="shared" si="11"/>
        <v>3699.1899999999996</v>
      </c>
    </row>
    <row r="361" spans="1:12" ht="12.75" outlineLevel="1">
      <c r="A361" s="395" t="s">
        <v>110</v>
      </c>
      <c r="C361" s="455"/>
      <c r="D361" s="433" t="s">
        <v>111</v>
      </c>
      <c r="E361" s="456" t="str">
        <f t="shared" si="10"/>
        <v>JENNINGS ENDOWED SCHOLARSHIP</v>
      </c>
      <c r="F361" s="441">
        <v>458928.55</v>
      </c>
      <c r="G361" s="450">
        <v>0</v>
      </c>
      <c r="H361" s="450">
        <v>6043.66</v>
      </c>
      <c r="I361" s="450">
        <v>55945.88</v>
      </c>
      <c r="J361" s="450">
        <v>0</v>
      </c>
      <c r="K361" s="450">
        <v>0</v>
      </c>
      <c r="L361" s="450">
        <f t="shared" si="11"/>
        <v>520918.08999999997</v>
      </c>
    </row>
    <row r="362" spans="1:12" ht="12.75" outlineLevel="1">
      <c r="A362" s="395" t="s">
        <v>112</v>
      </c>
      <c r="C362" s="455"/>
      <c r="D362" s="433" t="s">
        <v>113</v>
      </c>
      <c r="E362" s="456" t="str">
        <f t="shared" si="10"/>
        <v>FRANCES W KERR MEMORIAL FUND</v>
      </c>
      <c r="F362" s="441">
        <v>33569.66</v>
      </c>
      <c r="G362" s="450">
        <v>0</v>
      </c>
      <c r="H362" s="450">
        <v>386.98</v>
      </c>
      <c r="I362" s="450">
        <v>3544.35</v>
      </c>
      <c r="J362" s="450">
        <v>0</v>
      </c>
      <c r="K362" s="450">
        <v>0</v>
      </c>
      <c r="L362" s="450">
        <f t="shared" si="11"/>
        <v>37500.990000000005</v>
      </c>
    </row>
    <row r="363" spans="1:13" ht="12.75" outlineLevel="1">
      <c r="A363" s="395" t="s">
        <v>114</v>
      </c>
      <c r="C363" s="455"/>
      <c r="D363" s="433" t="s">
        <v>115</v>
      </c>
      <c r="E363" s="421" t="str">
        <f t="shared" si="10"/>
        <v>LEE ENDOWED SCHOLARSHIP</v>
      </c>
      <c r="F363" s="449">
        <v>11631.59</v>
      </c>
      <c r="G363" s="450">
        <v>7550</v>
      </c>
      <c r="H363" s="450">
        <v>0</v>
      </c>
      <c r="I363" s="450">
        <v>2297.27</v>
      </c>
      <c r="J363" s="450">
        <v>0</v>
      </c>
      <c r="K363" s="450">
        <v>0</v>
      </c>
      <c r="L363" s="450">
        <f t="shared" si="11"/>
        <v>21478.86</v>
      </c>
      <c r="M363" s="455"/>
    </row>
    <row r="364" spans="1:14" s="495" customFormat="1" ht="12.75" outlineLevel="1">
      <c r="A364" s="495" t="s">
        <v>116</v>
      </c>
      <c r="B364" s="496"/>
      <c r="C364" s="455"/>
      <c r="D364" s="455" t="s">
        <v>117</v>
      </c>
      <c r="E364" s="497" t="str">
        <f t="shared" si="10"/>
        <v>GILBERT R SHOCKLEY ENDOWED SCH</v>
      </c>
      <c r="F364" s="498">
        <v>10749.22</v>
      </c>
      <c r="G364" s="499">
        <v>0</v>
      </c>
      <c r="H364" s="499">
        <v>-2.32</v>
      </c>
      <c r="I364" s="499">
        <v>2294.03</v>
      </c>
      <c r="J364" s="499">
        <v>0</v>
      </c>
      <c r="K364" s="499">
        <v>0</v>
      </c>
      <c r="L364" s="499">
        <f t="shared" si="11"/>
        <v>13040.93</v>
      </c>
      <c r="M364" s="457"/>
      <c r="N364" s="500"/>
    </row>
    <row r="365" spans="1:12" ht="12.75" outlineLevel="1">
      <c r="A365" s="395" t="s">
        <v>118</v>
      </c>
      <c r="C365" s="455"/>
      <c r="D365" s="433" t="s">
        <v>119</v>
      </c>
      <c r="E365" s="456" t="str">
        <f t="shared" si="10"/>
        <v>FARMER ENDOWMENT PETROLEUM</v>
      </c>
      <c r="F365" s="441">
        <v>10613.23</v>
      </c>
      <c r="G365" s="450">
        <v>0</v>
      </c>
      <c r="H365" s="450">
        <v>178.44</v>
      </c>
      <c r="I365" s="450">
        <v>2185.64</v>
      </c>
      <c r="J365" s="450">
        <v>0</v>
      </c>
      <c r="K365" s="450">
        <v>0</v>
      </c>
      <c r="L365" s="450">
        <f t="shared" si="11"/>
        <v>12977.31</v>
      </c>
    </row>
    <row r="366" spans="1:12" ht="12.75" outlineLevel="1">
      <c r="A366" s="395" t="s">
        <v>120</v>
      </c>
      <c r="C366" s="455"/>
      <c r="D366" s="433" t="s">
        <v>121</v>
      </c>
      <c r="E366" s="456" t="str">
        <f t="shared" si="10"/>
        <v>CADOFF ENDOWED SCHP FUND</v>
      </c>
      <c r="F366" s="441">
        <v>0</v>
      </c>
      <c r="G366" s="450">
        <v>0</v>
      </c>
      <c r="H366" s="450">
        <v>0</v>
      </c>
      <c r="I366" s="450">
        <v>0</v>
      </c>
      <c r="J366" s="450">
        <v>4.65</v>
      </c>
      <c r="K366" s="450">
        <v>0</v>
      </c>
      <c r="L366" s="450">
        <f t="shared" si="11"/>
        <v>-4.65</v>
      </c>
    </row>
    <row r="367" spans="1:12" ht="12.75" outlineLevel="1">
      <c r="A367" s="395" t="s">
        <v>122</v>
      </c>
      <c r="C367" s="455"/>
      <c r="D367" s="433" t="s">
        <v>123</v>
      </c>
      <c r="E367" s="456" t="str">
        <f t="shared" si="10"/>
        <v>ANHEUSER-BUSCH ENDOWED SCHP</v>
      </c>
      <c r="F367" s="441">
        <v>53683.96</v>
      </c>
      <c r="G367" s="450">
        <v>50750</v>
      </c>
      <c r="H367" s="450">
        <v>642.33</v>
      </c>
      <c r="I367" s="450">
        <v>14150.75</v>
      </c>
      <c r="J367" s="450">
        <v>0</v>
      </c>
      <c r="K367" s="450">
        <v>0</v>
      </c>
      <c r="L367" s="450">
        <f t="shared" si="11"/>
        <v>119227.04</v>
      </c>
    </row>
    <row r="368" spans="1:12" ht="12.75" outlineLevel="1">
      <c r="A368" s="395" t="s">
        <v>124</v>
      </c>
      <c r="C368" s="455"/>
      <c r="D368" s="433" t="s">
        <v>125</v>
      </c>
      <c r="E368" s="456" t="str">
        <f t="shared" si="10"/>
        <v>WOODARD SCHOLARS ENDOWMENT</v>
      </c>
      <c r="F368" s="441">
        <v>95746.18</v>
      </c>
      <c r="G368" s="450">
        <v>0</v>
      </c>
      <c r="H368" s="450">
        <v>1078.94</v>
      </c>
      <c r="I368" s="450">
        <v>9810.94</v>
      </c>
      <c r="J368" s="450">
        <v>0</v>
      </c>
      <c r="K368" s="450">
        <v>0</v>
      </c>
      <c r="L368" s="450">
        <f t="shared" si="11"/>
        <v>106636.06</v>
      </c>
    </row>
    <row r="369" spans="1:12" ht="12.75" outlineLevel="1">
      <c r="A369" s="395" t="s">
        <v>126</v>
      </c>
      <c r="C369" s="455"/>
      <c r="D369" s="433" t="s">
        <v>127</v>
      </c>
      <c r="E369" s="456" t="str">
        <f t="shared" si="10"/>
        <v>MUELLER MANUFACTURING ENGR SCH</v>
      </c>
      <c r="F369" s="441">
        <v>0</v>
      </c>
      <c r="G369" s="450">
        <v>11767.92</v>
      </c>
      <c r="H369" s="450">
        <v>16.18</v>
      </c>
      <c r="I369" s="450">
        <v>151.5</v>
      </c>
      <c r="J369" s="450">
        <v>0</v>
      </c>
      <c r="K369" s="450">
        <v>0</v>
      </c>
      <c r="L369" s="450">
        <f t="shared" si="11"/>
        <v>11935.6</v>
      </c>
    </row>
    <row r="370" spans="1:12" ht="12.75" outlineLevel="1">
      <c r="A370" s="395" t="s">
        <v>128</v>
      </c>
      <c r="C370" s="455"/>
      <c r="D370" s="433" t="s">
        <v>129</v>
      </c>
      <c r="E370" s="456" t="str">
        <f t="shared" si="10"/>
        <v>ROBIN R AND PAMELA F MINGO END</v>
      </c>
      <c r="F370" s="441">
        <v>0</v>
      </c>
      <c r="G370" s="450">
        <v>10000</v>
      </c>
      <c r="H370" s="450">
        <v>52.11</v>
      </c>
      <c r="I370" s="450">
        <v>-85.81</v>
      </c>
      <c r="J370" s="450">
        <v>0</v>
      </c>
      <c r="K370" s="450">
        <v>0</v>
      </c>
      <c r="L370" s="450">
        <f t="shared" si="11"/>
        <v>9966.300000000001</v>
      </c>
    </row>
    <row r="371" spans="1:12" ht="12.75" outlineLevel="1">
      <c r="A371" s="395" t="s">
        <v>130</v>
      </c>
      <c r="C371" s="455"/>
      <c r="D371" s="433" t="s">
        <v>131</v>
      </c>
      <c r="E371" s="456" t="str">
        <f t="shared" si="10"/>
        <v>MATH TEACHER SCHOLARSHIP</v>
      </c>
      <c r="F371" s="441">
        <v>0</v>
      </c>
      <c r="G371" s="450">
        <v>0</v>
      </c>
      <c r="H371" s="450">
        <v>35.24</v>
      </c>
      <c r="I371" s="450">
        <v>222.26</v>
      </c>
      <c r="J371" s="450">
        <v>0</v>
      </c>
      <c r="K371" s="450">
        <v>12188.03</v>
      </c>
      <c r="L371" s="450">
        <f t="shared" si="11"/>
        <v>12445.53</v>
      </c>
    </row>
    <row r="372" spans="1:12" ht="12.75" outlineLevel="1">
      <c r="A372" s="395" t="s">
        <v>132</v>
      </c>
      <c r="C372" s="455"/>
      <c r="D372" s="433" t="s">
        <v>133</v>
      </c>
      <c r="E372" s="456" t="str">
        <f t="shared" si="10"/>
        <v>STUECK END SCHP FD CIVIL ENGR</v>
      </c>
      <c r="F372" s="441">
        <v>0</v>
      </c>
      <c r="G372" s="450">
        <v>255.92</v>
      </c>
      <c r="H372" s="450">
        <v>78.25</v>
      </c>
      <c r="I372" s="450">
        <v>-48.23</v>
      </c>
      <c r="J372" s="450">
        <v>0</v>
      </c>
      <c r="K372" s="450">
        <v>10000.81</v>
      </c>
      <c r="L372" s="450">
        <f t="shared" si="11"/>
        <v>10286.75</v>
      </c>
    </row>
    <row r="373" spans="1:12" ht="12.75" outlineLevel="1">
      <c r="A373" s="395" t="s">
        <v>134</v>
      </c>
      <c r="C373" s="455"/>
      <c r="D373" s="433" t="s">
        <v>135</v>
      </c>
      <c r="E373" s="456" t="str">
        <f t="shared" si="10"/>
        <v>RON ECKELKAMP ENDOWED FELLOW</v>
      </c>
      <c r="F373" s="441">
        <v>0</v>
      </c>
      <c r="G373" s="450">
        <v>10073.18</v>
      </c>
      <c r="H373" s="450">
        <v>29.01</v>
      </c>
      <c r="I373" s="450">
        <v>183.29</v>
      </c>
      <c r="J373" s="450">
        <v>0</v>
      </c>
      <c r="K373" s="450">
        <v>0</v>
      </c>
      <c r="L373" s="450">
        <f t="shared" si="11"/>
        <v>10285.480000000001</v>
      </c>
    </row>
    <row r="374" spans="1:12" ht="12.75" outlineLevel="1">
      <c r="A374" s="395" t="s">
        <v>136</v>
      </c>
      <c r="C374" s="455"/>
      <c r="D374" s="433" t="s">
        <v>137</v>
      </c>
      <c r="E374" s="456" t="str">
        <f t="shared" si="10"/>
        <v>COMP SCI EQUIP END</v>
      </c>
      <c r="F374" s="441">
        <v>0</v>
      </c>
      <c r="G374" s="450">
        <v>250</v>
      </c>
      <c r="H374" s="450">
        <v>0</v>
      </c>
      <c r="I374" s="450">
        <v>0</v>
      </c>
      <c r="J374" s="450">
        <v>0</v>
      </c>
      <c r="K374" s="450">
        <v>0</v>
      </c>
      <c r="L374" s="450">
        <f t="shared" si="11"/>
        <v>250</v>
      </c>
    </row>
    <row r="375" spans="1:12" ht="12.75" outlineLevel="1">
      <c r="A375" s="395" t="s">
        <v>138</v>
      </c>
      <c r="C375" s="455"/>
      <c r="D375" s="433" t="s">
        <v>139</v>
      </c>
      <c r="E375" s="456" t="str">
        <f t="shared" si="10"/>
        <v>MICHAEL D HURST END FELLOWSHIP</v>
      </c>
      <c r="F375" s="441">
        <v>0</v>
      </c>
      <c r="G375" s="450">
        <v>25206.76</v>
      </c>
      <c r="H375" s="450">
        <v>34.36</v>
      </c>
      <c r="I375" s="450">
        <v>321.86</v>
      </c>
      <c r="J375" s="450">
        <v>0</v>
      </c>
      <c r="K375" s="450">
        <v>0</v>
      </c>
      <c r="L375" s="450">
        <f t="shared" si="11"/>
        <v>25562.98</v>
      </c>
    </row>
    <row r="376" spans="1:12" ht="12.75" outlineLevel="1">
      <c r="A376" s="395" t="s">
        <v>140</v>
      </c>
      <c r="C376" s="455"/>
      <c r="D376" s="433" t="s">
        <v>141</v>
      </c>
      <c r="E376" s="456" t="str">
        <f t="shared" si="10"/>
        <v>JOE VESSELL EXCELLENCE FUND</v>
      </c>
      <c r="F376" s="441">
        <v>0</v>
      </c>
      <c r="G376" s="450">
        <v>20183.8</v>
      </c>
      <c r="H376" s="450">
        <v>27.49</v>
      </c>
      <c r="I376" s="450">
        <v>257.49</v>
      </c>
      <c r="J376" s="450">
        <v>0</v>
      </c>
      <c r="K376" s="450">
        <v>0</v>
      </c>
      <c r="L376" s="450">
        <f t="shared" si="11"/>
        <v>20468.780000000002</v>
      </c>
    </row>
    <row r="377" spans="1:12" ht="12.75" outlineLevel="1">
      <c r="A377" s="395" t="s">
        <v>142</v>
      </c>
      <c r="C377" s="455"/>
      <c r="D377" s="433" t="s">
        <v>143</v>
      </c>
      <c r="E377" s="456" t="str">
        <f t="shared" si="10"/>
        <v>CLARK/ROBERTS ENDOWED SCHP</v>
      </c>
      <c r="F377" s="441">
        <v>0</v>
      </c>
      <c r="G377" s="450">
        <v>2022</v>
      </c>
      <c r="H377" s="450">
        <v>2.75</v>
      </c>
      <c r="I377" s="450">
        <v>25.75</v>
      </c>
      <c r="J377" s="450">
        <v>0</v>
      </c>
      <c r="K377" s="450">
        <v>0</v>
      </c>
      <c r="L377" s="450">
        <f t="shared" si="11"/>
        <v>2050.5</v>
      </c>
    </row>
    <row r="378" spans="1:12" ht="12.75" outlineLevel="1">
      <c r="A378" s="395" t="s">
        <v>144</v>
      </c>
      <c r="C378" s="455"/>
      <c r="D378" s="433" t="s">
        <v>145</v>
      </c>
      <c r="E378" s="456" t="str">
        <f t="shared" si="10"/>
        <v>TM ML MCMILLEN SCHOLARSHIP</v>
      </c>
      <c r="F378" s="441">
        <v>0</v>
      </c>
      <c r="G378" s="450">
        <v>2032.78</v>
      </c>
      <c r="H378" s="450">
        <v>2.75</v>
      </c>
      <c r="I378" s="450">
        <v>25.75</v>
      </c>
      <c r="J378" s="450">
        <v>0</v>
      </c>
      <c r="K378" s="450">
        <v>0</v>
      </c>
      <c r="L378" s="450">
        <f t="shared" si="11"/>
        <v>2061.2799999999997</v>
      </c>
    </row>
    <row r="379" spans="1:12" ht="12.75" outlineLevel="1">
      <c r="A379" s="395" t="s">
        <v>146</v>
      </c>
      <c r="C379" s="455"/>
      <c r="D379" s="433" t="s">
        <v>147</v>
      </c>
      <c r="E379" s="456" t="str">
        <f t="shared" si="10"/>
        <v>F PREWITT SR ENDOWED SCHOLARSH</v>
      </c>
      <c r="F379" s="441">
        <v>0</v>
      </c>
      <c r="G379" s="450">
        <v>30000</v>
      </c>
      <c r="H379" s="450">
        <v>390.55</v>
      </c>
      <c r="I379" s="450">
        <v>1617.85</v>
      </c>
      <c r="J379" s="450">
        <v>0</v>
      </c>
      <c r="K379" s="450">
        <v>0</v>
      </c>
      <c r="L379" s="450">
        <f t="shared" si="11"/>
        <v>32008.399999999998</v>
      </c>
    </row>
    <row r="380" spans="1:12" ht="12.75" outlineLevel="1">
      <c r="A380" s="395" t="s">
        <v>148</v>
      </c>
      <c r="C380" s="455"/>
      <c r="D380" s="433" t="s">
        <v>149</v>
      </c>
      <c r="E380" s="456" t="str">
        <f t="shared" si="10"/>
        <v>UMR GRAD PWR ENGR PG</v>
      </c>
      <c r="F380" s="441">
        <v>85348.56</v>
      </c>
      <c r="G380" s="450">
        <v>0</v>
      </c>
      <c r="H380" s="450">
        <v>-350.16</v>
      </c>
      <c r="I380" s="450">
        <v>-4323.88</v>
      </c>
      <c r="J380" s="450">
        <v>0</v>
      </c>
      <c r="K380" s="450">
        <v>-35000</v>
      </c>
      <c r="L380" s="450">
        <f t="shared" si="11"/>
        <v>45674.51999999999</v>
      </c>
    </row>
    <row r="381" spans="1:12" ht="12.75" outlineLevel="1">
      <c r="A381" s="395" t="s">
        <v>150</v>
      </c>
      <c r="C381" s="455"/>
      <c r="D381" s="433" t="s">
        <v>151</v>
      </c>
      <c r="E381" s="456" t="str">
        <f t="shared" si="10"/>
        <v>RICKETTS SCHOLARS</v>
      </c>
      <c r="F381" s="441">
        <v>15040.62</v>
      </c>
      <c r="G381" s="450">
        <v>0</v>
      </c>
      <c r="H381" s="450">
        <v>-233.48</v>
      </c>
      <c r="I381" s="450">
        <v>2910.44</v>
      </c>
      <c r="J381" s="450">
        <v>0</v>
      </c>
      <c r="K381" s="450">
        <v>0</v>
      </c>
      <c r="L381" s="450">
        <f t="shared" si="11"/>
        <v>17717.58</v>
      </c>
    </row>
    <row r="382" spans="1:13" ht="12.75" customHeight="1">
      <c r="A382" s="395" t="s">
        <v>152</v>
      </c>
      <c r="D382" s="444" t="s">
        <v>153</v>
      </c>
      <c r="E382" s="501" t="str">
        <f t="shared" si="10"/>
        <v>TOTAL INCOME RESTRICTED</v>
      </c>
      <c r="F382" s="446">
        <v>47023712.17000002</v>
      </c>
      <c r="G382" s="447">
        <v>719659.7</v>
      </c>
      <c r="H382" s="447">
        <v>-1146550.66</v>
      </c>
      <c r="I382" s="447">
        <v>6589538.880000007</v>
      </c>
      <c r="J382" s="447">
        <v>1443.06</v>
      </c>
      <c r="K382" s="447">
        <v>-97089.03</v>
      </c>
      <c r="L382" s="447">
        <f t="shared" si="11"/>
        <v>53087828.00000003</v>
      </c>
      <c r="M382" s="455"/>
    </row>
    <row r="383" spans="2:14" s="495" customFormat="1" ht="12.75" customHeight="1">
      <c r="B383" s="496"/>
      <c r="C383" s="455"/>
      <c r="D383" s="455"/>
      <c r="E383" s="500"/>
      <c r="F383" s="502"/>
      <c r="G383" s="503"/>
      <c r="H383" s="503"/>
      <c r="I383" s="503"/>
      <c r="J383" s="503"/>
      <c r="K383" s="503"/>
      <c r="L383" s="503"/>
      <c r="M383" s="457"/>
      <c r="N383" s="500"/>
    </row>
    <row r="384" spans="4:13" ht="12.75" customHeight="1">
      <c r="D384" s="504"/>
      <c r="E384" s="488" t="s">
        <v>154</v>
      </c>
      <c r="F384" s="446">
        <f aca="true" t="shared" si="12" ref="F384:L384">F382</f>
        <v>47023712.17000002</v>
      </c>
      <c r="G384" s="447">
        <f t="shared" si="12"/>
        <v>719659.7</v>
      </c>
      <c r="H384" s="447">
        <f t="shared" si="12"/>
        <v>-1146550.66</v>
      </c>
      <c r="I384" s="447">
        <f t="shared" si="12"/>
        <v>6589538.880000007</v>
      </c>
      <c r="J384" s="447">
        <f t="shared" si="12"/>
        <v>1443.06</v>
      </c>
      <c r="K384" s="447">
        <f t="shared" si="12"/>
        <v>-97089.03</v>
      </c>
      <c r="L384" s="447">
        <f t="shared" si="12"/>
        <v>53087828.00000003</v>
      </c>
      <c r="M384" s="455"/>
    </row>
    <row r="385" spans="2:14" s="495" customFormat="1" ht="12.75" customHeight="1">
      <c r="B385" s="496"/>
      <c r="C385" s="455"/>
      <c r="D385" s="505"/>
      <c r="E385" s="506"/>
      <c r="F385" s="507"/>
      <c r="G385" s="499"/>
      <c r="H385" s="499"/>
      <c r="I385" s="499"/>
      <c r="J385" s="499"/>
      <c r="K385" s="499"/>
      <c r="L385" s="499"/>
      <c r="M385" s="457"/>
      <c r="N385" s="500"/>
    </row>
    <row r="386" spans="2:12" ht="12.75" customHeight="1">
      <c r="B386" s="431" t="s">
        <v>155</v>
      </c>
      <c r="F386" s="449"/>
      <c r="G386" s="450"/>
      <c r="H386" s="450"/>
      <c r="I386" s="450"/>
      <c r="J386" s="450"/>
      <c r="K386" s="450"/>
      <c r="L386" s="450"/>
    </row>
    <row r="387" spans="3:12" ht="12.75" customHeight="1">
      <c r="C387" s="432" t="s">
        <v>1063</v>
      </c>
      <c r="F387" s="449"/>
      <c r="G387" s="450"/>
      <c r="H387" s="450"/>
      <c r="I387" s="450"/>
      <c r="J387" s="450"/>
      <c r="K387" s="450"/>
      <c r="L387" s="450"/>
    </row>
    <row r="388" spans="1:12" ht="12.75" outlineLevel="1">
      <c r="A388" s="395" t="s">
        <v>156</v>
      </c>
      <c r="C388" s="455"/>
      <c r="D388" s="433" t="s">
        <v>157</v>
      </c>
      <c r="E388" s="456" t="str">
        <f aca="true" t="shared" si="13" ref="E388:E419">UPPER(D388)</f>
        <v>ACADEMY CHEMICAL EN</v>
      </c>
      <c r="F388" s="441">
        <v>63037.7</v>
      </c>
      <c r="G388" s="450">
        <v>23634.68</v>
      </c>
      <c r="H388" s="450">
        <v>-551.9</v>
      </c>
      <c r="I388" s="450">
        <v>29703.68</v>
      </c>
      <c r="J388" s="450">
        <v>0</v>
      </c>
      <c r="K388" s="450">
        <v>-56000</v>
      </c>
      <c r="L388" s="450">
        <f aca="true" t="shared" si="14" ref="L388:L419">F388+G388+H388+I388-J388+K388</f>
        <v>59824.16</v>
      </c>
    </row>
    <row r="389" spans="1:12" ht="12.75" outlineLevel="1">
      <c r="A389" s="395" t="s">
        <v>158</v>
      </c>
      <c r="C389" s="455"/>
      <c r="D389" s="433" t="s">
        <v>159</v>
      </c>
      <c r="E389" s="456" t="str">
        <f t="shared" si="13"/>
        <v>ACADEMY CE SCHP</v>
      </c>
      <c r="F389" s="441">
        <v>70508.4</v>
      </c>
      <c r="G389" s="450">
        <v>0</v>
      </c>
      <c r="H389" s="450">
        <v>-2102.39</v>
      </c>
      <c r="I389" s="450">
        <v>10627.5</v>
      </c>
      <c r="J389" s="450">
        <v>0</v>
      </c>
      <c r="K389" s="450">
        <v>0</v>
      </c>
      <c r="L389" s="450">
        <f t="shared" si="14"/>
        <v>79033.51</v>
      </c>
    </row>
    <row r="390" spans="1:12" ht="12.75" outlineLevel="1">
      <c r="A390" s="395" t="s">
        <v>160</v>
      </c>
      <c r="C390" s="455"/>
      <c r="D390" s="433" t="s">
        <v>161</v>
      </c>
      <c r="E390" s="456" t="str">
        <f t="shared" si="13"/>
        <v>AEROSPACE ENG ENDOW</v>
      </c>
      <c r="F390" s="441">
        <v>48957.49</v>
      </c>
      <c r="G390" s="450">
        <v>0</v>
      </c>
      <c r="H390" s="450">
        <v>-1459.8</v>
      </c>
      <c r="I390" s="450">
        <v>7379.23</v>
      </c>
      <c r="J390" s="450">
        <v>0</v>
      </c>
      <c r="K390" s="450">
        <v>0</v>
      </c>
      <c r="L390" s="450">
        <f t="shared" si="14"/>
        <v>54876.92</v>
      </c>
    </row>
    <row r="391" spans="1:12" ht="12.75" outlineLevel="1">
      <c r="A391" s="395" t="s">
        <v>162</v>
      </c>
      <c r="C391" s="455"/>
      <c r="D391" s="433" t="s">
        <v>163</v>
      </c>
      <c r="E391" s="456" t="str">
        <f t="shared" si="13"/>
        <v>ANDREWS C E SCHP</v>
      </c>
      <c r="F391" s="441">
        <v>48349.39</v>
      </c>
      <c r="G391" s="450">
        <v>400</v>
      </c>
      <c r="H391" s="450">
        <v>-1423.19</v>
      </c>
      <c r="I391" s="450">
        <v>7322.46</v>
      </c>
      <c r="J391" s="450">
        <v>0</v>
      </c>
      <c r="K391" s="450">
        <v>0</v>
      </c>
      <c r="L391" s="450">
        <f t="shared" si="14"/>
        <v>54648.659999999996</v>
      </c>
    </row>
    <row r="392" spans="1:12" ht="12.75" outlineLevel="1">
      <c r="A392" s="395" t="s">
        <v>164</v>
      </c>
      <c r="C392" s="455"/>
      <c r="D392" s="433" t="s">
        <v>165</v>
      </c>
      <c r="E392" s="456" t="str">
        <f t="shared" si="13"/>
        <v>BEST CIVIL ENG SCHOL</v>
      </c>
      <c r="F392" s="441">
        <v>47598.17</v>
      </c>
      <c r="G392" s="450">
        <v>150</v>
      </c>
      <c r="H392" s="450">
        <v>-1413.26</v>
      </c>
      <c r="I392" s="450">
        <v>7198.74</v>
      </c>
      <c r="J392" s="450">
        <v>0</v>
      </c>
      <c r="K392" s="450">
        <v>0</v>
      </c>
      <c r="L392" s="450">
        <f t="shared" si="14"/>
        <v>53533.649999999994</v>
      </c>
    </row>
    <row r="393" spans="1:12" ht="12.75" outlineLevel="1">
      <c r="A393" s="395" t="s">
        <v>166</v>
      </c>
      <c r="C393" s="455"/>
      <c r="D393" s="433" t="s">
        <v>167</v>
      </c>
      <c r="E393" s="456" t="str">
        <f t="shared" si="13"/>
        <v>JACK &amp; MARY BOYD SCH</v>
      </c>
      <c r="F393" s="441">
        <v>14011.01</v>
      </c>
      <c r="G393" s="450">
        <v>100</v>
      </c>
      <c r="H393" s="450">
        <v>-413.29</v>
      </c>
      <c r="I393" s="450">
        <v>2112.82</v>
      </c>
      <c r="J393" s="450">
        <v>0</v>
      </c>
      <c r="K393" s="450">
        <v>0</v>
      </c>
      <c r="L393" s="450">
        <f t="shared" si="14"/>
        <v>15810.539999999999</v>
      </c>
    </row>
    <row r="394" spans="1:12" ht="12.75" outlineLevel="1">
      <c r="A394" s="395" t="s">
        <v>168</v>
      </c>
      <c r="C394" s="455"/>
      <c r="D394" s="433" t="s">
        <v>169</v>
      </c>
      <c r="E394" s="456" t="str">
        <f t="shared" si="13"/>
        <v>BUTLER CIVIL ENGR</v>
      </c>
      <c r="F394" s="441">
        <v>97956.17</v>
      </c>
      <c r="G394" s="450">
        <v>50</v>
      </c>
      <c r="H394" s="450">
        <v>-2919.03</v>
      </c>
      <c r="I394" s="450">
        <v>14771.72</v>
      </c>
      <c r="J394" s="450">
        <v>0</v>
      </c>
      <c r="K394" s="450">
        <v>0</v>
      </c>
      <c r="L394" s="450">
        <f t="shared" si="14"/>
        <v>109858.86</v>
      </c>
    </row>
    <row r="395" spans="1:12" ht="12.75" outlineLevel="1">
      <c r="A395" s="395" t="s">
        <v>170</v>
      </c>
      <c r="C395" s="455"/>
      <c r="D395" s="433" t="s">
        <v>171</v>
      </c>
      <c r="E395" s="456" t="str">
        <f t="shared" si="13"/>
        <v>M R CAIN SCHOLARSHIP</v>
      </c>
      <c r="F395" s="441">
        <v>17295.12</v>
      </c>
      <c r="G395" s="450">
        <v>0</v>
      </c>
      <c r="H395" s="450">
        <v>-515.71</v>
      </c>
      <c r="I395" s="450">
        <v>2606.85</v>
      </c>
      <c r="J395" s="450">
        <v>0</v>
      </c>
      <c r="K395" s="450">
        <v>0</v>
      </c>
      <c r="L395" s="450">
        <f t="shared" si="14"/>
        <v>19386.26</v>
      </c>
    </row>
    <row r="396" spans="1:12" ht="12.75" outlineLevel="1">
      <c r="A396" s="395" t="s">
        <v>172</v>
      </c>
      <c r="C396" s="455"/>
      <c r="D396" s="433" t="s">
        <v>173</v>
      </c>
      <c r="E396" s="456" t="str">
        <f t="shared" si="13"/>
        <v>CARLTON CIVIL ENGR</v>
      </c>
      <c r="F396" s="441">
        <v>61791.04</v>
      </c>
      <c r="G396" s="450">
        <v>950</v>
      </c>
      <c r="H396" s="450">
        <v>-1800.15</v>
      </c>
      <c r="I396" s="450">
        <v>9424.25</v>
      </c>
      <c r="J396" s="450">
        <v>0</v>
      </c>
      <c r="K396" s="450">
        <v>0</v>
      </c>
      <c r="L396" s="450">
        <f t="shared" si="14"/>
        <v>70365.14</v>
      </c>
    </row>
    <row r="397" spans="1:12" ht="12.75" outlineLevel="1">
      <c r="A397" s="395" t="s">
        <v>174</v>
      </c>
      <c r="C397" s="455"/>
      <c r="D397" s="433" t="s">
        <v>175</v>
      </c>
      <c r="E397" s="456" t="str">
        <f t="shared" si="13"/>
        <v>CARR SCHP CHEM ENGR</v>
      </c>
      <c r="F397" s="441">
        <v>26424.41</v>
      </c>
      <c r="G397" s="450">
        <v>4155</v>
      </c>
      <c r="H397" s="450">
        <v>-627.26</v>
      </c>
      <c r="I397" s="450">
        <v>4284.03</v>
      </c>
      <c r="J397" s="450">
        <v>0</v>
      </c>
      <c r="K397" s="450">
        <v>0</v>
      </c>
      <c r="L397" s="450">
        <f t="shared" si="14"/>
        <v>34236.18</v>
      </c>
    </row>
    <row r="398" spans="1:12" ht="12.75" outlineLevel="1">
      <c r="A398" s="395" t="s">
        <v>176</v>
      </c>
      <c r="C398" s="455"/>
      <c r="D398" s="433" t="s">
        <v>177</v>
      </c>
      <c r="E398" s="456" t="str">
        <f t="shared" si="13"/>
        <v>CIV ENG ACH AWARD</v>
      </c>
      <c r="F398" s="441">
        <v>29296.79</v>
      </c>
      <c r="G398" s="450">
        <v>0</v>
      </c>
      <c r="H398" s="450">
        <v>-873.57</v>
      </c>
      <c r="I398" s="450">
        <v>4415.8</v>
      </c>
      <c r="J398" s="450">
        <v>0</v>
      </c>
      <c r="K398" s="450">
        <v>0</v>
      </c>
      <c r="L398" s="450">
        <f t="shared" si="14"/>
        <v>32839.020000000004</v>
      </c>
    </row>
    <row r="399" spans="1:12" ht="12.75" outlineLevel="1">
      <c r="A399" s="395" t="s">
        <v>178</v>
      </c>
      <c r="C399" s="455"/>
      <c r="D399" s="433" t="s">
        <v>179</v>
      </c>
      <c r="E399" s="456" t="str">
        <f t="shared" si="13"/>
        <v>COMP SCI ALUMNI SCHP</v>
      </c>
      <c r="F399" s="441">
        <v>114879.19</v>
      </c>
      <c r="G399" s="450">
        <v>0</v>
      </c>
      <c r="H399" s="450">
        <v>-3425.45</v>
      </c>
      <c r="I399" s="450">
        <v>17315.36</v>
      </c>
      <c r="J399" s="450">
        <v>0</v>
      </c>
      <c r="K399" s="450">
        <v>0</v>
      </c>
      <c r="L399" s="450">
        <f t="shared" si="14"/>
        <v>128769.1</v>
      </c>
    </row>
    <row r="400" spans="1:12" ht="12.75" outlineLevel="1">
      <c r="A400" s="395" t="s">
        <v>180</v>
      </c>
      <c r="C400" s="455"/>
      <c r="D400" s="433" t="s">
        <v>181</v>
      </c>
      <c r="E400" s="456" t="str">
        <f t="shared" si="13"/>
        <v>P B &amp; J J DOYLE FUND</v>
      </c>
      <c r="F400" s="441">
        <v>146461.06</v>
      </c>
      <c r="G400" s="450">
        <v>0</v>
      </c>
      <c r="H400" s="450">
        <v>-4367.13</v>
      </c>
      <c r="I400" s="450">
        <v>22075.6</v>
      </c>
      <c r="J400" s="450">
        <v>0</v>
      </c>
      <c r="K400" s="450">
        <v>0</v>
      </c>
      <c r="L400" s="450">
        <f t="shared" si="14"/>
        <v>164169.53</v>
      </c>
    </row>
    <row r="401" spans="1:12" ht="12.75" outlineLevel="1">
      <c r="A401" s="395" t="s">
        <v>182</v>
      </c>
      <c r="C401" s="455"/>
      <c r="D401" s="433" t="s">
        <v>183</v>
      </c>
      <c r="E401" s="456" t="str">
        <f t="shared" si="13"/>
        <v>FRAME END SCHP</v>
      </c>
      <c r="F401" s="441">
        <v>27776.95</v>
      </c>
      <c r="G401" s="450">
        <v>0</v>
      </c>
      <c r="H401" s="450">
        <v>-828.24</v>
      </c>
      <c r="I401" s="450">
        <v>4186.72</v>
      </c>
      <c r="J401" s="450">
        <v>0</v>
      </c>
      <c r="K401" s="450">
        <v>0</v>
      </c>
      <c r="L401" s="450">
        <f t="shared" si="14"/>
        <v>31135.43</v>
      </c>
    </row>
    <row r="402" spans="1:12" ht="12.75" outlineLevel="1">
      <c r="A402" s="395" t="s">
        <v>184</v>
      </c>
      <c r="C402" s="455"/>
      <c r="D402" s="433" t="s">
        <v>185</v>
      </c>
      <c r="E402" s="456" t="str">
        <f t="shared" si="13"/>
        <v>VAC GEVECKER SCHP</v>
      </c>
      <c r="F402" s="441">
        <v>34783.97</v>
      </c>
      <c r="G402" s="450">
        <v>0</v>
      </c>
      <c r="H402" s="450">
        <v>-987.39</v>
      </c>
      <c r="I402" s="450">
        <v>5301.48</v>
      </c>
      <c r="J402" s="450">
        <v>0</v>
      </c>
      <c r="K402" s="450">
        <v>0</v>
      </c>
      <c r="L402" s="450">
        <f t="shared" si="14"/>
        <v>39098.06</v>
      </c>
    </row>
    <row r="403" spans="1:12" ht="12.75" outlineLevel="1">
      <c r="A403" s="395" t="s">
        <v>186</v>
      </c>
      <c r="C403" s="455"/>
      <c r="D403" s="433" t="s">
        <v>187</v>
      </c>
      <c r="E403" s="456" t="str">
        <f t="shared" si="13"/>
        <v>HATFIELD END SCHP</v>
      </c>
      <c r="F403" s="441">
        <v>787528.25</v>
      </c>
      <c r="G403" s="450">
        <v>0</v>
      </c>
      <c r="H403" s="450">
        <v>-23652.41</v>
      </c>
      <c r="I403" s="450">
        <v>118289.21</v>
      </c>
      <c r="J403" s="450">
        <v>4922.05</v>
      </c>
      <c r="K403" s="450">
        <v>0</v>
      </c>
      <c r="L403" s="450">
        <f t="shared" si="14"/>
        <v>877242.9999999999</v>
      </c>
    </row>
    <row r="404" spans="1:12" ht="12.75" outlineLevel="1">
      <c r="A404" s="395" t="s">
        <v>188</v>
      </c>
      <c r="C404" s="455"/>
      <c r="D404" s="433" t="s">
        <v>189</v>
      </c>
      <c r="E404" s="456" t="str">
        <f t="shared" si="13"/>
        <v>H R HANLEY SCHOLARSH</v>
      </c>
      <c r="F404" s="441">
        <v>28439.23</v>
      </c>
      <c r="G404" s="450">
        <v>0</v>
      </c>
      <c r="H404" s="450">
        <v>-847.98</v>
      </c>
      <c r="I404" s="450">
        <v>4286.56</v>
      </c>
      <c r="J404" s="450">
        <v>0</v>
      </c>
      <c r="K404" s="450">
        <v>0</v>
      </c>
      <c r="L404" s="450">
        <f t="shared" si="14"/>
        <v>31877.81</v>
      </c>
    </row>
    <row r="405" spans="1:12" ht="12.75" outlineLevel="1">
      <c r="A405" s="395" t="s">
        <v>190</v>
      </c>
      <c r="C405" s="455"/>
      <c r="D405" s="433" t="s">
        <v>191</v>
      </c>
      <c r="E405" s="456" t="str">
        <f t="shared" si="13"/>
        <v>HAVENER SCHP</v>
      </c>
      <c r="F405" s="441">
        <v>223096.41</v>
      </c>
      <c r="G405" s="450">
        <v>0</v>
      </c>
      <c r="H405" s="450">
        <v>-6652.25</v>
      </c>
      <c r="I405" s="450">
        <v>33626.56</v>
      </c>
      <c r="J405" s="450">
        <v>0</v>
      </c>
      <c r="K405" s="450">
        <v>0</v>
      </c>
      <c r="L405" s="450">
        <f t="shared" si="14"/>
        <v>250070.72</v>
      </c>
    </row>
    <row r="406" spans="1:12" ht="12.75" outlineLevel="1">
      <c r="A406" s="395" t="s">
        <v>192</v>
      </c>
      <c r="C406" s="455"/>
      <c r="D406" s="433" t="s">
        <v>193</v>
      </c>
      <c r="E406" s="456" t="str">
        <f t="shared" si="13"/>
        <v>HEAGLER CIV ENG SCH</v>
      </c>
      <c r="F406" s="441">
        <v>30424.84</v>
      </c>
      <c r="G406" s="450">
        <v>100</v>
      </c>
      <c r="H406" s="450">
        <v>-901.21</v>
      </c>
      <c r="I406" s="450">
        <v>4591.18</v>
      </c>
      <c r="J406" s="450">
        <v>0</v>
      </c>
      <c r="K406" s="450">
        <v>0</v>
      </c>
      <c r="L406" s="450">
        <f t="shared" si="14"/>
        <v>34214.81</v>
      </c>
    </row>
    <row r="407" spans="1:12" ht="12.75" outlineLevel="1">
      <c r="A407" s="395" t="s">
        <v>194</v>
      </c>
      <c r="C407" s="455"/>
      <c r="D407" s="433" t="s">
        <v>195</v>
      </c>
      <c r="E407" s="456" t="str">
        <f t="shared" si="13"/>
        <v>STONEHENGE SCHP</v>
      </c>
      <c r="F407" s="441">
        <v>17524.3</v>
      </c>
      <c r="G407" s="450">
        <v>0</v>
      </c>
      <c r="H407" s="450">
        <v>-522.53</v>
      </c>
      <c r="I407" s="450">
        <v>2641.37</v>
      </c>
      <c r="J407" s="450">
        <v>0</v>
      </c>
      <c r="K407" s="450">
        <v>0</v>
      </c>
      <c r="L407" s="450">
        <f t="shared" si="14"/>
        <v>19643.14</v>
      </c>
    </row>
    <row r="408" spans="1:12" ht="12.75" outlineLevel="1">
      <c r="A408" s="395" t="s">
        <v>196</v>
      </c>
      <c r="C408" s="455"/>
      <c r="D408" s="433" t="s">
        <v>197</v>
      </c>
      <c r="E408" s="456" t="str">
        <f t="shared" si="13"/>
        <v>J S JOHNSON SCHP</v>
      </c>
      <c r="F408" s="441">
        <v>8243.37</v>
      </c>
      <c r="G408" s="450">
        <v>0</v>
      </c>
      <c r="H408" s="450">
        <v>-245.8</v>
      </c>
      <c r="I408" s="450">
        <v>1242.47</v>
      </c>
      <c r="J408" s="450">
        <v>0</v>
      </c>
      <c r="K408" s="450">
        <v>0</v>
      </c>
      <c r="L408" s="450">
        <f t="shared" si="14"/>
        <v>9240.04</v>
      </c>
    </row>
    <row r="409" spans="1:12" ht="12.75" outlineLevel="1">
      <c r="A409" s="395" t="s">
        <v>198</v>
      </c>
      <c r="C409" s="455"/>
      <c r="D409" s="433" t="s">
        <v>199</v>
      </c>
      <c r="E409" s="456" t="str">
        <f t="shared" si="13"/>
        <v>MATH &amp; STAT ALUM SCH</v>
      </c>
      <c r="F409" s="441">
        <v>42946.78</v>
      </c>
      <c r="G409" s="450">
        <v>0</v>
      </c>
      <c r="H409" s="450">
        <v>-1249.34</v>
      </c>
      <c r="I409" s="450">
        <v>6473.22</v>
      </c>
      <c r="J409" s="450">
        <v>0</v>
      </c>
      <c r="K409" s="450">
        <v>9000</v>
      </c>
      <c r="L409" s="450">
        <f t="shared" si="14"/>
        <v>57170.66</v>
      </c>
    </row>
    <row r="410" spans="1:12" ht="12.75" outlineLevel="1">
      <c r="A410" s="395" t="s">
        <v>200</v>
      </c>
      <c r="C410" s="455"/>
      <c r="D410" s="433" t="s">
        <v>997</v>
      </c>
      <c r="E410" s="456" t="str">
        <f t="shared" si="13"/>
        <v>MCBRIDE LOAN/SCHP</v>
      </c>
      <c r="F410" s="441">
        <v>4845535.83</v>
      </c>
      <c r="G410" s="450">
        <v>0</v>
      </c>
      <c r="H410" s="450">
        <v>-138600.13</v>
      </c>
      <c r="I410" s="450">
        <v>720552.05</v>
      </c>
      <c r="J410" s="450">
        <v>0</v>
      </c>
      <c r="K410" s="450">
        <v>112417.96</v>
      </c>
      <c r="L410" s="450">
        <f t="shared" si="14"/>
        <v>5539905.71</v>
      </c>
    </row>
    <row r="411" spans="1:12" ht="12.75" outlineLevel="1">
      <c r="A411" s="395" t="s">
        <v>201</v>
      </c>
      <c r="C411" s="455"/>
      <c r="D411" s="433" t="s">
        <v>202</v>
      </c>
      <c r="E411" s="456" t="str">
        <f t="shared" si="13"/>
        <v>MCPHERSON FELLOWSHIP</v>
      </c>
      <c r="F411" s="441">
        <v>47489.54</v>
      </c>
      <c r="G411" s="450">
        <v>2100</v>
      </c>
      <c r="H411" s="450">
        <v>-882.98</v>
      </c>
      <c r="I411" s="450">
        <v>8191.83</v>
      </c>
      <c r="J411" s="450">
        <v>0</v>
      </c>
      <c r="K411" s="450">
        <v>0</v>
      </c>
      <c r="L411" s="450">
        <f t="shared" si="14"/>
        <v>56898.39</v>
      </c>
    </row>
    <row r="412" spans="1:12" ht="12.75" outlineLevel="1">
      <c r="A412" s="395" t="s">
        <v>203</v>
      </c>
      <c r="C412" s="455"/>
      <c r="D412" s="433" t="s">
        <v>204</v>
      </c>
      <c r="E412" s="456" t="str">
        <f t="shared" si="13"/>
        <v>NOLTE END FELLOWSHIP</v>
      </c>
      <c r="F412" s="441">
        <v>9549.15</v>
      </c>
      <c r="G412" s="450">
        <v>0</v>
      </c>
      <c r="H412" s="450">
        <v>-284.73</v>
      </c>
      <c r="I412" s="450">
        <v>1439.35</v>
      </c>
      <c r="J412" s="450">
        <v>0</v>
      </c>
      <c r="K412" s="450">
        <v>0</v>
      </c>
      <c r="L412" s="450">
        <f t="shared" si="14"/>
        <v>10703.77</v>
      </c>
    </row>
    <row r="413" spans="1:12" ht="12.75" outlineLevel="1">
      <c r="A413" s="395" t="s">
        <v>205</v>
      </c>
      <c r="C413" s="455"/>
      <c r="D413" s="433" t="s">
        <v>206</v>
      </c>
      <c r="E413" s="456" t="str">
        <f t="shared" si="13"/>
        <v>NORBERT SCHMIDT FELL</v>
      </c>
      <c r="F413" s="441">
        <v>29450.32</v>
      </c>
      <c r="G413" s="450">
        <v>0</v>
      </c>
      <c r="H413" s="450">
        <v>-878.14</v>
      </c>
      <c r="I413" s="450">
        <v>4438.95</v>
      </c>
      <c r="J413" s="450">
        <v>0</v>
      </c>
      <c r="K413" s="450">
        <v>0</v>
      </c>
      <c r="L413" s="450">
        <f t="shared" si="14"/>
        <v>33011.13</v>
      </c>
    </row>
    <row r="414" spans="1:13" ht="12.75" outlineLevel="1">
      <c r="A414" s="395" t="s">
        <v>207</v>
      </c>
      <c r="C414" s="455"/>
      <c r="D414" s="433" t="s">
        <v>208</v>
      </c>
      <c r="E414" s="421" t="str">
        <f t="shared" si="13"/>
        <v>SKITEK/HKN SCHP</v>
      </c>
      <c r="F414" s="449">
        <v>32676.1</v>
      </c>
      <c r="G414" s="450">
        <v>0</v>
      </c>
      <c r="H414" s="450">
        <v>-974.32</v>
      </c>
      <c r="I414" s="450">
        <v>4925.17</v>
      </c>
      <c r="J414" s="450">
        <v>0</v>
      </c>
      <c r="K414" s="450">
        <v>0</v>
      </c>
      <c r="L414" s="450">
        <f t="shared" si="14"/>
        <v>36626.95</v>
      </c>
      <c r="M414" s="455"/>
    </row>
    <row r="415" spans="1:14" s="495" customFormat="1" ht="12.75" outlineLevel="1">
      <c r="A415" s="495" t="s">
        <v>209</v>
      </c>
      <c r="B415" s="496"/>
      <c r="C415" s="455"/>
      <c r="D415" s="455" t="s">
        <v>210</v>
      </c>
      <c r="E415" s="497" t="str">
        <f t="shared" si="13"/>
        <v>D THOMPSON FELLOW</v>
      </c>
      <c r="F415" s="498">
        <v>30558</v>
      </c>
      <c r="G415" s="499">
        <v>125</v>
      </c>
      <c r="H415" s="499">
        <v>-906.27</v>
      </c>
      <c r="I415" s="499">
        <v>4612.28</v>
      </c>
      <c r="J415" s="499">
        <v>0</v>
      </c>
      <c r="K415" s="499">
        <v>0</v>
      </c>
      <c r="L415" s="499">
        <f t="shared" si="14"/>
        <v>34389.01</v>
      </c>
      <c r="M415" s="457"/>
      <c r="N415" s="500"/>
    </row>
    <row r="416" spans="1:12" ht="12.75" outlineLevel="1">
      <c r="A416" s="395" t="s">
        <v>211</v>
      </c>
      <c r="C416" s="455"/>
      <c r="D416" s="433" t="s">
        <v>212</v>
      </c>
      <c r="E416" s="456" t="str">
        <f t="shared" si="13"/>
        <v>UMR CHEM ENGR GRAD</v>
      </c>
      <c r="F416" s="441">
        <v>149592.78</v>
      </c>
      <c r="G416" s="450">
        <v>0</v>
      </c>
      <c r="H416" s="450">
        <v>-613.73</v>
      </c>
      <c r="I416" s="450">
        <v>-8191.46</v>
      </c>
      <c r="J416" s="450">
        <v>0</v>
      </c>
      <c r="K416" s="450">
        <v>0</v>
      </c>
      <c r="L416" s="450">
        <f t="shared" si="14"/>
        <v>140787.59</v>
      </c>
    </row>
    <row r="417" spans="1:12" ht="12.75" outlineLevel="1">
      <c r="A417" s="395" t="s">
        <v>213</v>
      </c>
      <c r="C417" s="455"/>
      <c r="D417" s="433" t="s">
        <v>214</v>
      </c>
      <c r="E417" s="456" t="str">
        <f t="shared" si="13"/>
        <v>WEI-WEN YU FELLOW</v>
      </c>
      <c r="F417" s="441">
        <v>76176.31</v>
      </c>
      <c r="G417" s="450">
        <v>100</v>
      </c>
      <c r="H417" s="450">
        <v>-2268.63</v>
      </c>
      <c r="I417" s="450">
        <v>11487.28</v>
      </c>
      <c r="J417" s="450">
        <v>0</v>
      </c>
      <c r="K417" s="450">
        <v>0</v>
      </c>
      <c r="L417" s="450">
        <f t="shared" si="14"/>
        <v>85494.95999999999</v>
      </c>
    </row>
    <row r="418" spans="1:12" ht="12.75" outlineLevel="1">
      <c r="A418" s="395" t="s">
        <v>215</v>
      </c>
      <c r="C418" s="455"/>
      <c r="D418" s="433" t="s">
        <v>216</v>
      </c>
      <c r="E418" s="456" t="str">
        <f t="shared" si="13"/>
        <v>ACADEMY CE PROFESSOR</v>
      </c>
      <c r="F418" s="441">
        <v>0</v>
      </c>
      <c r="G418" s="450">
        <v>0</v>
      </c>
      <c r="H418" s="450">
        <v>0</v>
      </c>
      <c r="I418" s="450">
        <v>0</v>
      </c>
      <c r="J418" s="450">
        <v>0</v>
      </c>
      <c r="K418" s="450">
        <v>0</v>
      </c>
      <c r="L418" s="450">
        <f t="shared" si="14"/>
        <v>0</v>
      </c>
    </row>
    <row r="419" spans="1:12" ht="12.75" outlineLevel="1">
      <c r="A419" s="395" t="s">
        <v>217</v>
      </c>
      <c r="C419" s="455"/>
      <c r="D419" s="433" t="s">
        <v>218</v>
      </c>
      <c r="E419" s="456" t="str">
        <f t="shared" si="13"/>
        <v>ACADEMY OF MECH/AERO ENGR</v>
      </c>
      <c r="F419" s="441">
        <v>56545.53</v>
      </c>
      <c r="G419" s="450">
        <v>2500</v>
      </c>
      <c r="H419" s="450">
        <v>-3009.45</v>
      </c>
      <c r="I419" s="450">
        <v>10038.75</v>
      </c>
      <c r="J419" s="450">
        <v>0</v>
      </c>
      <c r="K419" s="450">
        <v>0</v>
      </c>
      <c r="L419" s="450">
        <f t="shared" si="14"/>
        <v>66074.83</v>
      </c>
    </row>
    <row r="420" spans="1:12" ht="12.75" outlineLevel="1">
      <c r="A420" s="395" t="s">
        <v>219</v>
      </c>
      <c r="C420" s="455"/>
      <c r="D420" s="433" t="s">
        <v>220</v>
      </c>
      <c r="E420" s="456" t="str">
        <f aca="true" t="shared" si="15" ref="E420:E447">UPPER(D420)</f>
        <v>ALUMNI YOUNG FAC AWD</v>
      </c>
      <c r="F420" s="441">
        <v>93874.64</v>
      </c>
      <c r="G420" s="450">
        <v>0</v>
      </c>
      <c r="H420" s="450">
        <v>-2799.12</v>
      </c>
      <c r="I420" s="450">
        <v>14149.42</v>
      </c>
      <c r="J420" s="450">
        <v>0</v>
      </c>
      <c r="K420" s="450">
        <v>0</v>
      </c>
      <c r="L420" s="450">
        <f aca="true" t="shared" si="16" ref="L420:L447">F420+G420+H420+I420-J420+K420</f>
        <v>105224.94</v>
      </c>
    </row>
    <row r="421" spans="1:12" ht="12.75" outlineLevel="1">
      <c r="A421" s="395" t="s">
        <v>221</v>
      </c>
      <c r="C421" s="455"/>
      <c r="D421" s="433" t="s">
        <v>222</v>
      </c>
      <c r="E421" s="456" t="str">
        <f t="shared" si="15"/>
        <v>CIV ENG FAC STF</v>
      </c>
      <c r="F421" s="441">
        <v>24130.39</v>
      </c>
      <c r="G421" s="450">
        <v>0</v>
      </c>
      <c r="H421" s="450">
        <v>-719.52</v>
      </c>
      <c r="I421" s="450">
        <v>3637.09</v>
      </c>
      <c r="J421" s="450">
        <v>0</v>
      </c>
      <c r="K421" s="450">
        <v>0</v>
      </c>
      <c r="L421" s="450">
        <f t="shared" si="16"/>
        <v>27047.96</v>
      </c>
    </row>
    <row r="422" spans="1:12" ht="12.75" outlineLevel="1">
      <c r="A422" s="395" t="s">
        <v>223</v>
      </c>
      <c r="C422" s="455"/>
      <c r="D422" s="433" t="s">
        <v>224</v>
      </c>
      <c r="E422" s="456" t="str">
        <f t="shared" si="15"/>
        <v>CIV ENG STU ACT END</v>
      </c>
      <c r="F422" s="441">
        <v>21510.7</v>
      </c>
      <c r="G422" s="450">
        <v>0</v>
      </c>
      <c r="H422" s="450">
        <v>-641.39</v>
      </c>
      <c r="I422" s="450">
        <v>3242.26</v>
      </c>
      <c r="J422" s="450">
        <v>0</v>
      </c>
      <c r="K422" s="450">
        <v>0</v>
      </c>
      <c r="L422" s="450">
        <f t="shared" si="16"/>
        <v>24111.57</v>
      </c>
    </row>
    <row r="423" spans="1:12" ht="12.75" outlineLevel="1">
      <c r="A423" s="395" t="s">
        <v>225</v>
      </c>
      <c r="C423" s="455"/>
      <c r="D423" s="433" t="s">
        <v>226</v>
      </c>
      <c r="E423" s="456" t="str">
        <f t="shared" si="15"/>
        <v>CIV ENG BLDG RENOV</v>
      </c>
      <c r="F423" s="441">
        <v>127213.24</v>
      </c>
      <c r="G423" s="450">
        <v>0</v>
      </c>
      <c r="H423" s="450">
        <v>-4895.78</v>
      </c>
      <c r="I423" s="450">
        <v>19924.05</v>
      </c>
      <c r="J423" s="450">
        <v>0</v>
      </c>
      <c r="K423" s="450">
        <v>-142241.51</v>
      </c>
      <c r="L423" s="450">
        <f t="shared" si="16"/>
        <v>0</v>
      </c>
    </row>
    <row r="424" spans="1:12" ht="12.75" outlineLevel="1">
      <c r="A424" s="395" t="s">
        <v>1483</v>
      </c>
      <c r="C424" s="455"/>
      <c r="D424" s="433" t="s">
        <v>1484</v>
      </c>
      <c r="E424" s="456" t="str">
        <f t="shared" si="15"/>
        <v>ORDER GOLDEN END</v>
      </c>
      <c r="F424" s="441">
        <v>7.37</v>
      </c>
      <c r="G424" s="450">
        <v>0</v>
      </c>
      <c r="H424" s="450">
        <v>0</v>
      </c>
      <c r="I424" s="450">
        <v>0</v>
      </c>
      <c r="J424" s="450">
        <v>0</v>
      </c>
      <c r="K424" s="450">
        <v>0</v>
      </c>
      <c r="L424" s="450">
        <f t="shared" si="16"/>
        <v>7.37</v>
      </c>
    </row>
    <row r="425" spans="1:12" ht="12.75" outlineLevel="1">
      <c r="A425" s="395" t="s">
        <v>227</v>
      </c>
      <c r="C425" s="455"/>
      <c r="D425" s="433" t="s">
        <v>228</v>
      </c>
      <c r="E425" s="456" t="str">
        <f t="shared" si="15"/>
        <v>DEV OFF QUASI ENDOW</v>
      </c>
      <c r="F425" s="441">
        <v>64355.64</v>
      </c>
      <c r="G425" s="450">
        <v>7943</v>
      </c>
      <c r="H425" s="450">
        <v>1515.94</v>
      </c>
      <c r="I425" s="450">
        <v>9811.19</v>
      </c>
      <c r="J425" s="450">
        <v>0</v>
      </c>
      <c r="K425" s="450">
        <v>-16188.03</v>
      </c>
      <c r="L425" s="450">
        <f t="shared" si="16"/>
        <v>67437.74</v>
      </c>
    </row>
    <row r="426" spans="1:12" ht="12.75" outlineLevel="1">
      <c r="A426" s="395" t="s">
        <v>229</v>
      </c>
      <c r="C426" s="455"/>
      <c r="D426" s="433" t="s">
        <v>230</v>
      </c>
      <c r="E426" s="456" t="str">
        <f t="shared" si="15"/>
        <v>SCHL ENGR END</v>
      </c>
      <c r="F426" s="441">
        <v>125077.71</v>
      </c>
      <c r="G426" s="450">
        <v>0</v>
      </c>
      <c r="H426" s="450">
        <v>-3729.55</v>
      </c>
      <c r="I426" s="450">
        <v>18852.54</v>
      </c>
      <c r="J426" s="450">
        <v>0</v>
      </c>
      <c r="K426" s="450">
        <v>0</v>
      </c>
      <c r="L426" s="450">
        <f t="shared" si="16"/>
        <v>140200.7</v>
      </c>
    </row>
    <row r="427" spans="1:12" ht="12.75" outlineLevel="1">
      <c r="A427" s="395" t="s">
        <v>231</v>
      </c>
      <c r="C427" s="455"/>
      <c r="D427" s="433" t="s">
        <v>232</v>
      </c>
      <c r="E427" s="456" t="str">
        <f t="shared" si="15"/>
        <v>MECH ENGINEERING END</v>
      </c>
      <c r="F427" s="441">
        <v>1146440.53</v>
      </c>
      <c r="G427" s="450">
        <v>0</v>
      </c>
      <c r="H427" s="450">
        <v>-34184.75</v>
      </c>
      <c r="I427" s="450">
        <v>172795.13</v>
      </c>
      <c r="J427" s="450">
        <v>0</v>
      </c>
      <c r="K427" s="450">
        <v>0</v>
      </c>
      <c r="L427" s="450">
        <f t="shared" si="16"/>
        <v>1285050.9100000001</v>
      </c>
    </row>
    <row r="428" spans="1:13" ht="12.75" outlineLevel="1">
      <c r="A428" s="395" t="s">
        <v>233</v>
      </c>
      <c r="C428" s="455"/>
      <c r="D428" s="433" t="s">
        <v>234</v>
      </c>
      <c r="E428" s="421" t="str">
        <f t="shared" si="15"/>
        <v>HASSELMANN QUASI END</v>
      </c>
      <c r="F428" s="449">
        <v>1032446.17</v>
      </c>
      <c r="G428" s="450">
        <v>0</v>
      </c>
      <c r="H428" s="450">
        <v>-30785.23</v>
      </c>
      <c r="I428" s="450">
        <v>155617.13</v>
      </c>
      <c r="J428" s="450">
        <v>0</v>
      </c>
      <c r="K428" s="450">
        <v>0</v>
      </c>
      <c r="L428" s="450">
        <f t="shared" si="16"/>
        <v>1157278.07</v>
      </c>
      <c r="M428" s="455"/>
    </row>
    <row r="429" spans="1:14" s="495" customFormat="1" ht="12.75" outlineLevel="1">
      <c r="A429" s="495" t="s">
        <v>1868</v>
      </c>
      <c r="B429" s="496"/>
      <c r="C429" s="455"/>
      <c r="D429" s="455" t="s">
        <v>1869</v>
      </c>
      <c r="E429" s="500" t="str">
        <f t="shared" si="15"/>
        <v>R &amp; B HOOVER ENDOW</v>
      </c>
      <c r="F429" s="507">
        <v>139071.09</v>
      </c>
      <c r="G429" s="499">
        <v>0</v>
      </c>
      <c r="H429" s="499">
        <v>-4146.77</v>
      </c>
      <c r="I429" s="499">
        <v>20961.73</v>
      </c>
      <c r="J429" s="499">
        <v>0</v>
      </c>
      <c r="K429" s="499">
        <v>0</v>
      </c>
      <c r="L429" s="499">
        <f t="shared" si="16"/>
        <v>155886.05000000002</v>
      </c>
      <c r="M429" s="455"/>
      <c r="N429" s="500"/>
    </row>
    <row r="430" spans="1:13" ht="12.75" outlineLevel="1">
      <c r="A430" s="395" t="s">
        <v>1870</v>
      </c>
      <c r="D430" s="433" t="s">
        <v>1871</v>
      </c>
      <c r="E430" s="421" t="str">
        <f t="shared" si="15"/>
        <v>KAPPA SIGMA ED FUND</v>
      </c>
      <c r="F430" s="449">
        <v>56478.24</v>
      </c>
      <c r="G430" s="450">
        <v>189</v>
      </c>
      <c r="H430" s="450">
        <v>-1753.06</v>
      </c>
      <c r="I430" s="450">
        <v>7806.89</v>
      </c>
      <c r="J430" s="450">
        <v>0</v>
      </c>
      <c r="K430" s="450">
        <v>0</v>
      </c>
      <c r="L430" s="450">
        <f t="shared" si="16"/>
        <v>62721.07</v>
      </c>
      <c r="M430" s="433"/>
    </row>
    <row r="431" spans="1:14" s="495" customFormat="1" ht="12.75" outlineLevel="1">
      <c r="A431" s="495" t="s">
        <v>1872</v>
      </c>
      <c r="B431" s="496"/>
      <c r="C431" s="455"/>
      <c r="D431" s="455" t="s">
        <v>1873</v>
      </c>
      <c r="E431" s="497" t="str">
        <f t="shared" si="15"/>
        <v>KOPLAR EXCEL TEACH</v>
      </c>
      <c r="F431" s="498">
        <v>100636.62</v>
      </c>
      <c r="G431" s="499">
        <v>0</v>
      </c>
      <c r="H431" s="499">
        <v>-2880.93</v>
      </c>
      <c r="I431" s="499">
        <v>15168.62</v>
      </c>
      <c r="J431" s="499">
        <v>0</v>
      </c>
      <c r="K431" s="499">
        <v>34529.81</v>
      </c>
      <c r="L431" s="499">
        <f t="shared" si="16"/>
        <v>147454.12</v>
      </c>
      <c r="M431" s="457"/>
      <c r="N431" s="500"/>
    </row>
    <row r="432" spans="1:12" ht="12.75" outlineLevel="1">
      <c r="A432" s="395" t="s">
        <v>1874</v>
      </c>
      <c r="C432" s="455"/>
      <c r="D432" s="433" t="s">
        <v>1875</v>
      </c>
      <c r="E432" s="456" t="str">
        <f t="shared" si="15"/>
        <v>MATH &amp; STAT CONTING</v>
      </c>
      <c r="F432" s="441">
        <v>16064.61</v>
      </c>
      <c r="G432" s="450">
        <v>0</v>
      </c>
      <c r="H432" s="450">
        <v>-479.02</v>
      </c>
      <c r="I432" s="450">
        <v>2421.34</v>
      </c>
      <c r="J432" s="450">
        <v>0</v>
      </c>
      <c r="K432" s="450">
        <v>0</v>
      </c>
      <c r="L432" s="450">
        <f t="shared" si="16"/>
        <v>18006.93</v>
      </c>
    </row>
    <row r="433" spans="1:12" ht="12.75" outlineLevel="1">
      <c r="A433" s="395" t="s">
        <v>1876</v>
      </c>
      <c r="C433" s="455"/>
      <c r="D433" s="433" t="s">
        <v>1877</v>
      </c>
      <c r="E433" s="456" t="str">
        <f t="shared" si="15"/>
        <v>NEWNAM ENDOWMENT</v>
      </c>
      <c r="F433" s="441">
        <v>28305.88</v>
      </c>
      <c r="G433" s="450">
        <v>0</v>
      </c>
      <c r="H433" s="450">
        <v>-832.88</v>
      </c>
      <c r="I433" s="450">
        <v>4314.89</v>
      </c>
      <c r="J433" s="450">
        <v>0</v>
      </c>
      <c r="K433" s="450">
        <v>0</v>
      </c>
      <c r="L433" s="450">
        <f t="shared" si="16"/>
        <v>31787.89</v>
      </c>
    </row>
    <row r="434" spans="1:12" ht="12.75" outlineLevel="1">
      <c r="A434" s="395" t="s">
        <v>1878</v>
      </c>
      <c r="C434" s="455"/>
      <c r="D434" s="433" t="s">
        <v>1879</v>
      </c>
      <c r="E434" s="456" t="str">
        <f t="shared" si="15"/>
        <v>L &amp; B SARCHET ENDOW</v>
      </c>
      <c r="F434" s="441">
        <v>32228.16</v>
      </c>
      <c r="G434" s="450">
        <v>0</v>
      </c>
      <c r="H434" s="450">
        <v>-960.97</v>
      </c>
      <c r="I434" s="450">
        <v>4857.63</v>
      </c>
      <c r="J434" s="450">
        <v>0</v>
      </c>
      <c r="K434" s="450">
        <v>0</v>
      </c>
      <c r="L434" s="450">
        <f t="shared" si="16"/>
        <v>36124.82</v>
      </c>
    </row>
    <row r="435" spans="1:12" ht="12.75" outlineLevel="1">
      <c r="A435" s="395" t="s">
        <v>1880</v>
      </c>
      <c r="C435" s="455"/>
      <c r="D435" s="433" t="s">
        <v>1881</v>
      </c>
      <c r="E435" s="456" t="str">
        <f t="shared" si="15"/>
        <v>MINES &amp; METAL EQUIP</v>
      </c>
      <c r="F435" s="441">
        <v>876963.17</v>
      </c>
      <c r="G435" s="450">
        <v>0</v>
      </c>
      <c r="H435" s="450">
        <v>-26149.08</v>
      </c>
      <c r="I435" s="450">
        <v>132181.66</v>
      </c>
      <c r="J435" s="450">
        <v>0</v>
      </c>
      <c r="K435" s="450">
        <v>0</v>
      </c>
      <c r="L435" s="450">
        <f t="shared" si="16"/>
        <v>982995.7500000001</v>
      </c>
    </row>
    <row r="436" spans="1:12" ht="12.75" outlineLevel="1">
      <c r="A436" s="395" t="s">
        <v>1882</v>
      </c>
      <c r="C436" s="455"/>
      <c r="D436" s="433" t="s">
        <v>1883</v>
      </c>
      <c r="E436" s="456" t="str">
        <f t="shared" si="15"/>
        <v>UMR ACADEMY CE EQUIP</v>
      </c>
      <c r="F436" s="441">
        <v>56725.6</v>
      </c>
      <c r="G436" s="450">
        <v>0</v>
      </c>
      <c r="H436" s="450">
        <v>815.68</v>
      </c>
      <c r="I436" s="450">
        <v>-3004.72</v>
      </c>
      <c r="J436" s="450">
        <v>0</v>
      </c>
      <c r="K436" s="450">
        <v>0</v>
      </c>
      <c r="L436" s="450">
        <f t="shared" si="16"/>
        <v>54536.56</v>
      </c>
    </row>
    <row r="437" spans="1:12" ht="12.75" outlineLevel="1">
      <c r="A437" s="395" t="s">
        <v>1884</v>
      </c>
      <c r="C437" s="455"/>
      <c r="D437" s="433" t="s">
        <v>1885</v>
      </c>
      <c r="E437" s="456" t="str">
        <f t="shared" si="15"/>
        <v>UMR CHEM ENGR FAC</v>
      </c>
      <c r="F437" s="441">
        <v>56928.76</v>
      </c>
      <c r="G437" s="450">
        <v>0</v>
      </c>
      <c r="H437" s="450">
        <v>-1711.24</v>
      </c>
      <c r="I437" s="450">
        <v>8587.11</v>
      </c>
      <c r="J437" s="450">
        <v>0</v>
      </c>
      <c r="K437" s="450">
        <v>0</v>
      </c>
      <c r="L437" s="450">
        <f t="shared" si="16"/>
        <v>63804.630000000005</v>
      </c>
    </row>
    <row r="438" spans="1:12" ht="12.75" outlineLevel="1">
      <c r="A438" s="395" t="s">
        <v>1886</v>
      </c>
      <c r="C438" s="455"/>
      <c r="D438" s="433" t="s">
        <v>1887</v>
      </c>
      <c r="E438" s="456" t="str">
        <f t="shared" si="15"/>
        <v>UMR CHEM ENGR EQUIP</v>
      </c>
      <c r="F438" s="441">
        <v>294635.37</v>
      </c>
      <c r="G438" s="450">
        <v>1600</v>
      </c>
      <c r="H438" s="450">
        <v>-8686.16</v>
      </c>
      <c r="I438" s="450">
        <v>44514.45</v>
      </c>
      <c r="J438" s="450">
        <v>0</v>
      </c>
      <c r="K438" s="450">
        <v>0</v>
      </c>
      <c r="L438" s="450">
        <f t="shared" si="16"/>
        <v>332063.66000000003</v>
      </c>
    </row>
    <row r="439" spans="1:12" ht="12.75" outlineLevel="1">
      <c r="A439" s="395" t="s">
        <v>1888</v>
      </c>
      <c r="C439" s="455"/>
      <c r="D439" s="433" t="s">
        <v>1889</v>
      </c>
      <c r="E439" s="456" t="str">
        <f t="shared" si="15"/>
        <v>UMR CIVIL ENG EQUIP</v>
      </c>
      <c r="F439" s="441">
        <v>195239.46</v>
      </c>
      <c r="G439" s="450">
        <v>0</v>
      </c>
      <c r="H439" s="450">
        <v>-5821.6</v>
      </c>
      <c r="I439" s="450">
        <v>29427.78</v>
      </c>
      <c r="J439" s="450">
        <v>0</v>
      </c>
      <c r="K439" s="450">
        <v>0</v>
      </c>
      <c r="L439" s="450">
        <f t="shared" si="16"/>
        <v>218845.63999999998</v>
      </c>
    </row>
    <row r="440" spans="1:12" ht="12.75" outlineLevel="1">
      <c r="A440" s="395" t="s">
        <v>1890</v>
      </c>
      <c r="C440" s="455"/>
      <c r="D440" s="433" t="s">
        <v>1891</v>
      </c>
      <c r="E440" s="456" t="str">
        <f t="shared" si="15"/>
        <v>UMR ECE EQUIP FUND</v>
      </c>
      <c r="F440" s="441">
        <v>171640.61</v>
      </c>
      <c r="G440" s="450">
        <v>0</v>
      </c>
      <c r="H440" s="450">
        <v>-5117.92</v>
      </c>
      <c r="I440" s="450">
        <v>25870.8</v>
      </c>
      <c r="J440" s="450">
        <v>0</v>
      </c>
      <c r="K440" s="450">
        <v>0</v>
      </c>
      <c r="L440" s="450">
        <f t="shared" si="16"/>
        <v>192393.48999999996</v>
      </c>
    </row>
    <row r="441" spans="1:12" ht="12.75" outlineLevel="1">
      <c r="A441" s="395" t="s">
        <v>1892</v>
      </c>
      <c r="C441" s="455"/>
      <c r="D441" s="433" t="s">
        <v>1893</v>
      </c>
      <c r="E441" s="456" t="str">
        <f t="shared" si="15"/>
        <v>UMR ENDOW PER ARTS</v>
      </c>
      <c r="F441" s="441">
        <v>711440.21</v>
      </c>
      <c r="G441" s="450">
        <v>240</v>
      </c>
      <c r="H441" s="450">
        <v>-19525.89</v>
      </c>
      <c r="I441" s="450">
        <v>107326.62</v>
      </c>
      <c r="J441" s="450">
        <v>0</v>
      </c>
      <c r="K441" s="450">
        <v>0</v>
      </c>
      <c r="L441" s="450">
        <f t="shared" si="16"/>
        <v>799480.94</v>
      </c>
    </row>
    <row r="442" spans="1:12" ht="12.75" outlineLevel="1">
      <c r="A442" s="395" t="s">
        <v>1894</v>
      </c>
      <c r="C442" s="455"/>
      <c r="D442" s="433" t="s">
        <v>1895</v>
      </c>
      <c r="E442" s="456" t="str">
        <f t="shared" si="15"/>
        <v>UMR MEM SCHP FD</v>
      </c>
      <c r="F442" s="441">
        <v>61195.38</v>
      </c>
      <c r="G442" s="450">
        <v>0</v>
      </c>
      <c r="H442" s="450">
        <v>-1824.72</v>
      </c>
      <c r="I442" s="450">
        <v>9223.77</v>
      </c>
      <c r="J442" s="450">
        <v>0</v>
      </c>
      <c r="K442" s="450">
        <v>0</v>
      </c>
      <c r="L442" s="450">
        <f t="shared" si="16"/>
        <v>68594.43</v>
      </c>
    </row>
    <row r="443" spans="1:12" ht="12.75" outlineLevel="1">
      <c r="A443" s="395" t="s">
        <v>1896</v>
      </c>
      <c r="C443" s="455"/>
      <c r="D443" s="433" t="s">
        <v>1897</v>
      </c>
      <c r="E443" s="456" t="str">
        <f t="shared" si="15"/>
        <v>SINEATH PACKAGING EN</v>
      </c>
      <c r="F443" s="441">
        <v>118009.07</v>
      </c>
      <c r="G443" s="450">
        <v>0</v>
      </c>
      <c r="H443" s="450">
        <v>1693.53</v>
      </c>
      <c r="I443" s="450">
        <v>-6659.09</v>
      </c>
      <c r="J443" s="450">
        <v>0</v>
      </c>
      <c r="K443" s="450">
        <v>0</v>
      </c>
      <c r="L443" s="450">
        <f t="shared" si="16"/>
        <v>113043.51000000001</v>
      </c>
    </row>
    <row r="444" spans="1:12" ht="12.75" outlineLevel="1">
      <c r="A444" s="395" t="s">
        <v>0</v>
      </c>
      <c r="C444" s="455"/>
      <c r="D444" s="433" t="s">
        <v>1</v>
      </c>
      <c r="E444" s="456" t="str">
        <f t="shared" si="15"/>
        <v>MAEEM BLDG RENOVATION QUAIS</v>
      </c>
      <c r="F444" s="441">
        <v>396630.3</v>
      </c>
      <c r="G444" s="450">
        <v>5000</v>
      </c>
      <c r="H444" s="450">
        <v>3914.68</v>
      </c>
      <c r="I444" s="450">
        <v>81608.87</v>
      </c>
      <c r="J444" s="450">
        <v>0</v>
      </c>
      <c r="K444" s="450">
        <v>-487153.85</v>
      </c>
      <c r="L444" s="450">
        <f t="shared" si="16"/>
        <v>0</v>
      </c>
    </row>
    <row r="445" spans="1:12" ht="12.75" outlineLevel="1">
      <c r="A445" s="395" t="s">
        <v>1898</v>
      </c>
      <c r="C445" s="455"/>
      <c r="D445" s="433" t="s">
        <v>1899</v>
      </c>
      <c r="E445" s="456" t="str">
        <f t="shared" si="15"/>
        <v>GRAINGER AWARDS</v>
      </c>
      <c r="F445" s="441">
        <v>6254.86</v>
      </c>
      <c r="G445" s="450">
        <v>0</v>
      </c>
      <c r="H445" s="450">
        <v>63.07</v>
      </c>
      <c r="I445" s="450">
        <v>-2866.56</v>
      </c>
      <c r="J445" s="450">
        <v>0</v>
      </c>
      <c r="K445" s="450">
        <v>0</v>
      </c>
      <c r="L445" s="450">
        <f t="shared" si="16"/>
        <v>3451.3699999999994</v>
      </c>
    </row>
    <row r="446" spans="1:12" ht="12.75" outlineLevel="1">
      <c r="A446" s="395" t="s">
        <v>1900</v>
      </c>
      <c r="C446" s="455"/>
      <c r="D446" s="433" t="s">
        <v>1901</v>
      </c>
      <c r="E446" s="456" t="str">
        <f t="shared" si="15"/>
        <v>ISDC DEVELOPMENT</v>
      </c>
      <c r="F446" s="441">
        <v>183.14</v>
      </c>
      <c r="G446" s="450">
        <v>0</v>
      </c>
      <c r="H446" s="450">
        <v>0</v>
      </c>
      <c r="I446" s="450">
        <v>0</v>
      </c>
      <c r="J446" s="450">
        <v>0</v>
      </c>
      <c r="K446" s="450">
        <v>0</v>
      </c>
      <c r="L446" s="450">
        <f t="shared" si="16"/>
        <v>183.14</v>
      </c>
    </row>
    <row r="447" spans="1:12" ht="12.75" customHeight="1">
      <c r="A447" s="395" t="s">
        <v>1902</v>
      </c>
      <c r="D447" s="444" t="s">
        <v>153</v>
      </c>
      <c r="E447" s="501" t="str">
        <f t="shared" si="15"/>
        <v>TOTAL INCOME RESTRICTED</v>
      </c>
      <c r="F447" s="446">
        <v>13218590.520000001</v>
      </c>
      <c r="G447" s="447">
        <v>49336.68</v>
      </c>
      <c r="H447" s="447">
        <v>-355840.01</v>
      </c>
      <c r="I447" s="447">
        <v>1957141.61</v>
      </c>
      <c r="J447" s="447">
        <v>4922.05</v>
      </c>
      <c r="K447" s="447">
        <v>-545635.56</v>
      </c>
      <c r="L447" s="447">
        <f t="shared" si="16"/>
        <v>14318671.19</v>
      </c>
    </row>
    <row r="448" spans="6:12" ht="12.75" customHeight="1">
      <c r="F448" s="449"/>
      <c r="G448" s="450"/>
      <c r="H448" s="450"/>
      <c r="I448" s="450"/>
      <c r="J448" s="450"/>
      <c r="K448" s="450"/>
      <c r="L448" s="450"/>
    </row>
    <row r="449" spans="3:12" ht="12.75" customHeight="1">
      <c r="C449" s="432" t="s">
        <v>1903</v>
      </c>
      <c r="F449" s="449"/>
      <c r="G449" s="450"/>
      <c r="H449" s="450"/>
      <c r="I449" s="450"/>
      <c r="J449" s="450"/>
      <c r="K449" s="450"/>
      <c r="L449" s="450"/>
    </row>
    <row r="450" spans="1:12" ht="12.75" customHeight="1">
      <c r="A450" s="395" t="s">
        <v>1904</v>
      </c>
      <c r="D450" s="444" t="s">
        <v>1905</v>
      </c>
      <c r="E450" s="501" t="str">
        <f>UPPER(D450)</f>
        <v>TOTAL INCOME UNRESTRICTED</v>
      </c>
      <c r="F450" s="446">
        <v>0</v>
      </c>
      <c r="G450" s="447">
        <v>0</v>
      </c>
      <c r="H450" s="447">
        <v>0</v>
      </c>
      <c r="I450" s="447">
        <v>0</v>
      </c>
      <c r="J450" s="447">
        <v>0</v>
      </c>
      <c r="K450" s="447">
        <v>0</v>
      </c>
      <c r="L450" s="508">
        <f>F450+G450+H450+I450-J450+K450</f>
        <v>0</v>
      </c>
    </row>
    <row r="451" spans="6:12" ht="12.75" customHeight="1">
      <c r="F451" s="446"/>
      <c r="G451" s="447"/>
      <c r="H451" s="447"/>
      <c r="I451" s="447"/>
      <c r="J451" s="447"/>
      <c r="K451" s="447"/>
      <c r="L451" s="508"/>
    </row>
    <row r="452" spans="5:12" ht="12.75" customHeight="1">
      <c r="E452" s="488" t="s">
        <v>1906</v>
      </c>
      <c r="F452" s="446">
        <f aca="true" t="shared" si="17" ref="F452:L452">F447+F450</f>
        <v>13218590.520000001</v>
      </c>
      <c r="G452" s="447">
        <f t="shared" si="17"/>
        <v>49336.68</v>
      </c>
      <c r="H452" s="447">
        <f t="shared" si="17"/>
        <v>-355840.01</v>
      </c>
      <c r="I452" s="447">
        <f t="shared" si="17"/>
        <v>1957141.61</v>
      </c>
      <c r="J452" s="447">
        <f t="shared" si="17"/>
        <v>4922.05</v>
      </c>
      <c r="K452" s="447">
        <f t="shared" si="17"/>
        <v>-545635.56</v>
      </c>
      <c r="L452" s="447">
        <f t="shared" si="17"/>
        <v>14318671.19</v>
      </c>
    </row>
    <row r="453" spans="6:12" ht="12.75" customHeight="1">
      <c r="F453" s="449"/>
      <c r="G453" s="450"/>
      <c r="H453" s="450"/>
      <c r="I453" s="450"/>
      <c r="J453" s="450"/>
      <c r="K453" s="450"/>
      <c r="L453" s="450"/>
    </row>
    <row r="454" spans="2:12" ht="12.75" customHeight="1">
      <c r="B454" s="431" t="s">
        <v>1907</v>
      </c>
      <c r="F454" s="449"/>
      <c r="G454" s="450"/>
      <c r="H454" s="450"/>
      <c r="I454" s="450"/>
      <c r="J454" s="450"/>
      <c r="K454" s="450"/>
      <c r="L454" s="450"/>
    </row>
    <row r="455" spans="3:12" ht="12.75" customHeight="1">
      <c r="C455" s="432" t="s">
        <v>1908</v>
      </c>
      <c r="F455" s="449"/>
      <c r="G455" s="450"/>
      <c r="H455" s="450"/>
      <c r="I455" s="450"/>
      <c r="J455" s="450"/>
      <c r="K455" s="450"/>
      <c r="L455" s="450"/>
    </row>
    <row r="456" spans="1:12" ht="12.75" outlineLevel="1">
      <c r="A456" s="395" t="s">
        <v>1909</v>
      </c>
      <c r="C456" s="455"/>
      <c r="D456" s="433" t="s">
        <v>1910</v>
      </c>
      <c r="E456" s="456" t="str">
        <f aca="true" t="shared" si="18" ref="E456:E462">UPPER(D456)</f>
        <v>ANDERSON CHAR REM TR</v>
      </c>
      <c r="F456" s="441">
        <v>65031.18</v>
      </c>
      <c r="G456" s="450">
        <v>0</v>
      </c>
      <c r="H456" s="450">
        <v>930.26</v>
      </c>
      <c r="I456" s="450">
        <v>12544.31</v>
      </c>
      <c r="J456" s="450">
        <v>4064.4</v>
      </c>
      <c r="K456" s="450">
        <v>0</v>
      </c>
      <c r="L456" s="450">
        <f aca="true" t="shared" si="19" ref="L456:L462">F456+G456+H456+I456-J456+K456</f>
        <v>74441.35</v>
      </c>
    </row>
    <row r="457" spans="1:12" ht="12.75" outlineLevel="1">
      <c r="A457" s="395" t="s">
        <v>1911</v>
      </c>
      <c r="C457" s="455"/>
      <c r="D457" s="433" t="s">
        <v>1912</v>
      </c>
      <c r="E457" s="456" t="str">
        <f t="shared" si="18"/>
        <v>K W ANDREWS C R T</v>
      </c>
      <c r="F457" s="441">
        <v>56526.08</v>
      </c>
      <c r="G457" s="450">
        <v>0</v>
      </c>
      <c r="H457" s="450">
        <v>626.6</v>
      </c>
      <c r="I457" s="450">
        <v>-2328.8</v>
      </c>
      <c r="J457" s="450">
        <v>2562.72</v>
      </c>
      <c r="K457" s="450">
        <v>0</v>
      </c>
      <c r="L457" s="450">
        <f t="shared" si="19"/>
        <v>52261.159999999996</v>
      </c>
    </row>
    <row r="458" spans="1:12" ht="12.75" outlineLevel="1">
      <c r="A458" s="395" t="s">
        <v>1913</v>
      </c>
      <c r="C458" s="455"/>
      <c r="D458" s="433" t="s">
        <v>1914</v>
      </c>
      <c r="E458" s="456" t="str">
        <f t="shared" si="18"/>
        <v>DESJARDINS ANN TRUST</v>
      </c>
      <c r="F458" s="441">
        <v>128529.75</v>
      </c>
      <c r="G458" s="450">
        <v>0</v>
      </c>
      <c r="H458" s="450">
        <v>3874.66</v>
      </c>
      <c r="I458" s="450">
        <v>-3805.05</v>
      </c>
      <c r="J458" s="450">
        <v>10631.68</v>
      </c>
      <c r="K458" s="450">
        <v>0</v>
      </c>
      <c r="L458" s="450">
        <f t="shared" si="19"/>
        <v>117967.68</v>
      </c>
    </row>
    <row r="459" spans="1:12" ht="12.75" outlineLevel="1">
      <c r="A459" s="395" t="s">
        <v>1915</v>
      </c>
      <c r="C459" s="455"/>
      <c r="D459" s="433" t="s">
        <v>1916</v>
      </c>
      <c r="E459" s="456" t="str">
        <f t="shared" si="18"/>
        <v>THOMAS STEWART UNITR</v>
      </c>
      <c r="F459" s="441">
        <v>435736.18</v>
      </c>
      <c r="G459" s="450">
        <v>0</v>
      </c>
      <c r="H459" s="450">
        <v>8754.45</v>
      </c>
      <c r="I459" s="450">
        <v>65505.03</v>
      </c>
      <c r="J459" s="450">
        <v>31247.53</v>
      </c>
      <c r="K459" s="450">
        <v>0</v>
      </c>
      <c r="L459" s="450">
        <f t="shared" si="19"/>
        <v>478748.13</v>
      </c>
    </row>
    <row r="460" spans="1:12" ht="12.75" outlineLevel="1">
      <c r="A460" s="395" t="s">
        <v>1917</v>
      </c>
      <c r="C460" s="455"/>
      <c r="D460" s="433" t="s">
        <v>1918</v>
      </c>
      <c r="E460" s="456" t="str">
        <f t="shared" si="18"/>
        <v>T JAMES STEWART, JR</v>
      </c>
      <c r="F460" s="441">
        <v>485467.93</v>
      </c>
      <c r="G460" s="450">
        <v>0</v>
      </c>
      <c r="H460" s="450">
        <v>6998.04</v>
      </c>
      <c r="I460" s="450">
        <v>102149.57</v>
      </c>
      <c r="J460" s="450">
        <v>38443.22</v>
      </c>
      <c r="K460" s="450">
        <v>0</v>
      </c>
      <c r="L460" s="450">
        <f t="shared" si="19"/>
        <v>556172.3200000001</v>
      </c>
    </row>
    <row r="461" spans="1:12" ht="12.75" outlineLevel="1">
      <c r="A461" s="395" t="s">
        <v>1919</v>
      </c>
      <c r="C461" s="455"/>
      <c r="D461" s="433" t="s">
        <v>1920</v>
      </c>
      <c r="E461" s="456" t="str">
        <f t="shared" si="18"/>
        <v>HORST CHARITABLE REMAINDER</v>
      </c>
      <c r="F461" s="441">
        <v>93990.55</v>
      </c>
      <c r="G461" s="450">
        <v>102359.5</v>
      </c>
      <c r="H461" s="450">
        <v>2225.15</v>
      </c>
      <c r="I461" s="450">
        <v>-1547.31</v>
      </c>
      <c r="J461" s="450">
        <v>10043.11</v>
      </c>
      <c r="K461" s="450">
        <v>0</v>
      </c>
      <c r="L461" s="450">
        <f t="shared" si="19"/>
        <v>186984.77999999997</v>
      </c>
    </row>
    <row r="462" spans="1:12" ht="12.75" customHeight="1">
      <c r="A462" s="395" t="s">
        <v>1921</v>
      </c>
      <c r="D462" s="488" t="s">
        <v>1922</v>
      </c>
      <c r="E462" s="501" t="str">
        <f t="shared" si="18"/>
        <v>TOTAL UNITRUST FUNDS</v>
      </c>
      <c r="F462" s="446">
        <v>1265281.67</v>
      </c>
      <c r="G462" s="447">
        <v>102359.5</v>
      </c>
      <c r="H462" s="447">
        <v>23409.16</v>
      </c>
      <c r="I462" s="447">
        <v>172517.75</v>
      </c>
      <c r="J462" s="447">
        <v>96992.66</v>
      </c>
      <c r="K462" s="447">
        <v>0</v>
      </c>
      <c r="L462" s="447">
        <f t="shared" si="19"/>
        <v>1466575.42</v>
      </c>
    </row>
    <row r="463" spans="6:12" ht="12.75" customHeight="1">
      <c r="F463" s="509"/>
      <c r="G463" s="450"/>
      <c r="H463" s="450"/>
      <c r="I463" s="450"/>
      <c r="J463" s="450"/>
      <c r="K463" s="450"/>
      <c r="L463" s="450"/>
    </row>
    <row r="464" spans="1:12" ht="12.75" customHeight="1">
      <c r="A464" s="395" t="s">
        <v>2106</v>
      </c>
      <c r="C464" s="432" t="s">
        <v>1923</v>
      </c>
      <c r="F464" s="509"/>
      <c r="G464" s="450"/>
      <c r="H464" s="450"/>
      <c r="I464" s="450"/>
      <c r="J464" s="450"/>
      <c r="K464" s="450"/>
      <c r="L464" s="450"/>
    </row>
    <row r="465" spans="1:13" ht="12.75" outlineLevel="1">
      <c r="A465" s="395" t="s">
        <v>1924</v>
      </c>
      <c r="C465" s="455"/>
      <c r="D465" s="433" t="s">
        <v>1925</v>
      </c>
      <c r="E465" s="421" t="str">
        <f aca="true" t="shared" si="20" ref="E465:E472">UPPER(D465)</f>
        <v>CRUM POOLED INCOME</v>
      </c>
      <c r="F465" s="449">
        <v>33867.52</v>
      </c>
      <c r="G465" s="450">
        <v>0</v>
      </c>
      <c r="H465" s="450">
        <v>1544.76</v>
      </c>
      <c r="I465" s="450">
        <v>-3358.39</v>
      </c>
      <c r="J465" s="450">
        <v>1504.54</v>
      </c>
      <c r="K465" s="450">
        <v>0</v>
      </c>
      <c r="L465" s="450">
        <f aca="true" t="shared" si="21" ref="L465:L472">F465+G465+H465+I465-J465+K465</f>
        <v>30549.35</v>
      </c>
      <c r="M465" s="455"/>
    </row>
    <row r="466" spans="1:14" s="495" customFormat="1" ht="12.75" outlineLevel="1">
      <c r="A466" s="495" t="s">
        <v>1926</v>
      </c>
      <c r="B466" s="496"/>
      <c r="C466" s="455"/>
      <c r="D466" s="455" t="s">
        <v>1927</v>
      </c>
      <c r="E466" s="497" t="str">
        <f t="shared" si="20"/>
        <v>G HARR LIFE INCOME</v>
      </c>
      <c r="F466" s="498">
        <v>1.85</v>
      </c>
      <c r="G466" s="499">
        <v>0</v>
      </c>
      <c r="H466" s="499">
        <v>0</v>
      </c>
      <c r="I466" s="499">
        <v>0</v>
      </c>
      <c r="J466" s="499">
        <v>0</v>
      </c>
      <c r="K466" s="499">
        <v>0</v>
      </c>
      <c r="L466" s="499">
        <f t="shared" si="21"/>
        <v>1.85</v>
      </c>
      <c r="M466" s="457"/>
      <c r="N466" s="500"/>
    </row>
    <row r="467" spans="1:12" ht="12.75" outlineLevel="1">
      <c r="A467" s="395" t="s">
        <v>1928</v>
      </c>
      <c r="C467" s="455"/>
      <c r="D467" s="433" t="s">
        <v>1929</v>
      </c>
      <c r="E467" s="456" t="str">
        <f t="shared" si="20"/>
        <v>KAMPER POOLED INCOME</v>
      </c>
      <c r="F467" s="441">
        <v>22047.79</v>
      </c>
      <c r="G467" s="450">
        <v>0</v>
      </c>
      <c r="H467" s="450">
        <v>1022.32</v>
      </c>
      <c r="I467" s="450">
        <v>-1856.77</v>
      </c>
      <c r="J467" s="450">
        <v>995.71</v>
      </c>
      <c r="K467" s="450">
        <v>0</v>
      </c>
      <c r="L467" s="450">
        <f t="shared" si="21"/>
        <v>20217.63</v>
      </c>
    </row>
    <row r="468" spans="1:12" ht="12.75" outlineLevel="1">
      <c r="A468" s="395" t="s">
        <v>1930</v>
      </c>
      <c r="C468" s="455"/>
      <c r="D468" s="433" t="s">
        <v>1931</v>
      </c>
      <c r="E468" s="456" t="str">
        <f t="shared" si="20"/>
        <v>KOEPPEL POOLED INC</v>
      </c>
      <c r="F468" s="441">
        <v>110557.87</v>
      </c>
      <c r="G468" s="450">
        <v>0</v>
      </c>
      <c r="H468" s="450">
        <v>4958.66</v>
      </c>
      <c r="I468" s="450">
        <v>-12623.14</v>
      </c>
      <c r="J468" s="450">
        <v>4829.59</v>
      </c>
      <c r="K468" s="450">
        <v>0</v>
      </c>
      <c r="L468" s="450">
        <f t="shared" si="21"/>
        <v>98063.8</v>
      </c>
    </row>
    <row r="469" spans="1:12" ht="12.75" outlineLevel="1">
      <c r="A469" s="395" t="s">
        <v>1932</v>
      </c>
      <c r="C469" s="455"/>
      <c r="D469" s="433" t="s">
        <v>1933</v>
      </c>
      <c r="E469" s="456" t="str">
        <f t="shared" si="20"/>
        <v>MARKLEY POOLED INC</v>
      </c>
      <c r="F469" s="441">
        <v>42627.9</v>
      </c>
      <c r="G469" s="450">
        <v>0</v>
      </c>
      <c r="H469" s="450">
        <v>1975.28</v>
      </c>
      <c r="I469" s="450">
        <v>-3615.42</v>
      </c>
      <c r="J469" s="450">
        <v>1923.87</v>
      </c>
      <c r="K469" s="450">
        <v>0</v>
      </c>
      <c r="L469" s="450">
        <f t="shared" si="21"/>
        <v>39063.89</v>
      </c>
    </row>
    <row r="470" spans="1:12" ht="12.75" outlineLevel="1">
      <c r="A470" s="395" t="s">
        <v>1934</v>
      </c>
      <c r="C470" s="455"/>
      <c r="D470" s="433" t="s">
        <v>1935</v>
      </c>
      <c r="E470" s="456" t="str">
        <f t="shared" si="20"/>
        <v>PFEIFER POOLED INC</v>
      </c>
      <c r="F470" s="441">
        <v>30833.37</v>
      </c>
      <c r="G470" s="450">
        <v>0</v>
      </c>
      <c r="H470" s="450">
        <v>1458.71</v>
      </c>
      <c r="I470" s="450">
        <v>-2022.64</v>
      </c>
      <c r="J470" s="450">
        <v>1420.63</v>
      </c>
      <c r="K470" s="450">
        <v>0</v>
      </c>
      <c r="L470" s="450">
        <f t="shared" si="21"/>
        <v>28848.809999999998</v>
      </c>
    </row>
    <row r="471" spans="1:12" ht="12.75" outlineLevel="1">
      <c r="A471" s="395" t="s">
        <v>1936</v>
      </c>
      <c r="C471" s="455"/>
      <c r="D471" s="433" t="s">
        <v>1937</v>
      </c>
      <c r="E471" s="456" t="str">
        <f t="shared" si="20"/>
        <v>NEUSTAEDTER P I F</v>
      </c>
      <c r="F471" s="441">
        <v>120379.71</v>
      </c>
      <c r="G471" s="450">
        <v>0</v>
      </c>
      <c r="H471" s="450">
        <v>5732.89</v>
      </c>
      <c r="I471" s="450">
        <v>-7153.22</v>
      </c>
      <c r="J471" s="450">
        <v>5583.67</v>
      </c>
      <c r="K471" s="450">
        <v>0</v>
      </c>
      <c r="L471" s="450">
        <f t="shared" si="21"/>
        <v>113375.71</v>
      </c>
    </row>
    <row r="472" spans="1:12" ht="12.75" customHeight="1">
      <c r="A472" s="395" t="s">
        <v>1938</v>
      </c>
      <c r="D472" s="488" t="s">
        <v>1939</v>
      </c>
      <c r="E472" s="501" t="str">
        <f t="shared" si="20"/>
        <v>TOTAL LIFE INCOME FUNDS</v>
      </c>
      <c r="F472" s="446">
        <v>360316.01</v>
      </c>
      <c r="G472" s="447">
        <v>0</v>
      </c>
      <c r="H472" s="447">
        <v>16692.66</v>
      </c>
      <c r="I472" s="447">
        <v>-30629.58</v>
      </c>
      <c r="J472" s="447">
        <v>16258.01</v>
      </c>
      <c r="K472" s="447">
        <v>0</v>
      </c>
      <c r="L472" s="447">
        <f t="shared" si="21"/>
        <v>330121.07999999996</v>
      </c>
    </row>
    <row r="473" spans="6:12" ht="12.75" customHeight="1">
      <c r="F473" s="446"/>
      <c r="G473" s="447"/>
      <c r="H473" s="447"/>
      <c r="I473" s="447"/>
      <c r="J473" s="447"/>
      <c r="K473" s="447"/>
      <c r="L473" s="447"/>
    </row>
    <row r="474" spans="3:12" ht="12.75" customHeight="1">
      <c r="C474" s="432" t="s">
        <v>1940</v>
      </c>
      <c r="F474" s="446"/>
      <c r="G474" s="447"/>
      <c r="H474" s="447"/>
      <c r="I474" s="447"/>
      <c r="J474" s="447"/>
      <c r="K474" s="447"/>
      <c r="L474" s="447"/>
    </row>
    <row r="475" spans="1:12" ht="12.75" customHeight="1">
      <c r="A475" s="395" t="s">
        <v>1941</v>
      </c>
      <c r="D475" s="433" t="s">
        <v>2285</v>
      </c>
      <c r="E475" s="501" t="s">
        <v>1942</v>
      </c>
      <c r="F475" s="446">
        <v>0</v>
      </c>
      <c r="G475" s="447">
        <v>0</v>
      </c>
      <c r="H475" s="447">
        <v>0</v>
      </c>
      <c r="I475" s="447">
        <v>0</v>
      </c>
      <c r="J475" s="447">
        <v>0</v>
      </c>
      <c r="K475" s="447">
        <v>0</v>
      </c>
      <c r="L475" s="447">
        <f>F475+G475+H475+I475-J475+K475</f>
        <v>0</v>
      </c>
    </row>
    <row r="476" spans="6:13" ht="12.75" customHeight="1">
      <c r="F476" s="446"/>
      <c r="G476" s="447"/>
      <c r="H476" s="447"/>
      <c r="I476" s="447"/>
      <c r="J476" s="447"/>
      <c r="K476" s="447"/>
      <c r="L476" s="447"/>
      <c r="M476" s="455"/>
    </row>
    <row r="477" spans="2:14" s="495" customFormat="1" ht="12.75" customHeight="1">
      <c r="B477" s="496"/>
      <c r="C477" s="455"/>
      <c r="D477" s="455"/>
      <c r="E477" s="510" t="s">
        <v>1943</v>
      </c>
      <c r="F477" s="502">
        <f aca="true" t="shared" si="22" ref="F477:L477">F462+F472+F475</f>
        <v>1625597.68</v>
      </c>
      <c r="G477" s="502">
        <f t="shared" si="22"/>
        <v>102359.5</v>
      </c>
      <c r="H477" s="502">
        <f t="shared" si="22"/>
        <v>40101.82</v>
      </c>
      <c r="I477" s="502">
        <f t="shared" si="22"/>
        <v>141888.16999999998</v>
      </c>
      <c r="J477" s="502">
        <f t="shared" si="22"/>
        <v>113250.67</v>
      </c>
      <c r="K477" s="502">
        <f t="shared" si="22"/>
        <v>0</v>
      </c>
      <c r="L477" s="502">
        <f t="shared" si="22"/>
        <v>1796696.5</v>
      </c>
      <c r="M477" s="457"/>
      <c r="N477" s="500"/>
    </row>
    <row r="478" ht="12.75" customHeight="1"/>
    <row r="479" spans="5:12" ht="12.75" customHeight="1">
      <c r="E479" s="511" t="s">
        <v>1944</v>
      </c>
      <c r="F479" s="452">
        <f aca="true" t="shared" si="23" ref="F479:L479">F384+F452+F477</f>
        <v>61867900.37000002</v>
      </c>
      <c r="G479" s="453">
        <f t="shared" si="23"/>
        <v>871355.88</v>
      </c>
      <c r="H479" s="453">
        <f t="shared" si="23"/>
        <v>-1462288.8499999999</v>
      </c>
      <c r="I479" s="453">
        <f t="shared" si="23"/>
        <v>8688568.660000008</v>
      </c>
      <c r="J479" s="453">
        <f t="shared" si="23"/>
        <v>119615.78</v>
      </c>
      <c r="K479" s="453">
        <f t="shared" si="23"/>
        <v>-642724.5900000001</v>
      </c>
      <c r="L479" s="453">
        <f t="shared" si="23"/>
        <v>69203195.69000003</v>
      </c>
    </row>
  </sheetData>
  <printOptions horizontalCentered="1"/>
  <pageMargins left="0.5" right="0.5" top="0.75" bottom="0.5" header="0.25" footer="0.25"/>
  <pageSetup horizontalDpi="600" verticalDpi="600" orientation="landscape" scale="73" r:id="rId1"/>
  <rowBreaks count="9" manualBreakCount="9">
    <brk id="54" min="1" max="11" man="1"/>
    <brk id="101" min="1" max="11" man="1"/>
    <brk id="149" min="1" max="11" man="1"/>
    <brk id="195" min="1" max="11" man="1"/>
    <brk id="242" min="1" max="11" man="1"/>
    <brk id="289" min="1" max="11" man="1"/>
    <brk id="337" min="1" max="11" man="1"/>
    <brk id="384" min="1" max="11" man="1"/>
    <brk id="430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B2">
      <selection activeCell="B7" sqref="B7"/>
    </sheetView>
  </sheetViews>
  <sheetFormatPr defaultColWidth="9.140625" defaultRowHeight="12.75" outlineLevelRow="1"/>
  <cols>
    <col min="1" max="1" width="0" style="543" hidden="1" customWidth="1"/>
    <col min="2" max="2" width="2.7109375" style="544" customWidth="1"/>
    <col min="3" max="3" width="45.7109375" style="543" customWidth="1"/>
    <col min="4" max="4" width="8.8515625" style="543" hidden="1" customWidth="1"/>
    <col min="5" max="12" width="15.7109375" style="576" customWidth="1"/>
    <col min="13" max="15" width="0" style="516" hidden="1" customWidth="1"/>
    <col min="16" max="16384" width="9.140625" style="516" customWidth="1"/>
  </cols>
  <sheetData>
    <row r="1" spans="1:12" ht="12.75" hidden="1">
      <c r="A1" s="512" t="s">
        <v>1945</v>
      </c>
      <c r="B1" s="512"/>
      <c r="C1" s="513" t="s">
        <v>2536</v>
      </c>
      <c r="D1" s="513" t="s">
        <v>1946</v>
      </c>
      <c r="E1" s="514" t="s">
        <v>935</v>
      </c>
      <c r="F1" s="514" t="s">
        <v>1780</v>
      </c>
      <c r="G1" s="514" t="s">
        <v>1947</v>
      </c>
      <c r="H1" s="514" t="s">
        <v>1948</v>
      </c>
      <c r="I1" s="514" t="s">
        <v>1949</v>
      </c>
      <c r="J1" s="514" t="s">
        <v>1950</v>
      </c>
      <c r="K1" s="514" t="s">
        <v>940</v>
      </c>
      <c r="L1" s="515" t="s">
        <v>2108</v>
      </c>
    </row>
    <row r="2" spans="1:15" s="524" customFormat="1" ht="15.75" customHeight="1">
      <c r="A2" s="517"/>
      <c r="B2" s="518" t="str">
        <f>"University of Missouri - "&amp;RBN</f>
        <v>University of Missouri - Rolla</v>
      </c>
      <c r="C2" s="519"/>
      <c r="D2" s="519"/>
      <c r="E2" s="519"/>
      <c r="F2" s="520"/>
      <c r="G2" s="521"/>
      <c r="H2" s="407"/>
      <c r="I2" s="522"/>
      <c r="J2" s="522"/>
      <c r="K2" s="522"/>
      <c r="L2" s="523"/>
      <c r="O2" s="475" t="s">
        <v>2276</v>
      </c>
    </row>
    <row r="3" spans="1:15" s="524" customFormat="1" ht="15.75" customHeight="1">
      <c r="A3" s="517"/>
      <c r="B3" s="525" t="s">
        <v>1951</v>
      </c>
      <c r="C3" s="526"/>
      <c r="D3" s="526"/>
      <c r="E3" s="526"/>
      <c r="F3" s="527"/>
      <c r="G3" s="528"/>
      <c r="H3" s="472"/>
      <c r="I3" s="529"/>
      <c r="J3" s="529"/>
      <c r="K3" s="529"/>
      <c r="L3" s="474"/>
      <c r="O3" s="475" t="s">
        <v>1952</v>
      </c>
    </row>
    <row r="4" spans="1:15" s="535" customFormat="1" ht="15.75" customHeight="1">
      <c r="A4" s="530"/>
      <c r="B4" s="422" t="str">
        <f>"As of "&amp;TEXT(O4,"MMMM DD, YYYY")</f>
        <v>As of June 30, 2004</v>
      </c>
      <c r="C4" s="531"/>
      <c r="D4" s="532"/>
      <c r="E4" s="533"/>
      <c r="F4" s="534"/>
      <c r="G4" s="533"/>
      <c r="H4" s="533"/>
      <c r="I4" s="533"/>
      <c r="J4" s="533"/>
      <c r="K4" s="533"/>
      <c r="L4" s="423"/>
      <c r="O4" s="536" t="s">
        <v>2275</v>
      </c>
    </row>
    <row r="5" spans="1:12" s="457" customFormat="1" ht="12.75" customHeight="1">
      <c r="A5" s="537"/>
      <c r="B5" s="538"/>
      <c r="C5" s="539"/>
      <c r="D5" s="539"/>
      <c r="E5" s="540"/>
      <c r="F5" s="540"/>
      <c r="G5" s="541"/>
      <c r="H5" s="540"/>
      <c r="I5" s="540"/>
      <c r="J5" s="540"/>
      <c r="K5" s="540"/>
      <c r="L5" s="542"/>
    </row>
    <row r="6" spans="3:15" ht="42" customHeight="1">
      <c r="C6" s="545"/>
      <c r="D6" s="546" t="s">
        <v>1953</v>
      </c>
      <c r="E6" s="547" t="s">
        <v>1954</v>
      </c>
      <c r="F6" s="547" t="s">
        <v>1955</v>
      </c>
      <c r="G6" s="548" t="s">
        <v>1956</v>
      </c>
      <c r="H6" s="548" t="s">
        <v>1957</v>
      </c>
      <c r="I6" s="548" t="s">
        <v>1958</v>
      </c>
      <c r="J6" s="549"/>
      <c r="K6" s="548" t="s">
        <v>1959</v>
      </c>
      <c r="L6" s="548" t="s">
        <v>1960</v>
      </c>
      <c r="O6" s="550"/>
    </row>
    <row r="7" spans="1:15" s="557" customFormat="1" ht="13.5" thickBot="1">
      <c r="A7" s="551"/>
      <c r="B7" s="552"/>
      <c r="C7" s="553"/>
      <c r="D7" s="554" t="s">
        <v>1961</v>
      </c>
      <c r="E7" s="555">
        <v>37803</v>
      </c>
      <c r="F7" s="556" t="s">
        <v>1962</v>
      </c>
      <c r="G7" s="556" t="s">
        <v>1963</v>
      </c>
      <c r="H7" s="556" t="s">
        <v>1964</v>
      </c>
      <c r="I7" s="556" t="s">
        <v>1965</v>
      </c>
      <c r="J7" s="556" t="s">
        <v>947</v>
      </c>
      <c r="K7" s="556" t="s">
        <v>1966</v>
      </c>
      <c r="L7" s="555">
        <v>38168</v>
      </c>
      <c r="O7" s="558"/>
    </row>
    <row r="8" spans="2:12" ht="12.75" customHeight="1" thickTop="1">
      <c r="B8" s="559"/>
      <c r="C8" s="560"/>
      <c r="D8" s="561"/>
      <c r="E8" s="562"/>
      <c r="F8" s="562"/>
      <c r="G8" s="562"/>
      <c r="H8" s="562"/>
      <c r="I8" s="562"/>
      <c r="J8" s="562"/>
      <c r="K8" s="562"/>
      <c r="L8" s="562"/>
    </row>
    <row r="9" spans="2:12" ht="12.75" customHeight="1">
      <c r="B9" s="431" t="s">
        <v>1967</v>
      </c>
      <c r="C9" s="120"/>
      <c r="D9" s="443"/>
      <c r="E9" s="562"/>
      <c r="F9" s="562"/>
      <c r="G9" s="562"/>
      <c r="H9" s="562"/>
      <c r="I9" s="562"/>
      <c r="J9" s="562"/>
      <c r="K9" s="562"/>
      <c r="L9" s="562"/>
    </row>
    <row r="10" spans="1:12" ht="12.75" outlineLevel="1">
      <c r="A10" s="512" t="s">
        <v>1968</v>
      </c>
      <c r="B10" s="563"/>
      <c r="C10" s="564" t="s">
        <v>1969</v>
      </c>
      <c r="D10" s="565" t="s">
        <v>1970</v>
      </c>
      <c r="E10" s="566">
        <v>-0.82</v>
      </c>
      <c r="F10" s="566">
        <v>0</v>
      </c>
      <c r="G10" s="566">
        <v>0</v>
      </c>
      <c r="H10" s="566">
        <v>0</v>
      </c>
      <c r="I10" s="566">
        <v>0</v>
      </c>
      <c r="J10" s="566">
        <v>-0.82</v>
      </c>
      <c r="K10" s="566">
        <v>0</v>
      </c>
      <c r="L10" s="566">
        <f aca="true" t="shared" si="0" ref="L10:L27">E10+F10+G10+H10+I10+K10-J10</f>
        <v>0</v>
      </c>
    </row>
    <row r="11" spans="1:12" ht="12.75" outlineLevel="1">
      <c r="A11" s="512" t="s">
        <v>1971</v>
      </c>
      <c r="B11" s="563"/>
      <c r="C11" s="564" t="s">
        <v>1972</v>
      </c>
      <c r="D11" s="565" t="s">
        <v>1973</v>
      </c>
      <c r="E11" s="567">
        <v>-343.15</v>
      </c>
      <c r="F11" s="567">
        <v>0</v>
      </c>
      <c r="G11" s="567">
        <v>0</v>
      </c>
      <c r="H11" s="567">
        <v>0</v>
      </c>
      <c r="I11" s="567">
        <v>0</v>
      </c>
      <c r="J11" s="567">
        <v>-343.15</v>
      </c>
      <c r="K11" s="567">
        <v>0</v>
      </c>
      <c r="L11" s="567">
        <f t="shared" si="0"/>
        <v>0</v>
      </c>
    </row>
    <row r="12" spans="1:12" ht="12.75" outlineLevel="1">
      <c r="A12" s="512" t="s">
        <v>1974</v>
      </c>
      <c r="B12" s="563"/>
      <c r="C12" s="564" t="s">
        <v>1975</v>
      </c>
      <c r="D12" s="565" t="s">
        <v>1976</v>
      </c>
      <c r="E12" s="567">
        <v>0</v>
      </c>
      <c r="F12" s="567">
        <v>0</v>
      </c>
      <c r="G12" s="567">
        <v>0</v>
      </c>
      <c r="H12" s="567">
        <v>203140.01</v>
      </c>
      <c r="I12" s="567">
        <v>9869386.93</v>
      </c>
      <c r="J12" s="567">
        <v>6784625.3100000005</v>
      </c>
      <c r="K12" s="567">
        <v>0</v>
      </c>
      <c r="L12" s="567">
        <f t="shared" si="0"/>
        <v>3287901.629999999</v>
      </c>
    </row>
    <row r="13" spans="1:12" ht="12.75" outlineLevel="1">
      <c r="A13" s="512" t="s">
        <v>1977</v>
      </c>
      <c r="B13" s="563"/>
      <c r="C13" s="564" t="s">
        <v>1978</v>
      </c>
      <c r="D13" s="565" t="s">
        <v>1979</v>
      </c>
      <c r="E13" s="567">
        <v>-274631.88</v>
      </c>
      <c r="F13" s="567">
        <v>0</v>
      </c>
      <c r="G13" s="567">
        <v>0</v>
      </c>
      <c r="H13" s="567">
        <v>198950.9</v>
      </c>
      <c r="I13" s="567">
        <v>6057029.72</v>
      </c>
      <c r="J13" s="567">
        <v>6255980.62</v>
      </c>
      <c r="K13" s="567">
        <v>0</v>
      </c>
      <c r="L13" s="567">
        <f t="shared" si="0"/>
        <v>-274631.8800000008</v>
      </c>
    </row>
    <row r="14" spans="1:12" ht="12.75" outlineLevel="1">
      <c r="A14" s="512" t="s">
        <v>1980</v>
      </c>
      <c r="B14" s="563"/>
      <c r="C14" s="564" t="s">
        <v>1981</v>
      </c>
      <c r="D14" s="565" t="s">
        <v>1982</v>
      </c>
      <c r="E14" s="567">
        <v>0</v>
      </c>
      <c r="F14" s="567">
        <v>0</v>
      </c>
      <c r="G14" s="567">
        <v>0</v>
      </c>
      <c r="H14" s="567">
        <v>0</v>
      </c>
      <c r="I14" s="567">
        <v>0</v>
      </c>
      <c r="J14" s="567">
        <v>358034.63</v>
      </c>
      <c r="K14" s="567">
        <v>0</v>
      </c>
      <c r="L14" s="567">
        <f t="shared" si="0"/>
        <v>-358034.63</v>
      </c>
    </row>
    <row r="15" spans="1:12" ht="12.75" outlineLevel="1">
      <c r="A15" s="512" t="s">
        <v>1983</v>
      </c>
      <c r="B15" s="563"/>
      <c r="C15" s="564" t="s">
        <v>1984</v>
      </c>
      <c r="D15" s="565" t="s">
        <v>1985</v>
      </c>
      <c r="E15" s="567">
        <v>663029.95</v>
      </c>
      <c r="F15" s="567">
        <v>0</v>
      </c>
      <c r="G15" s="567">
        <v>98784.94</v>
      </c>
      <c r="H15" s="567">
        <v>21189.53</v>
      </c>
      <c r="I15" s="567">
        <v>0</v>
      </c>
      <c r="J15" s="567">
        <v>477854.43</v>
      </c>
      <c r="K15" s="567">
        <v>-100000</v>
      </c>
      <c r="L15" s="567">
        <f t="shared" si="0"/>
        <v>205149.98999999993</v>
      </c>
    </row>
    <row r="16" spans="1:12" ht="12.75" outlineLevel="1">
      <c r="A16" s="512" t="s">
        <v>1986</v>
      </c>
      <c r="B16" s="563"/>
      <c r="C16" s="564" t="s">
        <v>1975</v>
      </c>
      <c r="D16" s="565" t="s">
        <v>1987</v>
      </c>
      <c r="E16" s="567">
        <v>2850792.4</v>
      </c>
      <c r="F16" s="567">
        <v>0</v>
      </c>
      <c r="G16" s="567">
        <v>131255</v>
      </c>
      <c r="H16" s="567">
        <v>7076.12000000001</v>
      </c>
      <c r="I16" s="567">
        <v>0</v>
      </c>
      <c r="J16" s="567">
        <v>2951619.94</v>
      </c>
      <c r="K16" s="567">
        <v>42398.68</v>
      </c>
      <c r="L16" s="567">
        <f t="shared" si="0"/>
        <v>79902.26000000024</v>
      </c>
    </row>
    <row r="17" spans="1:12" ht="12.75" outlineLevel="1">
      <c r="A17" s="512" t="s">
        <v>1988</v>
      </c>
      <c r="B17" s="563"/>
      <c r="C17" s="564" t="s">
        <v>1989</v>
      </c>
      <c r="D17" s="565" t="s">
        <v>1990</v>
      </c>
      <c r="E17" s="567">
        <v>173717.12</v>
      </c>
      <c r="F17" s="567">
        <v>0</v>
      </c>
      <c r="G17" s="567">
        <v>200950</v>
      </c>
      <c r="H17" s="567">
        <v>4777.52</v>
      </c>
      <c r="I17" s="567">
        <v>0</v>
      </c>
      <c r="J17" s="567">
        <v>10000</v>
      </c>
      <c r="K17" s="567">
        <v>-300000</v>
      </c>
      <c r="L17" s="567">
        <f t="shared" si="0"/>
        <v>69444.64000000001</v>
      </c>
    </row>
    <row r="18" spans="1:12" ht="12.75" outlineLevel="1">
      <c r="A18" s="512" t="s">
        <v>1991</v>
      </c>
      <c r="B18" s="563"/>
      <c r="C18" s="564" t="s">
        <v>1992</v>
      </c>
      <c r="D18" s="565" t="s">
        <v>1993</v>
      </c>
      <c r="E18" s="567">
        <v>104.95</v>
      </c>
      <c r="F18" s="567">
        <v>0</v>
      </c>
      <c r="G18" s="567">
        <v>0</v>
      </c>
      <c r="H18" s="567">
        <v>3.62</v>
      </c>
      <c r="I18" s="567">
        <v>0</v>
      </c>
      <c r="J18" s="567">
        <v>0</v>
      </c>
      <c r="K18" s="567">
        <v>0</v>
      </c>
      <c r="L18" s="567">
        <f t="shared" si="0"/>
        <v>108.57000000000001</v>
      </c>
    </row>
    <row r="19" spans="1:12" ht="12.75" outlineLevel="1">
      <c r="A19" s="512" t="s">
        <v>1994</v>
      </c>
      <c r="B19" s="563"/>
      <c r="C19" s="564" t="s">
        <v>1995</v>
      </c>
      <c r="D19" s="565" t="s">
        <v>1996</v>
      </c>
      <c r="E19" s="567">
        <v>2905.96</v>
      </c>
      <c r="F19" s="567">
        <v>0</v>
      </c>
      <c r="G19" s="567">
        <v>0</v>
      </c>
      <c r="H19" s="567">
        <v>100.44</v>
      </c>
      <c r="I19" s="567">
        <v>0</v>
      </c>
      <c r="J19" s="567">
        <v>0</v>
      </c>
      <c r="K19" s="567">
        <v>0</v>
      </c>
      <c r="L19" s="567">
        <f t="shared" si="0"/>
        <v>3006.4</v>
      </c>
    </row>
    <row r="20" spans="1:12" ht="12.75" outlineLevel="1">
      <c r="A20" s="512" t="s">
        <v>1997</v>
      </c>
      <c r="B20" s="563"/>
      <c r="C20" s="564" t="s">
        <v>1998</v>
      </c>
      <c r="D20" s="565" t="s">
        <v>1999</v>
      </c>
      <c r="E20" s="567">
        <v>0</v>
      </c>
      <c r="F20" s="567">
        <v>0</v>
      </c>
      <c r="G20" s="567">
        <v>0</v>
      </c>
      <c r="H20" s="567">
        <v>124.08</v>
      </c>
      <c r="I20" s="567">
        <v>0</v>
      </c>
      <c r="J20" s="567">
        <v>1627.89</v>
      </c>
      <c r="K20" s="567">
        <v>1503.81</v>
      </c>
      <c r="L20" s="567">
        <f t="shared" si="0"/>
        <v>0</v>
      </c>
    </row>
    <row r="21" spans="1:12" ht="12.75" outlineLevel="1">
      <c r="A21" s="512" t="s">
        <v>2000</v>
      </c>
      <c r="B21" s="563"/>
      <c r="C21" s="564" t="s">
        <v>2001</v>
      </c>
      <c r="D21" s="565" t="s">
        <v>2002</v>
      </c>
      <c r="E21" s="567">
        <v>1000</v>
      </c>
      <c r="F21" s="567">
        <v>0</v>
      </c>
      <c r="G21" s="567">
        <v>-3511.16</v>
      </c>
      <c r="H21" s="567">
        <v>2664.78</v>
      </c>
      <c r="I21" s="567">
        <v>0</v>
      </c>
      <c r="J21" s="567">
        <v>-215.31</v>
      </c>
      <c r="K21" s="567">
        <v>0</v>
      </c>
      <c r="L21" s="567">
        <f t="shared" si="0"/>
        <v>368.93000000000035</v>
      </c>
    </row>
    <row r="22" spans="1:12" ht="12.75" outlineLevel="1">
      <c r="A22" s="512" t="s">
        <v>2003</v>
      </c>
      <c r="B22" s="563"/>
      <c r="C22" s="564" t="s">
        <v>2004</v>
      </c>
      <c r="D22" s="565" t="s">
        <v>2005</v>
      </c>
      <c r="E22" s="567">
        <v>0</v>
      </c>
      <c r="F22" s="567">
        <v>0</v>
      </c>
      <c r="G22" s="567">
        <v>0</v>
      </c>
      <c r="H22" s="567">
        <v>0</v>
      </c>
      <c r="I22" s="567">
        <v>0</v>
      </c>
      <c r="J22" s="567">
        <v>18808.53</v>
      </c>
      <c r="K22" s="567">
        <v>170000</v>
      </c>
      <c r="L22" s="567">
        <f t="shared" si="0"/>
        <v>151191.47</v>
      </c>
    </row>
    <row r="23" spans="1:12" ht="12.75" outlineLevel="1">
      <c r="A23" s="512" t="s">
        <v>2006</v>
      </c>
      <c r="B23" s="563"/>
      <c r="C23" s="564" t="s">
        <v>2007</v>
      </c>
      <c r="D23" s="565" t="s">
        <v>2008</v>
      </c>
      <c r="E23" s="567">
        <v>0</v>
      </c>
      <c r="F23" s="567">
        <v>0</v>
      </c>
      <c r="G23" s="567">
        <v>150000</v>
      </c>
      <c r="H23" s="567">
        <v>6.93</v>
      </c>
      <c r="I23" s="567">
        <v>0</v>
      </c>
      <c r="J23" s="567">
        <v>413737.25</v>
      </c>
      <c r="K23" s="567">
        <v>550063.49</v>
      </c>
      <c r="L23" s="567">
        <f t="shared" si="0"/>
        <v>286333.1699999999</v>
      </c>
    </row>
    <row r="24" spans="1:12" ht="12.75" outlineLevel="1">
      <c r="A24" s="512" t="s">
        <v>2009</v>
      </c>
      <c r="B24" s="563"/>
      <c r="C24" s="564" t="s">
        <v>2010</v>
      </c>
      <c r="D24" s="565" t="s">
        <v>2011</v>
      </c>
      <c r="E24" s="567">
        <v>0</v>
      </c>
      <c r="F24" s="567">
        <v>0</v>
      </c>
      <c r="G24" s="567">
        <v>188585.34</v>
      </c>
      <c r="H24" s="567">
        <v>2944.32</v>
      </c>
      <c r="I24" s="567">
        <v>0</v>
      </c>
      <c r="J24" s="567">
        <v>11386.36</v>
      </c>
      <c r="K24" s="567">
        <v>7000</v>
      </c>
      <c r="L24" s="567">
        <f t="shared" si="0"/>
        <v>187143.3</v>
      </c>
    </row>
    <row r="25" spans="1:12" ht="12.75" outlineLevel="1">
      <c r="A25" s="512" t="s">
        <v>2012</v>
      </c>
      <c r="B25" s="563"/>
      <c r="C25" s="564" t="s">
        <v>2013</v>
      </c>
      <c r="D25" s="565" t="s">
        <v>2014</v>
      </c>
      <c r="E25" s="567">
        <v>217250.91</v>
      </c>
      <c r="F25" s="567">
        <v>0</v>
      </c>
      <c r="G25" s="567">
        <v>0</v>
      </c>
      <c r="H25" s="567">
        <v>0</v>
      </c>
      <c r="I25" s="567">
        <v>0</v>
      </c>
      <c r="J25" s="567">
        <v>799612.81</v>
      </c>
      <c r="K25" s="567">
        <v>282601.32</v>
      </c>
      <c r="L25" s="567">
        <f t="shared" si="0"/>
        <v>-299760.5800000001</v>
      </c>
    </row>
    <row r="26" spans="1:12" ht="12.75" outlineLevel="1">
      <c r="A26" s="512" t="s">
        <v>2015</v>
      </c>
      <c r="B26" s="568"/>
      <c r="C26" s="564" t="s">
        <v>2016</v>
      </c>
      <c r="D26" s="565" t="s">
        <v>2017</v>
      </c>
      <c r="E26" s="567">
        <v>243.69</v>
      </c>
      <c r="F26" s="567">
        <v>0</v>
      </c>
      <c r="G26" s="567">
        <v>0</v>
      </c>
      <c r="H26" s="567">
        <v>8.41</v>
      </c>
      <c r="I26" s="567">
        <v>0</v>
      </c>
      <c r="J26" s="567">
        <v>0</v>
      </c>
      <c r="K26" s="567">
        <v>0</v>
      </c>
      <c r="L26" s="567">
        <f t="shared" si="0"/>
        <v>252.1</v>
      </c>
    </row>
    <row r="27" spans="1:12" s="569" customFormat="1" ht="12.75" customHeight="1">
      <c r="A27" s="569" t="s">
        <v>2018</v>
      </c>
      <c r="B27" s="431"/>
      <c r="C27" s="570" t="s">
        <v>2019</v>
      </c>
      <c r="D27" s="488"/>
      <c r="E27" s="446">
        <v>3634069.13</v>
      </c>
      <c r="F27" s="446">
        <v>0</v>
      </c>
      <c r="G27" s="446">
        <v>766064.12</v>
      </c>
      <c r="H27" s="446">
        <v>440986.66</v>
      </c>
      <c r="I27" s="446">
        <v>15926416.649999999</v>
      </c>
      <c r="J27" s="446">
        <v>18082728.490000002</v>
      </c>
      <c r="K27" s="446">
        <v>653567.3</v>
      </c>
      <c r="L27" s="446">
        <f t="shared" si="0"/>
        <v>3338375.3699999973</v>
      </c>
    </row>
    <row r="28" spans="1:12" s="170" customFormat="1" ht="12.75" customHeight="1">
      <c r="A28" s="569"/>
      <c r="B28" s="571"/>
      <c r="C28" s="510"/>
      <c r="D28" s="431"/>
      <c r="E28" s="446"/>
      <c r="F28" s="446"/>
      <c r="G28" s="446"/>
      <c r="H28" s="446"/>
      <c r="I28" s="446"/>
      <c r="J28" s="446"/>
      <c r="K28" s="446"/>
      <c r="L28" s="446"/>
    </row>
    <row r="29" spans="2:12" ht="12.75" customHeight="1">
      <c r="B29" s="431" t="s">
        <v>2020</v>
      </c>
      <c r="C29" s="120"/>
      <c r="D29" s="431"/>
      <c r="E29" s="567"/>
      <c r="F29" s="567"/>
      <c r="G29" s="567"/>
      <c r="H29" s="567"/>
      <c r="I29" s="567"/>
      <c r="J29" s="567"/>
      <c r="K29" s="567"/>
      <c r="L29" s="567"/>
    </row>
    <row r="30" spans="1:12" ht="12.75" outlineLevel="1">
      <c r="A30" s="512" t="s">
        <v>2021</v>
      </c>
      <c r="B30" s="563"/>
      <c r="C30" s="565" t="s">
        <v>2022</v>
      </c>
      <c r="D30" s="565" t="s">
        <v>2023</v>
      </c>
      <c r="E30" s="567">
        <v>7687.43</v>
      </c>
      <c r="F30" s="567">
        <v>0</v>
      </c>
      <c r="G30" s="567">
        <v>0</v>
      </c>
      <c r="H30" s="567">
        <v>300</v>
      </c>
      <c r="I30" s="567">
        <v>0</v>
      </c>
      <c r="J30" s="567">
        <v>-200</v>
      </c>
      <c r="K30" s="567">
        <v>0</v>
      </c>
      <c r="L30" s="567">
        <f>E30+F30+G30+H30+I30+K30-J30</f>
        <v>8187.43</v>
      </c>
    </row>
    <row r="31" spans="1:12" ht="12.75" outlineLevel="1">
      <c r="A31" s="512" t="s">
        <v>2024</v>
      </c>
      <c r="B31" s="563"/>
      <c r="C31" s="565" t="s">
        <v>2025</v>
      </c>
      <c r="D31" s="565" t="s">
        <v>2026</v>
      </c>
      <c r="E31" s="567">
        <v>24072.11</v>
      </c>
      <c r="F31" s="567">
        <v>0</v>
      </c>
      <c r="G31" s="567">
        <v>0</v>
      </c>
      <c r="H31" s="567">
        <v>0</v>
      </c>
      <c r="I31" s="567">
        <v>0</v>
      </c>
      <c r="J31" s="567">
        <v>343.15</v>
      </c>
      <c r="K31" s="567">
        <v>-23728.96</v>
      </c>
      <c r="L31" s="567">
        <v>0</v>
      </c>
    </row>
    <row r="32" spans="1:12" ht="12.75" outlineLevel="1">
      <c r="A32" s="512" t="s">
        <v>2027</v>
      </c>
      <c r="B32" s="563"/>
      <c r="C32" s="565" t="s">
        <v>2028</v>
      </c>
      <c r="D32" s="565" t="s">
        <v>2029</v>
      </c>
      <c r="E32" s="567">
        <v>0</v>
      </c>
      <c r="F32" s="567">
        <v>0</v>
      </c>
      <c r="G32" s="567">
        <v>0</v>
      </c>
      <c r="H32" s="567">
        <v>0</v>
      </c>
      <c r="I32" s="567">
        <v>0</v>
      </c>
      <c r="J32" s="567">
        <v>3570.1</v>
      </c>
      <c r="K32" s="567">
        <v>0</v>
      </c>
      <c r="L32" s="567">
        <f aca="true" t="shared" si="1" ref="L32:L47">E32+F32+G32+H32+I32+K32-J32</f>
        <v>-3570.1</v>
      </c>
    </row>
    <row r="33" spans="1:12" ht="12.75" outlineLevel="1">
      <c r="A33" s="512" t="s">
        <v>2015</v>
      </c>
      <c r="B33" s="563"/>
      <c r="C33" s="565" t="s">
        <v>2016</v>
      </c>
      <c r="D33" s="565" t="s">
        <v>2017</v>
      </c>
      <c r="E33" s="567">
        <v>4594.13</v>
      </c>
      <c r="F33" s="567">
        <v>0</v>
      </c>
      <c r="G33" s="567">
        <v>0</v>
      </c>
      <c r="H33" s="567">
        <v>0</v>
      </c>
      <c r="I33" s="567">
        <v>0</v>
      </c>
      <c r="J33" s="567">
        <v>0</v>
      </c>
      <c r="K33" s="567">
        <v>0</v>
      </c>
      <c r="L33" s="567">
        <f t="shared" si="1"/>
        <v>4594.13</v>
      </c>
    </row>
    <row r="34" spans="1:12" ht="12.75" outlineLevel="1">
      <c r="A34" s="512" t="s">
        <v>2030</v>
      </c>
      <c r="B34" s="563"/>
      <c r="C34" s="565" t="s">
        <v>2031</v>
      </c>
      <c r="D34" s="565" t="s">
        <v>2032</v>
      </c>
      <c r="E34" s="567">
        <v>130142.24</v>
      </c>
      <c r="F34" s="567">
        <v>0</v>
      </c>
      <c r="G34" s="567">
        <v>0</v>
      </c>
      <c r="H34" s="567">
        <v>0</v>
      </c>
      <c r="I34" s="567">
        <v>0</v>
      </c>
      <c r="J34" s="567">
        <v>2122.22</v>
      </c>
      <c r="K34" s="567">
        <v>0</v>
      </c>
      <c r="L34" s="567">
        <f t="shared" si="1"/>
        <v>128020.02</v>
      </c>
    </row>
    <row r="35" spans="1:12" ht="12.75" outlineLevel="1">
      <c r="A35" s="512" t="s">
        <v>2033</v>
      </c>
      <c r="B35" s="563"/>
      <c r="C35" s="565" t="s">
        <v>2034</v>
      </c>
      <c r="D35" s="565" t="s">
        <v>2035</v>
      </c>
      <c r="E35" s="567">
        <v>632.46</v>
      </c>
      <c r="F35" s="567">
        <v>0</v>
      </c>
      <c r="G35" s="567">
        <v>0</v>
      </c>
      <c r="H35" s="567">
        <v>0</v>
      </c>
      <c r="I35" s="567">
        <v>0</v>
      </c>
      <c r="J35" s="567">
        <v>0</v>
      </c>
      <c r="K35" s="567">
        <v>-632.46</v>
      </c>
      <c r="L35" s="567">
        <f t="shared" si="1"/>
        <v>0</v>
      </c>
    </row>
    <row r="36" spans="1:12" ht="12.75" outlineLevel="1">
      <c r="A36" s="512" t="s">
        <v>2036</v>
      </c>
      <c r="B36" s="563"/>
      <c r="C36" s="565" t="s">
        <v>2037</v>
      </c>
      <c r="D36" s="565" t="s">
        <v>2038</v>
      </c>
      <c r="E36" s="567">
        <v>2702.15</v>
      </c>
      <c r="F36" s="567">
        <v>0</v>
      </c>
      <c r="G36" s="567">
        <v>0</v>
      </c>
      <c r="H36" s="567">
        <v>0</v>
      </c>
      <c r="I36" s="567">
        <v>0</v>
      </c>
      <c r="J36" s="567">
        <v>1728.49</v>
      </c>
      <c r="K36" s="567">
        <v>0</v>
      </c>
      <c r="L36" s="567">
        <f t="shared" si="1"/>
        <v>973.6600000000001</v>
      </c>
    </row>
    <row r="37" spans="1:12" ht="12.75" outlineLevel="1">
      <c r="A37" s="512" t="s">
        <v>2039</v>
      </c>
      <c r="B37" s="563"/>
      <c r="C37" s="565" t="s">
        <v>2040</v>
      </c>
      <c r="D37" s="565" t="s">
        <v>2041</v>
      </c>
      <c r="E37" s="567">
        <v>683088.58</v>
      </c>
      <c r="F37" s="567">
        <v>0</v>
      </c>
      <c r="G37" s="567">
        <v>0</v>
      </c>
      <c r="H37" s="567">
        <v>0</v>
      </c>
      <c r="I37" s="567">
        <v>0</v>
      </c>
      <c r="J37" s="567">
        <v>209797.28</v>
      </c>
      <c r="K37" s="567">
        <v>141447.16</v>
      </c>
      <c r="L37" s="567">
        <f t="shared" si="1"/>
        <v>614738.46</v>
      </c>
    </row>
    <row r="38" spans="1:12" ht="12.75" outlineLevel="1">
      <c r="A38" s="512" t="s">
        <v>2042</v>
      </c>
      <c r="B38" s="563"/>
      <c r="C38" s="565" t="s">
        <v>2043</v>
      </c>
      <c r="D38" s="565" t="s">
        <v>2044</v>
      </c>
      <c r="E38" s="567">
        <v>1219210.06</v>
      </c>
      <c r="F38" s="567">
        <v>0</v>
      </c>
      <c r="G38" s="567">
        <v>0</v>
      </c>
      <c r="H38" s="567">
        <v>0</v>
      </c>
      <c r="I38" s="567">
        <v>0</v>
      </c>
      <c r="J38" s="567">
        <v>0</v>
      </c>
      <c r="K38" s="567">
        <v>-776955.88</v>
      </c>
      <c r="L38" s="567">
        <f t="shared" si="1"/>
        <v>442254.18000000005</v>
      </c>
    </row>
    <row r="39" spans="1:12" ht="12.75" outlineLevel="1">
      <c r="A39" s="512" t="s">
        <v>2045</v>
      </c>
      <c r="B39" s="563"/>
      <c r="C39" s="565" t="s">
        <v>2046</v>
      </c>
      <c r="D39" s="565" t="s">
        <v>2047</v>
      </c>
      <c r="E39" s="567">
        <v>421835.18</v>
      </c>
      <c r="F39" s="567">
        <v>0</v>
      </c>
      <c r="G39" s="567">
        <v>0</v>
      </c>
      <c r="H39" s="567">
        <v>0</v>
      </c>
      <c r="I39" s="567">
        <v>0</v>
      </c>
      <c r="J39" s="567">
        <v>236932.16</v>
      </c>
      <c r="K39" s="567">
        <v>160000</v>
      </c>
      <c r="L39" s="567">
        <f t="shared" si="1"/>
        <v>344903.0199999999</v>
      </c>
    </row>
    <row r="40" spans="1:12" ht="12.75" outlineLevel="1">
      <c r="A40" s="512" t="s">
        <v>2048</v>
      </c>
      <c r="B40" s="563"/>
      <c r="C40" s="565" t="s">
        <v>2049</v>
      </c>
      <c r="D40" s="565" t="s">
        <v>2050</v>
      </c>
      <c r="E40" s="567">
        <v>788741.39</v>
      </c>
      <c r="F40" s="567">
        <v>0</v>
      </c>
      <c r="G40" s="567">
        <v>0</v>
      </c>
      <c r="H40" s="567">
        <v>0</v>
      </c>
      <c r="I40" s="567">
        <v>0</v>
      </c>
      <c r="J40" s="567">
        <v>195082.18</v>
      </c>
      <c r="K40" s="567">
        <v>80900.76</v>
      </c>
      <c r="L40" s="567">
        <f t="shared" si="1"/>
        <v>674559.97</v>
      </c>
    </row>
    <row r="41" spans="1:12" ht="12.75" outlineLevel="1">
      <c r="A41" s="512" t="s">
        <v>2051</v>
      </c>
      <c r="B41" s="563"/>
      <c r="C41" s="565" t="s">
        <v>2052</v>
      </c>
      <c r="D41" s="565" t="s">
        <v>2053</v>
      </c>
      <c r="E41" s="567">
        <v>2784.35</v>
      </c>
      <c r="F41" s="567">
        <v>0</v>
      </c>
      <c r="G41" s="567">
        <v>0</v>
      </c>
      <c r="H41" s="567">
        <v>0</v>
      </c>
      <c r="I41" s="567">
        <v>0</v>
      </c>
      <c r="J41" s="567">
        <v>0</v>
      </c>
      <c r="K41" s="567">
        <v>-2784.35</v>
      </c>
      <c r="L41" s="567">
        <f t="shared" si="1"/>
        <v>0</v>
      </c>
    </row>
    <row r="42" spans="1:12" ht="12.75" outlineLevel="1">
      <c r="A42" s="512" t="s">
        <v>2054</v>
      </c>
      <c r="B42" s="563"/>
      <c r="C42" s="565" t="s">
        <v>2055</v>
      </c>
      <c r="D42" s="565" t="s">
        <v>2056</v>
      </c>
      <c r="E42" s="567">
        <v>-469185.75</v>
      </c>
      <c r="F42" s="567">
        <v>0</v>
      </c>
      <c r="G42" s="567">
        <v>0</v>
      </c>
      <c r="H42" s="567">
        <v>0</v>
      </c>
      <c r="I42" s="567">
        <v>0</v>
      </c>
      <c r="J42" s="567">
        <v>-469185.75</v>
      </c>
      <c r="K42" s="567">
        <v>0</v>
      </c>
      <c r="L42" s="567">
        <f t="shared" si="1"/>
        <v>0</v>
      </c>
    </row>
    <row r="43" spans="1:12" ht="12.75" outlineLevel="1">
      <c r="A43" s="512" t="s">
        <v>2057</v>
      </c>
      <c r="B43" s="563"/>
      <c r="C43" s="565" t="s">
        <v>2058</v>
      </c>
      <c r="D43" s="565" t="s">
        <v>2059</v>
      </c>
      <c r="E43" s="567">
        <v>100000</v>
      </c>
      <c r="F43" s="567">
        <v>0</v>
      </c>
      <c r="G43" s="567">
        <v>0</v>
      </c>
      <c r="H43" s="567">
        <v>0</v>
      </c>
      <c r="I43" s="567">
        <v>0</v>
      </c>
      <c r="J43" s="567">
        <v>0</v>
      </c>
      <c r="K43" s="567">
        <v>300000</v>
      </c>
      <c r="L43" s="567">
        <f t="shared" si="1"/>
        <v>400000</v>
      </c>
    </row>
    <row r="44" spans="1:12" ht="12.75" outlineLevel="1">
      <c r="A44" s="512" t="s">
        <v>2060</v>
      </c>
      <c r="B44" s="563"/>
      <c r="C44" s="565" t="s">
        <v>2061</v>
      </c>
      <c r="D44" s="565" t="s">
        <v>2062</v>
      </c>
      <c r="E44" s="567">
        <v>0</v>
      </c>
      <c r="F44" s="567">
        <v>0</v>
      </c>
      <c r="G44" s="567">
        <v>0</v>
      </c>
      <c r="H44" s="567">
        <v>0</v>
      </c>
      <c r="I44" s="567">
        <v>0</v>
      </c>
      <c r="J44" s="567">
        <v>44415.18</v>
      </c>
      <c r="K44" s="567">
        <v>400000</v>
      </c>
      <c r="L44" s="567">
        <f t="shared" si="1"/>
        <v>355584.82</v>
      </c>
    </row>
    <row r="45" spans="1:12" ht="12.75" outlineLevel="1">
      <c r="A45" s="512" t="s">
        <v>2063</v>
      </c>
      <c r="B45" s="563"/>
      <c r="C45" s="565" t="s">
        <v>2064</v>
      </c>
      <c r="D45" s="565" t="s">
        <v>2065</v>
      </c>
      <c r="E45" s="567">
        <v>0</v>
      </c>
      <c r="F45" s="567">
        <v>0</v>
      </c>
      <c r="G45" s="567">
        <v>0</v>
      </c>
      <c r="H45" s="567">
        <v>0</v>
      </c>
      <c r="I45" s="567">
        <v>0</v>
      </c>
      <c r="J45" s="567">
        <v>29035.73</v>
      </c>
      <c r="K45" s="567">
        <v>230000</v>
      </c>
      <c r="L45" s="567">
        <f t="shared" si="1"/>
        <v>200964.27</v>
      </c>
    </row>
    <row r="46" spans="1:12" ht="12.75" outlineLevel="1">
      <c r="A46" s="512" t="s">
        <v>2066</v>
      </c>
      <c r="B46" s="568"/>
      <c r="C46" s="572" t="s">
        <v>2067</v>
      </c>
      <c r="D46" s="565" t="s">
        <v>2068</v>
      </c>
      <c r="E46" s="567">
        <v>0</v>
      </c>
      <c r="F46" s="567">
        <v>0</v>
      </c>
      <c r="G46" s="567">
        <v>0</v>
      </c>
      <c r="H46" s="567">
        <v>0</v>
      </c>
      <c r="I46" s="567">
        <v>0</v>
      </c>
      <c r="J46" s="567">
        <v>77617.1</v>
      </c>
      <c r="K46" s="567">
        <v>255000</v>
      </c>
      <c r="L46" s="567">
        <f t="shared" si="1"/>
        <v>177382.9</v>
      </c>
    </row>
    <row r="47" spans="1:12" s="569" customFormat="1" ht="12.75" customHeight="1">
      <c r="A47" s="569" t="s">
        <v>2069</v>
      </c>
      <c r="B47" s="431"/>
      <c r="C47" s="573" t="s">
        <v>2070</v>
      </c>
      <c r="D47" s="574"/>
      <c r="E47" s="575">
        <v>2916304.4</v>
      </c>
      <c r="F47" s="446">
        <v>0</v>
      </c>
      <c r="G47" s="446">
        <v>0</v>
      </c>
      <c r="H47" s="446">
        <v>300</v>
      </c>
      <c r="I47" s="446">
        <v>0</v>
      </c>
      <c r="J47" s="446">
        <v>331257.84</v>
      </c>
      <c r="K47" s="446">
        <v>763246.27</v>
      </c>
      <c r="L47" s="446">
        <f t="shared" si="1"/>
        <v>3348592.83</v>
      </c>
    </row>
    <row r="48" spans="2:12" ht="12.75" customHeight="1">
      <c r="B48" s="568"/>
      <c r="C48" s="560"/>
      <c r="D48" s="155"/>
      <c r="E48" s="562"/>
      <c r="F48" s="562"/>
      <c r="G48" s="562"/>
      <c r="H48" s="562"/>
      <c r="I48" s="562"/>
      <c r="J48" s="562"/>
      <c r="K48" s="562"/>
      <c r="L48" s="562"/>
    </row>
    <row r="49" spans="2:12" ht="12.75" customHeight="1">
      <c r="B49" s="568"/>
      <c r="C49" s="573" t="s">
        <v>532</v>
      </c>
      <c r="D49" s="574"/>
      <c r="E49" s="452">
        <f aca="true" t="shared" si="2" ref="E49:K49">E27+E47</f>
        <v>6550373.529999999</v>
      </c>
      <c r="F49" s="452">
        <f t="shared" si="2"/>
        <v>0</v>
      </c>
      <c r="G49" s="452">
        <f t="shared" si="2"/>
        <v>766064.12</v>
      </c>
      <c r="H49" s="452">
        <f t="shared" si="2"/>
        <v>441286.66</v>
      </c>
      <c r="I49" s="452">
        <f t="shared" si="2"/>
        <v>15926416.649999999</v>
      </c>
      <c r="J49" s="452">
        <f t="shared" si="2"/>
        <v>18413986.330000002</v>
      </c>
      <c r="K49" s="452">
        <f t="shared" si="2"/>
        <v>1416813.57</v>
      </c>
      <c r="L49" s="452">
        <f>E49+F49+G49+H49+I49+K49-J49</f>
        <v>6686968.1999999955</v>
      </c>
    </row>
    <row r="51" ht="12.75">
      <c r="A51" s="543" t="s">
        <v>2106</v>
      </c>
    </row>
    <row r="52" ht="12.75">
      <c r="A52" s="543" t="s">
        <v>2106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B2">
      <selection activeCell="C4" sqref="C4"/>
    </sheetView>
  </sheetViews>
  <sheetFormatPr defaultColWidth="9.140625" defaultRowHeight="12.75"/>
  <cols>
    <col min="1" max="1" width="3.00390625" style="2" hidden="1" customWidth="1"/>
    <col min="2" max="2" width="2.7109375" style="2" customWidth="1"/>
    <col min="3" max="3" width="2.57421875" style="1" customWidth="1"/>
    <col min="4" max="4" width="66.7109375" style="2" customWidth="1"/>
    <col min="5" max="5" width="7.140625" style="1" customWidth="1"/>
    <col min="6" max="6" width="20.7109375" style="1" hidden="1" customWidth="1"/>
    <col min="7" max="10" width="20.7109375" style="1" customWidth="1"/>
    <col min="11" max="11" width="9.140625" style="120" hidden="1" customWidth="1"/>
    <col min="12" max="14" width="0" style="120" hidden="1" customWidth="1"/>
    <col min="15" max="15" width="9.140625" style="120" customWidth="1" collapsed="1"/>
    <col min="16" max="16384" width="9.140625" style="120" customWidth="1"/>
  </cols>
  <sheetData>
    <row r="1" spans="1:6" ht="12.75" customHeight="1" hidden="1">
      <c r="A1" s="2" t="s">
        <v>2106</v>
      </c>
      <c r="C1" s="1" t="s">
        <v>2106</v>
      </c>
      <c r="D1" s="2" t="s">
        <v>2106</v>
      </c>
      <c r="E1" s="1" t="s">
        <v>2106</v>
      </c>
      <c r="F1" s="1" t="s">
        <v>533</v>
      </c>
    </row>
    <row r="2" spans="1:10" s="126" customFormat="1" ht="15.75" customHeight="1">
      <c r="A2" s="577"/>
      <c r="B2" s="578" t="str">
        <f>"University of Missouri - "&amp;RBN</f>
        <v>University of Missouri - Rolla</v>
      </c>
      <c r="C2" s="579"/>
      <c r="D2" s="122"/>
      <c r="E2" s="122"/>
      <c r="F2" s="122"/>
      <c r="G2" s="122"/>
      <c r="H2" s="122"/>
      <c r="I2" s="122"/>
      <c r="J2" s="580"/>
    </row>
    <row r="3" spans="1:10" s="130" customFormat="1" ht="15.75" customHeight="1">
      <c r="A3" s="10"/>
      <c r="B3" s="581" t="s">
        <v>534</v>
      </c>
      <c r="C3" s="582"/>
      <c r="D3" s="12"/>
      <c r="E3" s="12"/>
      <c r="F3" s="12"/>
      <c r="G3" s="12"/>
      <c r="H3" s="12"/>
      <c r="I3" s="12"/>
      <c r="J3" s="583"/>
    </row>
    <row r="4" spans="2:14" ht="15.75" customHeight="1">
      <c r="B4" s="584" t="str">
        <f>"  As of "&amp;TEXT(K4,"MMMM DD, YYY")</f>
        <v>  As of June 30, 2004</v>
      </c>
      <c r="C4" s="585"/>
      <c r="D4" s="16"/>
      <c r="E4" s="16"/>
      <c r="F4" s="16"/>
      <c r="G4" s="16"/>
      <c r="H4" s="16"/>
      <c r="I4" s="16"/>
      <c r="J4" s="586"/>
      <c r="K4" s="2" t="s">
        <v>2275</v>
      </c>
      <c r="N4" s="120" t="s">
        <v>2276</v>
      </c>
    </row>
    <row r="5" spans="2:11" ht="12.75" customHeight="1">
      <c r="B5" s="587"/>
      <c r="C5" s="588"/>
      <c r="D5" s="137"/>
      <c r="E5" s="137"/>
      <c r="F5" s="137"/>
      <c r="G5" s="137"/>
      <c r="H5" s="137"/>
      <c r="I5" s="137"/>
      <c r="J5" s="589"/>
      <c r="K5" s="2"/>
    </row>
    <row r="6" spans="1:10" ht="15.75" customHeight="1">
      <c r="A6" s="22"/>
      <c r="B6" s="141"/>
      <c r="C6" s="29"/>
      <c r="D6" s="29"/>
      <c r="E6" s="151"/>
      <c r="F6" s="152" t="s">
        <v>1960</v>
      </c>
      <c r="G6" s="152" t="s">
        <v>1960</v>
      </c>
      <c r="H6" s="152"/>
      <c r="I6" s="152"/>
      <c r="J6" s="152" t="s">
        <v>1960</v>
      </c>
    </row>
    <row r="7" spans="1:10" ht="12.75">
      <c r="A7" s="22"/>
      <c r="B7" s="157"/>
      <c r="C7" s="158"/>
      <c r="D7" s="158"/>
      <c r="E7" s="159"/>
      <c r="F7" s="590" t="s">
        <v>535</v>
      </c>
      <c r="G7" s="591" t="s">
        <v>536</v>
      </c>
      <c r="H7" s="160" t="s">
        <v>537</v>
      </c>
      <c r="I7" s="160" t="s">
        <v>538</v>
      </c>
      <c r="J7" s="160" t="str">
        <f>TEXT(K4,"MMMM DD, YYY")</f>
        <v>June 30, 2004</v>
      </c>
    </row>
    <row r="8" spans="1:10" ht="12.75" customHeight="1">
      <c r="A8" s="22"/>
      <c r="B8" s="23" t="s">
        <v>539</v>
      </c>
      <c r="C8" s="161"/>
      <c r="D8" s="161"/>
      <c r="E8" s="24"/>
      <c r="F8" s="27"/>
      <c r="G8" s="27"/>
      <c r="H8" s="27"/>
      <c r="I8" s="27"/>
      <c r="J8" s="27"/>
    </row>
    <row r="9" spans="1:10" ht="12.75" customHeight="1">
      <c r="A9" s="1" t="s">
        <v>540</v>
      </c>
      <c r="B9" s="30"/>
      <c r="C9" s="162" t="s">
        <v>541</v>
      </c>
      <c r="D9" s="162"/>
      <c r="E9" s="31"/>
      <c r="F9" s="32">
        <v>147845208.72</v>
      </c>
      <c r="G9" s="34">
        <f aca="true" t="shared" si="0" ref="G9:G17">F9</f>
        <v>147845208.72</v>
      </c>
      <c r="H9" s="34">
        <v>1053313.42</v>
      </c>
      <c r="I9" s="34">
        <v>-45000</v>
      </c>
      <c r="J9" s="34">
        <f aca="true" t="shared" si="1" ref="J9:J16">G9+H9+I9</f>
        <v>148853522.14</v>
      </c>
    </row>
    <row r="10" spans="1:10" ht="12.75" customHeight="1">
      <c r="A10" s="1" t="s">
        <v>542</v>
      </c>
      <c r="B10" s="30"/>
      <c r="C10" s="162" t="s">
        <v>2423</v>
      </c>
      <c r="D10" s="162"/>
      <c r="E10" s="31"/>
      <c r="F10" s="32">
        <v>4805510.2</v>
      </c>
      <c r="G10" s="36">
        <f t="shared" si="0"/>
        <v>4805510.2</v>
      </c>
      <c r="H10" s="36">
        <v>40000</v>
      </c>
      <c r="I10" s="36">
        <v>-401</v>
      </c>
      <c r="J10" s="36">
        <f t="shared" si="1"/>
        <v>4845109.2</v>
      </c>
    </row>
    <row r="11" spans="1:10" ht="12.75" customHeight="1">
      <c r="A11" s="1" t="s">
        <v>543</v>
      </c>
      <c r="B11" s="30"/>
      <c r="C11" s="162" t="s">
        <v>2426</v>
      </c>
      <c r="D11" s="162"/>
      <c r="E11" s="31"/>
      <c r="F11" s="32">
        <v>10039086.56</v>
      </c>
      <c r="G11" s="36">
        <f t="shared" si="0"/>
        <v>10039086.56</v>
      </c>
      <c r="H11" s="36">
        <v>249900.23</v>
      </c>
      <c r="I11" s="36">
        <v>0</v>
      </c>
      <c r="J11" s="36">
        <f t="shared" si="1"/>
        <v>10288986.790000001</v>
      </c>
    </row>
    <row r="12" spans="1:10" ht="12.75" customHeight="1">
      <c r="A12" s="162" t="s">
        <v>544</v>
      </c>
      <c r="B12" s="30"/>
      <c r="C12" s="162" t="s">
        <v>545</v>
      </c>
      <c r="D12" s="162"/>
      <c r="E12" s="31"/>
      <c r="F12" s="32">
        <v>34016004.58</v>
      </c>
      <c r="G12" s="36">
        <f t="shared" si="0"/>
        <v>34016004.58</v>
      </c>
      <c r="H12" s="36">
        <f>39122.1+3876489.59</f>
        <v>3915611.69</v>
      </c>
      <c r="I12" s="36">
        <v>-4499752.08</v>
      </c>
      <c r="J12" s="36">
        <f t="shared" si="1"/>
        <v>33431864.189999998</v>
      </c>
    </row>
    <row r="13" spans="1:10" ht="12.75" customHeight="1">
      <c r="A13" s="162" t="s">
        <v>546</v>
      </c>
      <c r="B13" s="30"/>
      <c r="C13" s="162" t="s">
        <v>547</v>
      </c>
      <c r="D13" s="162"/>
      <c r="E13" s="31"/>
      <c r="F13" s="32">
        <v>0</v>
      </c>
      <c r="G13" s="36">
        <f t="shared" si="0"/>
        <v>0</v>
      </c>
      <c r="H13" s="36">
        <v>0</v>
      </c>
      <c r="I13" s="36">
        <v>0</v>
      </c>
      <c r="J13" s="36">
        <f t="shared" si="1"/>
        <v>0</v>
      </c>
    </row>
    <row r="14" spans="1:10" ht="12.75" customHeight="1">
      <c r="A14" s="162" t="s">
        <v>548</v>
      </c>
      <c r="B14" s="30"/>
      <c r="C14" s="162" t="s">
        <v>549</v>
      </c>
      <c r="D14" s="162"/>
      <c r="E14" s="31"/>
      <c r="F14" s="32">
        <v>106093</v>
      </c>
      <c r="G14" s="36">
        <f t="shared" si="0"/>
        <v>106093</v>
      </c>
      <c r="H14" s="36">
        <v>0</v>
      </c>
      <c r="I14" s="36">
        <v>0</v>
      </c>
      <c r="J14" s="36">
        <f t="shared" si="1"/>
        <v>106093</v>
      </c>
    </row>
    <row r="15" spans="1:10" ht="12.75" customHeight="1">
      <c r="A15" s="162" t="s">
        <v>550</v>
      </c>
      <c r="B15" s="30"/>
      <c r="C15" s="162" t="s">
        <v>551</v>
      </c>
      <c r="D15" s="162"/>
      <c r="E15" s="31"/>
      <c r="F15" s="32">
        <v>17534496.49</v>
      </c>
      <c r="G15" s="36">
        <f t="shared" si="0"/>
        <v>17534496.49</v>
      </c>
      <c r="H15" s="36">
        <v>983440.42</v>
      </c>
      <c r="I15" s="36">
        <v>0</v>
      </c>
      <c r="J15" s="36">
        <f t="shared" si="1"/>
        <v>18517936.91</v>
      </c>
    </row>
    <row r="16" spans="1:10" ht="12.75" customHeight="1">
      <c r="A16" s="162" t="s">
        <v>552</v>
      </c>
      <c r="B16" s="30"/>
      <c r="C16" s="162" t="s">
        <v>553</v>
      </c>
      <c r="D16" s="162"/>
      <c r="E16" s="31"/>
      <c r="F16" s="32">
        <v>2721163.64</v>
      </c>
      <c r="G16" s="36">
        <f t="shared" si="0"/>
        <v>2721163.64</v>
      </c>
      <c r="H16" s="36">
        <v>17120995.61</v>
      </c>
      <c r="I16" s="36">
        <v>0</v>
      </c>
      <c r="J16" s="36">
        <f t="shared" si="1"/>
        <v>19842159.25</v>
      </c>
    </row>
    <row r="17" spans="1:10" s="170" customFormat="1" ht="12.75" customHeight="1">
      <c r="A17" s="161" t="s">
        <v>2106</v>
      </c>
      <c r="B17" s="23"/>
      <c r="C17" s="161"/>
      <c r="D17" s="161"/>
      <c r="E17" s="24"/>
      <c r="F17" s="27"/>
      <c r="G17" s="39">
        <f t="shared" si="0"/>
        <v>0</v>
      </c>
      <c r="H17" s="39"/>
      <c r="I17" s="39"/>
      <c r="J17" s="39"/>
    </row>
    <row r="18" spans="1:10" s="170" customFormat="1" ht="12.75" customHeight="1">
      <c r="A18" s="161" t="s">
        <v>2106</v>
      </c>
      <c r="B18" s="23"/>
      <c r="C18" s="161" t="s">
        <v>554</v>
      </c>
      <c r="D18" s="161"/>
      <c r="E18" s="24"/>
      <c r="F18" s="27">
        <f>F16+F15+F14+F13+F12+F11+F10+F9</f>
        <v>217067563.19</v>
      </c>
      <c r="G18" s="39">
        <f>G16+G15+G14+G13+G12+G11+G10+G9</f>
        <v>217067563.19</v>
      </c>
      <c r="H18" s="39">
        <f>H16+H15+H14+H13+H12+H11+H10+H9</f>
        <v>23363261.370000005</v>
      </c>
      <c r="I18" s="39">
        <f>I16+I15+I14+I13+I12+I11+I10+I9</f>
        <v>-4545153.08</v>
      </c>
      <c r="J18" s="39">
        <f>J16+J15+J14+J13+J12+J11+J10+J9</f>
        <v>235885671.48</v>
      </c>
    </row>
    <row r="19" spans="1:10" s="170" customFormat="1" ht="12.75" customHeight="1">
      <c r="A19" s="161" t="s">
        <v>2106</v>
      </c>
      <c r="B19" s="23"/>
      <c r="C19" s="161"/>
      <c r="D19" s="161"/>
      <c r="E19" s="24"/>
      <c r="F19" s="27"/>
      <c r="G19" s="39"/>
      <c r="H19" s="39"/>
      <c r="I19" s="39"/>
      <c r="J19" s="39"/>
    </row>
    <row r="20" spans="1:10" s="170" customFormat="1" ht="12.75" customHeight="1">
      <c r="A20" s="161" t="s">
        <v>2106</v>
      </c>
      <c r="B20" s="23" t="s">
        <v>555</v>
      </c>
      <c r="D20" s="161"/>
      <c r="E20" s="24"/>
      <c r="F20" s="27"/>
      <c r="G20" s="39"/>
      <c r="H20" s="39"/>
      <c r="I20" s="39"/>
      <c r="J20" s="39"/>
    </row>
    <row r="21" spans="1:10" ht="12.75" customHeight="1">
      <c r="A21" s="162" t="s">
        <v>556</v>
      </c>
      <c r="B21" s="30"/>
      <c r="C21" s="162" t="s">
        <v>541</v>
      </c>
      <c r="D21" s="572"/>
      <c r="E21" s="31"/>
      <c r="F21" s="32">
        <v>-53160313.45</v>
      </c>
      <c r="G21" s="36">
        <f>-F21</f>
        <v>53160313.45</v>
      </c>
      <c r="H21" s="36">
        <v>3471777.539952</v>
      </c>
      <c r="I21" s="36">
        <v>-2773.8</v>
      </c>
      <c r="J21" s="36">
        <f>G21+H21+I21</f>
        <v>56629317.18995201</v>
      </c>
    </row>
    <row r="22" spans="1:10" ht="12.75" customHeight="1">
      <c r="A22" s="162" t="s">
        <v>557</v>
      </c>
      <c r="B22" s="30"/>
      <c r="C22" s="162" t="s">
        <v>2426</v>
      </c>
      <c r="D22" s="572"/>
      <c r="E22" s="31"/>
      <c r="F22" s="32">
        <v>-6983618.22</v>
      </c>
      <c r="G22" s="36">
        <f>-F22</f>
        <v>6983618.22</v>
      </c>
      <c r="H22" s="36">
        <v>230264.300032</v>
      </c>
      <c r="I22" s="36">
        <v>0</v>
      </c>
      <c r="J22" s="36">
        <f>G22+H22+I22</f>
        <v>7213882.520032</v>
      </c>
    </row>
    <row r="23" spans="1:10" ht="12.75" customHeight="1">
      <c r="A23" s="162" t="s">
        <v>558</v>
      </c>
      <c r="B23" s="30"/>
      <c r="C23" s="162" t="s">
        <v>545</v>
      </c>
      <c r="D23" s="572"/>
      <c r="E23" s="31"/>
      <c r="F23" s="32">
        <v>-25786860.51</v>
      </c>
      <c r="G23" s="36">
        <f>-F23</f>
        <v>25786860.51</v>
      </c>
      <c r="H23" s="36">
        <v>2043875.700102</v>
      </c>
      <c r="I23" s="36">
        <v>-4224771.06</v>
      </c>
      <c r="J23" s="36">
        <f>G23+H23+I23</f>
        <v>23605965.150102004</v>
      </c>
    </row>
    <row r="24" spans="1:10" ht="12.75" customHeight="1">
      <c r="A24" s="1"/>
      <c r="B24" s="30"/>
      <c r="C24" s="162"/>
      <c r="D24" s="162"/>
      <c r="E24" s="31"/>
      <c r="F24" s="32"/>
      <c r="G24" s="36"/>
      <c r="H24" s="36"/>
      <c r="I24" s="36"/>
      <c r="J24" s="36"/>
    </row>
    <row r="25" spans="1:10" s="170" customFormat="1" ht="12.75" customHeight="1">
      <c r="A25" s="29"/>
      <c r="B25" s="23"/>
      <c r="D25" s="161" t="s">
        <v>559</v>
      </c>
      <c r="E25" s="24"/>
      <c r="F25" s="27">
        <f>F21+F22+F23</f>
        <v>-85930792.18</v>
      </c>
      <c r="G25" s="39">
        <f>G21+G22+G23</f>
        <v>85930792.18</v>
      </c>
      <c r="H25" s="39">
        <f>H21+H22+H23</f>
        <v>5745917.540086</v>
      </c>
      <c r="I25" s="39">
        <f>I21+I22+I23</f>
        <v>-4227544.859999999</v>
      </c>
      <c r="J25" s="39">
        <f>J21+J22+J23</f>
        <v>87449164.86008601</v>
      </c>
    </row>
    <row r="26" spans="1:10" ht="12.75" customHeight="1">
      <c r="A26" s="1"/>
      <c r="B26" s="30"/>
      <c r="C26" s="162"/>
      <c r="D26" s="162"/>
      <c r="E26" s="31"/>
      <c r="F26" s="32"/>
      <c r="G26" s="32"/>
      <c r="H26" s="32"/>
      <c r="I26" s="32"/>
      <c r="J26" s="32"/>
    </row>
    <row r="27" spans="1:10" ht="12.75" customHeight="1">
      <c r="A27" s="29"/>
      <c r="B27" s="23" t="s">
        <v>560</v>
      </c>
      <c r="C27" s="162"/>
      <c r="D27" s="161"/>
      <c r="E27" s="24"/>
      <c r="F27" s="27">
        <f>F18-F25</f>
        <v>302998355.37</v>
      </c>
      <c r="G27" s="41">
        <f>G18-G25</f>
        <v>131136771.00999999</v>
      </c>
      <c r="H27" s="41">
        <f>H18-H25</f>
        <v>17617343.829914004</v>
      </c>
      <c r="I27" s="41">
        <f>I18-I25</f>
        <v>-317608.22000000067</v>
      </c>
      <c r="J27" s="41">
        <f>J18-J25</f>
        <v>148436506.619914</v>
      </c>
    </row>
    <row r="63" spans="6:7" ht="12.75">
      <c r="F63" s="592"/>
      <c r="G63" s="592"/>
    </row>
  </sheetData>
  <printOptions horizontalCentered="1"/>
  <pageMargins left="0.5" right="0.5" top="0.75" bottom="0.5" header="0.25" footer="0.5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xSplit="1" ySplit="6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6" sqref="A6"/>
    </sheetView>
  </sheetViews>
  <sheetFormatPr defaultColWidth="9.7109375" defaultRowHeight="12.75"/>
  <cols>
    <col min="1" max="1" width="70.7109375" style="596" customWidth="1"/>
    <col min="2" max="3" width="15.7109375" style="596" customWidth="1"/>
    <col min="4" max="4" width="14.8515625" style="596" customWidth="1"/>
    <col min="5" max="5" width="14.421875" style="596" customWidth="1"/>
    <col min="6" max="6" width="15.7109375" style="120" customWidth="1"/>
    <col min="7" max="7" width="15.7109375" style="596" customWidth="1"/>
    <col min="8" max="8" width="12.7109375" style="596" customWidth="1"/>
    <col min="9" max="9" width="13.7109375" style="596" customWidth="1"/>
    <col min="10" max="10" width="12.7109375" style="596" customWidth="1"/>
    <col min="11" max="11" width="14.7109375" style="596" customWidth="1"/>
    <col min="12" max="16384" width="9.7109375" style="596" customWidth="1"/>
  </cols>
  <sheetData>
    <row r="1" spans="1:7" ht="15.75" customHeight="1">
      <c r="A1" s="593" t="s">
        <v>561</v>
      </c>
      <c r="B1" s="594" t="s">
        <v>562</v>
      </c>
      <c r="C1" s="594"/>
      <c r="D1" s="594"/>
      <c r="E1" s="594"/>
      <c r="F1" s="594"/>
      <c r="G1" s="595"/>
    </row>
    <row r="2" spans="1:7" ht="15.75" customHeight="1">
      <c r="A2" s="413" t="s">
        <v>563</v>
      </c>
      <c r="B2" s="416" t="s">
        <v>562</v>
      </c>
      <c r="C2" s="416"/>
      <c r="D2" s="416"/>
      <c r="E2" s="416"/>
      <c r="F2" s="416"/>
      <c r="G2" s="135"/>
    </row>
    <row r="3" spans="1:7" ht="15.75" customHeight="1">
      <c r="A3" s="597" t="s">
        <v>564</v>
      </c>
      <c r="B3" s="598"/>
      <c r="C3" s="416"/>
      <c r="D3" s="416"/>
      <c r="E3" s="416"/>
      <c r="F3" s="416"/>
      <c r="G3" s="135"/>
    </row>
    <row r="4" spans="1:7" ht="12.75" customHeight="1">
      <c r="A4" s="599"/>
      <c r="B4" s="598"/>
      <c r="C4" s="416"/>
      <c r="D4" s="416"/>
      <c r="E4" s="416"/>
      <c r="F4" s="416"/>
      <c r="G4" s="135"/>
    </row>
    <row r="5" spans="1:8" s="120" customFormat="1" ht="12.75" customHeight="1">
      <c r="A5" s="600" t="s">
        <v>565</v>
      </c>
      <c r="B5" s="601" t="s">
        <v>566</v>
      </c>
      <c r="C5" s="602" t="s">
        <v>1960</v>
      </c>
      <c r="D5" s="603"/>
      <c r="E5" s="603"/>
      <c r="F5" s="603"/>
      <c r="G5" s="604" t="s">
        <v>1960</v>
      </c>
      <c r="H5" s="605"/>
    </row>
    <row r="6" spans="1:8" ht="12.75" customHeight="1">
      <c r="A6" s="606" t="s">
        <v>565</v>
      </c>
      <c r="B6" s="607" t="s">
        <v>567</v>
      </c>
      <c r="C6" s="608">
        <v>37803</v>
      </c>
      <c r="D6" s="609" t="s">
        <v>537</v>
      </c>
      <c r="E6" s="609" t="s">
        <v>568</v>
      </c>
      <c r="F6" s="610" t="s">
        <v>569</v>
      </c>
      <c r="G6" s="611">
        <v>38168</v>
      </c>
      <c r="H6" s="612"/>
    </row>
    <row r="7" spans="1:8" ht="12.75" customHeight="1">
      <c r="A7" s="613" t="s">
        <v>570</v>
      </c>
      <c r="B7" s="614" t="s">
        <v>562</v>
      </c>
      <c r="C7" s="614"/>
      <c r="D7" s="614"/>
      <c r="E7" s="614"/>
      <c r="F7" s="614"/>
      <c r="G7" s="614"/>
      <c r="H7" s="615"/>
    </row>
    <row r="8" spans="1:8" s="120" customFormat="1" ht="12.75" customHeight="1">
      <c r="A8" s="616" t="s">
        <v>565</v>
      </c>
      <c r="B8" s="617" t="s">
        <v>562</v>
      </c>
      <c r="C8" s="617"/>
      <c r="D8" s="617"/>
      <c r="E8" s="617"/>
      <c r="F8" s="617"/>
      <c r="G8" s="617"/>
      <c r="H8" s="618"/>
    </row>
    <row r="9" spans="1:8" ht="12.75" customHeight="1">
      <c r="A9" s="619" t="s">
        <v>571</v>
      </c>
      <c r="B9" s="620"/>
      <c r="C9" s="620"/>
      <c r="D9" s="620"/>
      <c r="E9" s="620"/>
      <c r="F9" s="617"/>
      <c r="G9" s="620"/>
      <c r="H9" s="615"/>
    </row>
    <row r="10" spans="1:8" ht="12.75" customHeight="1">
      <c r="A10" s="619" t="s">
        <v>572</v>
      </c>
      <c r="B10" s="621">
        <f>2221111.68+194808.53+6930636.38</f>
        <v>9346556.59</v>
      </c>
      <c r="C10" s="621">
        <v>7786566.14</v>
      </c>
      <c r="D10" s="621">
        <v>0</v>
      </c>
      <c r="E10" s="621">
        <v>-7574448.63</v>
      </c>
      <c r="F10" s="622">
        <v>212117.51</v>
      </c>
      <c r="G10" s="621">
        <f>C10-F10+E10+D10</f>
        <v>0</v>
      </c>
      <c r="H10" s="615"/>
    </row>
    <row r="11" spans="1:8" ht="12.75" customHeight="1">
      <c r="A11" s="619"/>
      <c r="B11" s="623"/>
      <c r="C11" s="623"/>
      <c r="D11" s="623"/>
      <c r="E11" s="623"/>
      <c r="F11" s="624"/>
      <c r="G11" s="623"/>
      <c r="H11" s="615"/>
    </row>
    <row r="12" spans="1:8" ht="12.75" customHeight="1">
      <c r="A12" s="619" t="s">
        <v>573</v>
      </c>
      <c r="B12" s="623"/>
      <c r="C12" s="623"/>
      <c r="D12" s="623"/>
      <c r="E12" s="623"/>
      <c r="F12" s="624"/>
      <c r="G12" s="623"/>
      <c r="H12" s="615"/>
    </row>
    <row r="13" spans="1:8" ht="12.75" customHeight="1">
      <c r="A13" s="619" t="s">
        <v>574</v>
      </c>
      <c r="B13" s="623">
        <v>500000</v>
      </c>
      <c r="C13" s="623">
        <v>500000</v>
      </c>
      <c r="D13" s="623">
        <v>0</v>
      </c>
      <c r="E13" s="623">
        <v>0</v>
      </c>
      <c r="F13" s="624">
        <v>0</v>
      </c>
      <c r="G13" s="623">
        <f>C13-F13-E13+D13</f>
        <v>500000</v>
      </c>
      <c r="H13" s="615"/>
    </row>
    <row r="14" spans="1:8" ht="12.75" customHeight="1">
      <c r="A14" s="619"/>
      <c r="B14" s="623"/>
      <c r="C14" s="623"/>
      <c r="D14" s="623"/>
      <c r="E14" s="623"/>
      <c r="F14" s="624"/>
      <c r="G14" s="623"/>
      <c r="H14" s="615"/>
    </row>
    <row r="15" spans="1:8" ht="12.75" customHeight="1">
      <c r="A15" s="619" t="s">
        <v>575</v>
      </c>
      <c r="B15" s="623"/>
      <c r="C15" s="623"/>
      <c r="D15" s="623"/>
      <c r="E15" s="623"/>
      <c r="F15" s="624"/>
      <c r="G15" s="623"/>
      <c r="H15" s="615"/>
    </row>
    <row r="16" spans="1:8" ht="12.75" customHeight="1">
      <c r="A16" s="619" t="s">
        <v>576</v>
      </c>
      <c r="B16" s="623">
        <v>0</v>
      </c>
      <c r="C16" s="623">
        <v>0</v>
      </c>
      <c r="D16" s="623">
        <v>25050000</v>
      </c>
      <c r="E16" s="623">
        <v>0</v>
      </c>
      <c r="F16" s="624">
        <v>0</v>
      </c>
      <c r="G16" s="623">
        <f>C16-F16-E16+D16</f>
        <v>25050000</v>
      </c>
      <c r="H16" s="615"/>
    </row>
    <row r="17" spans="1:8" ht="12.75" customHeight="1">
      <c r="A17" s="619"/>
      <c r="B17" s="623"/>
      <c r="C17" s="623"/>
      <c r="D17" s="623"/>
      <c r="E17" s="623"/>
      <c r="F17" s="624"/>
      <c r="G17" s="623"/>
      <c r="H17" s="615"/>
    </row>
    <row r="18" spans="1:8" ht="12.75" customHeight="1">
      <c r="A18" s="619" t="s">
        <v>575</v>
      </c>
      <c r="B18" s="623"/>
      <c r="C18" s="623"/>
      <c r="D18" s="623"/>
      <c r="E18" s="623"/>
      <c r="F18" s="624"/>
      <c r="G18" s="623"/>
      <c r="H18" s="615"/>
    </row>
    <row r="19" spans="1:8" ht="12.75" customHeight="1">
      <c r="A19" s="619" t="s">
        <v>577</v>
      </c>
      <c r="B19" s="623">
        <v>0</v>
      </c>
      <c r="C19" s="623">
        <v>0</v>
      </c>
      <c r="D19" s="623">
        <v>7637260.13</v>
      </c>
      <c r="E19" s="623">
        <v>0</v>
      </c>
      <c r="F19" s="624">
        <v>0</v>
      </c>
      <c r="G19" s="623">
        <f>C19-F19-E19+D19</f>
        <v>7637260.13</v>
      </c>
      <c r="H19" s="615"/>
    </row>
    <row r="20" spans="1:8" ht="12.75" customHeight="1">
      <c r="A20" s="619"/>
      <c r="B20" s="623"/>
      <c r="C20" s="623"/>
      <c r="D20" s="623"/>
      <c r="E20" s="623"/>
      <c r="F20" s="624"/>
      <c r="G20" s="623"/>
      <c r="H20" s="615"/>
    </row>
    <row r="21" spans="1:8" ht="12.75" customHeight="1">
      <c r="A21" s="619" t="s">
        <v>578</v>
      </c>
      <c r="B21" s="623">
        <v>0</v>
      </c>
      <c r="C21" s="623">
        <v>-84483.95</v>
      </c>
      <c r="D21" s="623">
        <f>745256.62+22389.68+91415.57+2746.39</f>
        <v>861808.2600000001</v>
      </c>
      <c r="E21" s="623">
        <v>82952</v>
      </c>
      <c r="F21" s="624">
        <f>-22389.68-2746.39+1531.95</f>
        <v>-23604.12</v>
      </c>
      <c r="G21" s="623">
        <f>SUM(B21:F21)</f>
        <v>836672.1900000002</v>
      </c>
      <c r="H21" s="615"/>
    </row>
    <row r="22" spans="1:8" ht="12.75" customHeight="1">
      <c r="A22" s="619" t="s">
        <v>579</v>
      </c>
      <c r="B22" s="623">
        <v>0</v>
      </c>
      <c r="C22" s="623">
        <v>0</v>
      </c>
      <c r="D22" s="623">
        <v>0</v>
      </c>
      <c r="E22" s="623">
        <v>-246584</v>
      </c>
      <c r="F22" s="624">
        <f>7192.03</f>
        <v>7192.03</v>
      </c>
      <c r="G22" s="623">
        <f>SUM(B22:F22)</f>
        <v>-239391.97</v>
      </c>
      <c r="H22" s="615"/>
    </row>
    <row r="23" spans="1:8" ht="12.75" customHeight="1">
      <c r="A23" s="619" t="s">
        <v>565</v>
      </c>
      <c r="B23" s="623"/>
      <c r="C23" s="623"/>
      <c r="D23" s="623"/>
      <c r="E23" s="623"/>
      <c r="F23" s="624"/>
      <c r="G23" s="623"/>
      <c r="H23" s="615"/>
    </row>
    <row r="24" spans="1:8" s="628" customFormat="1" ht="12.75" customHeight="1">
      <c r="A24" s="625" t="s">
        <v>580</v>
      </c>
      <c r="B24" s="626">
        <f aca="true" t="shared" si="0" ref="B24:G24">SUM(B9:B23)</f>
        <v>9846556.59</v>
      </c>
      <c r="C24" s="626">
        <f t="shared" si="0"/>
        <v>8202082.1899999995</v>
      </c>
      <c r="D24" s="627">
        <f t="shared" si="0"/>
        <v>33549068.39</v>
      </c>
      <c r="E24" s="627">
        <f t="shared" si="0"/>
        <v>-7738080.63</v>
      </c>
      <c r="F24" s="627">
        <f t="shared" si="0"/>
        <v>195705.42</v>
      </c>
      <c r="G24" s="626">
        <f t="shared" si="0"/>
        <v>33784540.35</v>
      </c>
      <c r="H24" s="612"/>
    </row>
    <row r="25" spans="1:8" ht="12.75" customHeight="1">
      <c r="A25" s="629"/>
      <c r="B25" s="629"/>
      <c r="C25" s="629"/>
      <c r="D25" s="629"/>
      <c r="E25" s="629"/>
      <c r="F25" s="630"/>
      <c r="G25" s="629"/>
      <c r="H25" s="615"/>
    </row>
    <row r="26" spans="1:8" ht="12.75" customHeight="1">
      <c r="A26" s="629"/>
      <c r="B26" s="629"/>
      <c r="C26" s="629"/>
      <c r="D26" s="629"/>
      <c r="E26" s="629"/>
      <c r="F26" s="630"/>
      <c r="G26" s="629"/>
      <c r="H26" s="615"/>
    </row>
    <row r="27" spans="1:8" ht="12.75" customHeight="1">
      <c r="A27" s="629"/>
      <c r="B27" s="629"/>
      <c r="C27" s="629"/>
      <c r="D27" s="629"/>
      <c r="E27" s="629"/>
      <c r="F27" s="631"/>
      <c r="G27" s="629"/>
      <c r="H27" s="615"/>
    </row>
    <row r="28" spans="1:8" ht="12.75" customHeight="1">
      <c r="A28" s="629"/>
      <c r="B28" s="629"/>
      <c r="C28" s="629"/>
      <c r="D28" s="629"/>
      <c r="E28" s="629"/>
      <c r="F28" s="632"/>
      <c r="G28" s="633"/>
      <c r="H28" s="615"/>
    </row>
    <row r="29" ht="12.75" customHeight="1"/>
    <row r="30" spans="6:7" ht="12.75" customHeight="1">
      <c r="F30" s="634"/>
      <c r="G30" s="635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printOptions horizontalCentered="1"/>
  <pageMargins left="0.5" right="0.5" top="0.75" bottom="0.5" header="0.5" footer="0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516" hidden="1" customWidth="1"/>
    <col min="2" max="2" width="80.7109375" style="516" customWidth="1"/>
    <col min="3" max="3" width="19.7109375" style="516" hidden="1" customWidth="1"/>
    <col min="4" max="6" width="20.7109375" style="636" customWidth="1"/>
    <col min="7" max="7" width="20.7109375" style="637" customWidth="1"/>
    <col min="8" max="8" width="9.140625" style="516" customWidth="1"/>
    <col min="9" max="9" width="0" style="516" hidden="1" customWidth="1"/>
    <col min="10" max="16384" width="9.140625" style="516" customWidth="1"/>
  </cols>
  <sheetData>
    <row r="1" spans="1:7" ht="12.75" hidden="1">
      <c r="A1" s="516" t="s">
        <v>780</v>
      </c>
      <c r="B1" s="516" t="s">
        <v>2536</v>
      </c>
      <c r="C1" s="516" t="s">
        <v>581</v>
      </c>
      <c r="D1" s="636" t="s">
        <v>582</v>
      </c>
      <c r="E1" s="636" t="s">
        <v>583</v>
      </c>
      <c r="F1" s="636" t="s">
        <v>584</v>
      </c>
      <c r="G1" s="637" t="s">
        <v>2108</v>
      </c>
    </row>
    <row r="2" spans="2:22" s="130" customFormat="1" ht="15.75" customHeight="1">
      <c r="B2" s="638" t="str">
        <f>"University of Missouri - "&amp;V4</f>
        <v>University of Missouri - Rolla</v>
      </c>
      <c r="C2" s="639"/>
      <c r="D2" s="406"/>
      <c r="E2" s="406"/>
      <c r="F2" s="406"/>
      <c r="G2" s="640"/>
      <c r="I2" s="130" t="s">
        <v>2276</v>
      </c>
      <c r="V2" s="130" t="s">
        <v>585</v>
      </c>
    </row>
    <row r="3" spans="2:22" s="130" customFormat="1" ht="15.75" customHeight="1">
      <c r="B3" s="641" t="s">
        <v>586</v>
      </c>
      <c r="C3" s="642"/>
      <c r="D3" s="471"/>
      <c r="E3" s="471"/>
      <c r="F3" s="471"/>
      <c r="G3" s="643"/>
      <c r="V3" s="130" t="s">
        <v>587</v>
      </c>
    </row>
    <row r="4" spans="2:22" ht="15.75" customHeight="1">
      <c r="B4" s="644" t="str">
        <f>"As of "&amp;TEXT(I5,"MMMM DD, YYY")</f>
        <v>As of June 30, 2004</v>
      </c>
      <c r="C4" s="645"/>
      <c r="D4" s="417"/>
      <c r="E4" s="417"/>
      <c r="F4" s="417"/>
      <c r="G4" s="646"/>
      <c r="V4" s="516" t="s">
        <v>2276</v>
      </c>
    </row>
    <row r="5" spans="2:22" ht="12.75" customHeight="1">
      <c r="B5" s="647"/>
      <c r="C5" s="416"/>
      <c r="D5" s="417"/>
      <c r="E5" s="417"/>
      <c r="F5" s="417"/>
      <c r="G5" s="646"/>
      <c r="I5" s="516" t="s">
        <v>2275</v>
      </c>
      <c r="V5" s="648" t="s">
        <v>2275</v>
      </c>
    </row>
    <row r="6" spans="1:7" s="170" customFormat="1" ht="30" customHeight="1">
      <c r="A6" s="170" t="s">
        <v>2107</v>
      </c>
      <c r="B6" s="649" t="s">
        <v>588</v>
      </c>
      <c r="C6" s="650" t="s">
        <v>589</v>
      </c>
      <c r="D6" s="429" t="s">
        <v>943</v>
      </c>
      <c r="E6" s="429" t="s">
        <v>590</v>
      </c>
      <c r="F6" s="429" t="s">
        <v>591</v>
      </c>
      <c r="G6" s="651" t="s">
        <v>592</v>
      </c>
    </row>
    <row r="7" spans="2:7" s="170" customFormat="1" ht="12.75" customHeight="1">
      <c r="B7" s="649"/>
      <c r="C7" s="650"/>
      <c r="D7" s="429"/>
      <c r="E7" s="429"/>
      <c r="F7" s="429"/>
      <c r="G7" s="651"/>
    </row>
    <row r="8" spans="1:7" ht="12.75" outlineLevel="1">
      <c r="A8" s="516" t="s">
        <v>593</v>
      </c>
      <c r="B8" s="395" t="s">
        <v>594</v>
      </c>
      <c r="C8" s="395" t="s">
        <v>595</v>
      </c>
      <c r="D8" s="652">
        <v>0</v>
      </c>
      <c r="E8" s="652">
        <v>3698</v>
      </c>
      <c r="F8" s="652">
        <v>3698</v>
      </c>
      <c r="G8" s="652">
        <f aca="true" t="shared" si="0" ref="G8:G39">(D8+E8-F8)</f>
        <v>0</v>
      </c>
    </row>
    <row r="9" spans="1:7" ht="12.75" outlineLevel="1">
      <c r="A9" s="516" t="s">
        <v>596</v>
      </c>
      <c r="B9" s="395" t="s">
        <v>597</v>
      </c>
      <c r="C9" s="395" t="s">
        <v>598</v>
      </c>
      <c r="D9" s="449">
        <v>450</v>
      </c>
      <c r="E9" s="449">
        <v>550306</v>
      </c>
      <c r="F9" s="449">
        <v>550756</v>
      </c>
      <c r="G9" s="449">
        <f t="shared" si="0"/>
        <v>0</v>
      </c>
    </row>
    <row r="10" spans="1:7" ht="12.75" outlineLevel="1">
      <c r="A10" s="516" t="s">
        <v>599</v>
      </c>
      <c r="B10" s="395" t="s">
        <v>600</v>
      </c>
      <c r="C10" s="395" t="s">
        <v>601</v>
      </c>
      <c r="D10" s="449">
        <v>15900</v>
      </c>
      <c r="E10" s="449">
        <v>854001.33</v>
      </c>
      <c r="F10" s="449">
        <v>864818.93</v>
      </c>
      <c r="G10" s="449">
        <f t="shared" si="0"/>
        <v>5082.399999999907</v>
      </c>
    </row>
    <row r="11" spans="1:7" ht="12.75" outlineLevel="1">
      <c r="A11" s="516" t="s">
        <v>602</v>
      </c>
      <c r="B11" s="395" t="s">
        <v>603</v>
      </c>
      <c r="C11" s="395" t="s">
        <v>604</v>
      </c>
      <c r="D11" s="449">
        <v>2064</v>
      </c>
      <c r="E11" s="449">
        <v>0</v>
      </c>
      <c r="F11" s="449">
        <v>0</v>
      </c>
      <c r="G11" s="449">
        <f t="shared" si="0"/>
        <v>2064</v>
      </c>
    </row>
    <row r="12" spans="1:7" ht="12.75" outlineLevel="1">
      <c r="A12" s="516" t="s">
        <v>605</v>
      </c>
      <c r="B12" s="395" t="s">
        <v>606</v>
      </c>
      <c r="C12" s="395" t="s">
        <v>607</v>
      </c>
      <c r="D12" s="449">
        <v>0</v>
      </c>
      <c r="E12" s="449">
        <v>1524000</v>
      </c>
      <c r="F12" s="449">
        <v>1524000</v>
      </c>
      <c r="G12" s="449">
        <f t="shared" si="0"/>
        <v>0</v>
      </c>
    </row>
    <row r="13" spans="1:7" ht="12.75" outlineLevel="1">
      <c r="A13" s="516" t="s">
        <v>608</v>
      </c>
      <c r="B13" s="395" t="s">
        <v>609</v>
      </c>
      <c r="C13" s="395" t="s">
        <v>610</v>
      </c>
      <c r="D13" s="449">
        <v>0</v>
      </c>
      <c r="E13" s="449">
        <v>130500</v>
      </c>
      <c r="F13" s="449">
        <v>130500</v>
      </c>
      <c r="G13" s="449">
        <f t="shared" si="0"/>
        <v>0</v>
      </c>
    </row>
    <row r="14" spans="1:7" ht="12.75" outlineLevel="1">
      <c r="A14" s="516" t="s">
        <v>611</v>
      </c>
      <c r="B14" s="395" t="s">
        <v>612</v>
      </c>
      <c r="C14" s="395" t="s">
        <v>613</v>
      </c>
      <c r="D14" s="449">
        <v>1</v>
      </c>
      <c r="E14" s="449">
        <v>0</v>
      </c>
      <c r="F14" s="449">
        <v>0</v>
      </c>
      <c r="G14" s="449">
        <f t="shared" si="0"/>
        <v>1</v>
      </c>
    </row>
    <row r="15" spans="1:7" ht="12.75" outlineLevel="1">
      <c r="A15" s="516" t="s">
        <v>614</v>
      </c>
      <c r="B15" s="395" t="s">
        <v>615</v>
      </c>
      <c r="C15" s="395" t="s">
        <v>616</v>
      </c>
      <c r="D15" s="449">
        <v>-1605</v>
      </c>
      <c r="E15" s="449">
        <v>0</v>
      </c>
      <c r="F15" s="449">
        <v>450</v>
      </c>
      <c r="G15" s="449">
        <f t="shared" si="0"/>
        <v>-2055</v>
      </c>
    </row>
    <row r="16" spans="1:7" ht="12.75" outlineLevel="1">
      <c r="A16" s="516" t="s">
        <v>617</v>
      </c>
      <c r="B16" s="395" t="s">
        <v>618</v>
      </c>
      <c r="C16" s="395" t="s">
        <v>619</v>
      </c>
      <c r="D16" s="449">
        <v>178507</v>
      </c>
      <c r="E16" s="449">
        <v>277191</v>
      </c>
      <c r="F16" s="449">
        <v>458407</v>
      </c>
      <c r="G16" s="449">
        <f t="shared" si="0"/>
        <v>-2709</v>
      </c>
    </row>
    <row r="17" spans="1:7" ht="12.75" outlineLevel="1">
      <c r="A17" s="516" t="s">
        <v>620</v>
      </c>
      <c r="B17" s="395" t="s">
        <v>621</v>
      </c>
      <c r="C17" s="395" t="s">
        <v>622</v>
      </c>
      <c r="D17" s="449">
        <v>-192.49</v>
      </c>
      <c r="E17" s="449">
        <v>1479713.66</v>
      </c>
      <c r="F17" s="449">
        <v>1485743.77</v>
      </c>
      <c r="G17" s="449">
        <f t="shared" si="0"/>
        <v>-6222.600000000093</v>
      </c>
    </row>
    <row r="18" spans="1:7" ht="12.75" outlineLevel="1">
      <c r="A18" s="516" t="s">
        <v>623</v>
      </c>
      <c r="B18" s="395" t="s">
        <v>624</v>
      </c>
      <c r="C18" s="395" t="s">
        <v>625</v>
      </c>
      <c r="D18" s="449">
        <v>0</v>
      </c>
      <c r="E18" s="449">
        <v>11377332</v>
      </c>
      <c r="F18" s="449">
        <v>11377332</v>
      </c>
      <c r="G18" s="449">
        <f t="shared" si="0"/>
        <v>0</v>
      </c>
    </row>
    <row r="19" spans="1:7" ht="12.75" outlineLevel="1">
      <c r="A19" s="516" t="s">
        <v>626</v>
      </c>
      <c r="B19" s="395" t="s">
        <v>627</v>
      </c>
      <c r="C19" s="395" t="s">
        <v>628</v>
      </c>
      <c r="D19" s="449">
        <v>0</v>
      </c>
      <c r="E19" s="449">
        <v>1225.11</v>
      </c>
      <c r="F19" s="449">
        <v>0</v>
      </c>
      <c r="G19" s="449">
        <f t="shared" si="0"/>
        <v>1225.11</v>
      </c>
    </row>
    <row r="20" spans="1:7" ht="12.75" outlineLevel="1">
      <c r="A20" s="516" t="s">
        <v>629</v>
      </c>
      <c r="B20" s="395" t="s">
        <v>630</v>
      </c>
      <c r="C20" s="395" t="s">
        <v>631</v>
      </c>
      <c r="D20" s="449">
        <v>0</v>
      </c>
      <c r="E20" s="449">
        <v>412835</v>
      </c>
      <c r="F20" s="449">
        <v>412835</v>
      </c>
      <c r="G20" s="449">
        <f t="shared" si="0"/>
        <v>0</v>
      </c>
    </row>
    <row r="21" spans="1:7" ht="12.75" outlineLevel="1">
      <c r="A21" s="516" t="s">
        <v>632</v>
      </c>
      <c r="B21" s="395" t="s">
        <v>633</v>
      </c>
      <c r="C21" s="395" t="s">
        <v>634</v>
      </c>
      <c r="D21" s="449">
        <v>0</v>
      </c>
      <c r="E21" s="449">
        <v>53610.63</v>
      </c>
      <c r="F21" s="449">
        <v>0</v>
      </c>
      <c r="G21" s="449">
        <f t="shared" si="0"/>
        <v>53610.63</v>
      </c>
    </row>
    <row r="22" spans="1:7" ht="12.75" outlineLevel="1">
      <c r="A22" s="516" t="s">
        <v>635</v>
      </c>
      <c r="B22" s="395" t="s">
        <v>636</v>
      </c>
      <c r="C22" s="395" t="s">
        <v>637</v>
      </c>
      <c r="D22" s="449">
        <v>136</v>
      </c>
      <c r="E22" s="449">
        <v>134.75</v>
      </c>
      <c r="F22" s="449">
        <v>0</v>
      </c>
      <c r="G22" s="449">
        <f t="shared" si="0"/>
        <v>270.75</v>
      </c>
    </row>
    <row r="23" spans="1:7" ht="12.75" outlineLevel="1">
      <c r="A23" s="516" t="s">
        <v>638</v>
      </c>
      <c r="B23" s="395" t="s">
        <v>639</v>
      </c>
      <c r="C23" s="395" t="s">
        <v>640</v>
      </c>
      <c r="D23" s="449">
        <v>12875.55</v>
      </c>
      <c r="E23" s="449">
        <v>18081.27</v>
      </c>
      <c r="F23" s="449">
        <v>5448.39</v>
      </c>
      <c r="G23" s="449">
        <f t="shared" si="0"/>
        <v>25508.43</v>
      </c>
    </row>
    <row r="24" spans="1:7" ht="12.75" outlineLevel="1">
      <c r="A24" s="516" t="s">
        <v>641</v>
      </c>
      <c r="B24" s="395" t="s">
        <v>642</v>
      </c>
      <c r="C24" s="395" t="s">
        <v>643</v>
      </c>
      <c r="D24" s="449">
        <v>951.71</v>
      </c>
      <c r="E24" s="449">
        <v>-40</v>
      </c>
      <c r="F24" s="449">
        <v>0</v>
      </c>
      <c r="G24" s="449">
        <f t="shared" si="0"/>
        <v>911.71</v>
      </c>
    </row>
    <row r="25" spans="1:7" ht="12.75" outlineLevel="1">
      <c r="A25" s="516" t="s">
        <v>644</v>
      </c>
      <c r="B25" s="395" t="s">
        <v>645</v>
      </c>
      <c r="C25" s="395" t="s">
        <v>646</v>
      </c>
      <c r="D25" s="449">
        <v>701.58</v>
      </c>
      <c r="E25" s="449">
        <v>0</v>
      </c>
      <c r="F25" s="449">
        <v>105</v>
      </c>
      <c r="G25" s="449">
        <f t="shared" si="0"/>
        <v>596.58</v>
      </c>
    </row>
    <row r="26" spans="1:7" ht="12.75" outlineLevel="1">
      <c r="A26" s="516" t="s">
        <v>647</v>
      </c>
      <c r="B26" s="395" t="s">
        <v>648</v>
      </c>
      <c r="C26" s="395" t="s">
        <v>649</v>
      </c>
      <c r="D26" s="449">
        <v>0</v>
      </c>
      <c r="E26" s="449">
        <v>0</v>
      </c>
      <c r="F26" s="449">
        <v>129.86</v>
      </c>
      <c r="G26" s="449">
        <f t="shared" si="0"/>
        <v>-129.86</v>
      </c>
    </row>
    <row r="27" spans="1:7" ht="12.75" outlineLevel="1">
      <c r="A27" s="516" t="s">
        <v>650</v>
      </c>
      <c r="B27" s="395" t="s">
        <v>651</v>
      </c>
      <c r="C27" s="395" t="s">
        <v>652</v>
      </c>
      <c r="D27" s="449">
        <v>405</v>
      </c>
      <c r="E27" s="449">
        <v>-5</v>
      </c>
      <c r="F27" s="449">
        <v>44.9</v>
      </c>
      <c r="G27" s="449">
        <f t="shared" si="0"/>
        <v>355.1</v>
      </c>
    </row>
    <row r="28" spans="1:7" ht="12.75" outlineLevel="1">
      <c r="A28" s="516" t="s">
        <v>653</v>
      </c>
      <c r="B28" s="395" t="s">
        <v>654</v>
      </c>
      <c r="C28" s="395" t="s">
        <v>655</v>
      </c>
      <c r="D28" s="449">
        <v>1055.46</v>
      </c>
      <c r="E28" s="449">
        <v>0</v>
      </c>
      <c r="F28" s="449">
        <v>150</v>
      </c>
      <c r="G28" s="449">
        <f t="shared" si="0"/>
        <v>905.46</v>
      </c>
    </row>
    <row r="29" spans="1:7" ht="12.75" outlineLevel="1">
      <c r="A29" s="516" t="s">
        <v>656</v>
      </c>
      <c r="B29" s="395" t="s">
        <v>657</v>
      </c>
      <c r="C29" s="395" t="s">
        <v>658</v>
      </c>
      <c r="D29" s="449">
        <v>500</v>
      </c>
      <c r="E29" s="449">
        <v>0</v>
      </c>
      <c r="F29" s="449">
        <v>0</v>
      </c>
      <c r="G29" s="449">
        <f t="shared" si="0"/>
        <v>500</v>
      </c>
    </row>
    <row r="30" spans="1:7" ht="12.75" outlineLevel="1">
      <c r="A30" s="516" t="s">
        <v>659</v>
      </c>
      <c r="B30" s="395" t="s">
        <v>660</v>
      </c>
      <c r="C30" s="395" t="s">
        <v>661</v>
      </c>
      <c r="D30" s="449">
        <v>1137.39</v>
      </c>
      <c r="E30" s="449">
        <v>3411</v>
      </c>
      <c r="F30" s="449">
        <v>3870.65</v>
      </c>
      <c r="G30" s="449">
        <f t="shared" si="0"/>
        <v>677.7400000000002</v>
      </c>
    </row>
    <row r="31" spans="1:7" ht="12.75" outlineLevel="1">
      <c r="A31" s="516" t="s">
        <v>662</v>
      </c>
      <c r="B31" s="395" t="s">
        <v>663</v>
      </c>
      <c r="C31" s="395" t="s">
        <v>664</v>
      </c>
      <c r="D31" s="449">
        <v>5266.8</v>
      </c>
      <c r="E31" s="449">
        <v>0</v>
      </c>
      <c r="F31" s="449">
        <v>900.02</v>
      </c>
      <c r="G31" s="449">
        <f t="shared" si="0"/>
        <v>4366.780000000001</v>
      </c>
    </row>
    <row r="32" spans="1:7" ht="12.75" outlineLevel="1">
      <c r="A32" s="516" t="s">
        <v>665</v>
      </c>
      <c r="B32" s="395" t="s">
        <v>666</v>
      </c>
      <c r="C32" s="395" t="s">
        <v>667</v>
      </c>
      <c r="D32" s="449">
        <v>72.12</v>
      </c>
      <c r="E32" s="449">
        <v>0</v>
      </c>
      <c r="F32" s="449">
        <v>72.12</v>
      </c>
      <c r="G32" s="449">
        <f t="shared" si="0"/>
        <v>0</v>
      </c>
    </row>
    <row r="33" spans="1:7" ht="12.75" outlineLevel="1">
      <c r="A33" s="516" t="s">
        <v>668</v>
      </c>
      <c r="B33" s="395" t="s">
        <v>669</v>
      </c>
      <c r="C33" s="395" t="s">
        <v>670</v>
      </c>
      <c r="D33" s="449">
        <v>100</v>
      </c>
      <c r="E33" s="449">
        <v>0</v>
      </c>
      <c r="F33" s="449">
        <v>0</v>
      </c>
      <c r="G33" s="449">
        <f t="shared" si="0"/>
        <v>100</v>
      </c>
    </row>
    <row r="34" spans="1:7" ht="12.75" outlineLevel="1">
      <c r="A34" s="516" t="s">
        <v>671</v>
      </c>
      <c r="B34" s="395" t="s">
        <v>672</v>
      </c>
      <c r="C34" s="395" t="s">
        <v>673</v>
      </c>
      <c r="D34" s="449">
        <v>-395</v>
      </c>
      <c r="E34" s="449">
        <v>0</v>
      </c>
      <c r="F34" s="449">
        <v>0</v>
      </c>
      <c r="G34" s="449">
        <f t="shared" si="0"/>
        <v>-395</v>
      </c>
    </row>
    <row r="35" spans="1:7" ht="12.75" outlineLevel="1">
      <c r="A35" s="516" t="s">
        <v>674</v>
      </c>
      <c r="B35" s="395" t="s">
        <v>675</v>
      </c>
      <c r="C35" s="395" t="s">
        <v>676</v>
      </c>
      <c r="D35" s="449">
        <v>2529.46</v>
      </c>
      <c r="E35" s="449">
        <v>318.87</v>
      </c>
      <c r="F35" s="449">
        <v>2603.76</v>
      </c>
      <c r="G35" s="449">
        <f t="shared" si="0"/>
        <v>244.5699999999997</v>
      </c>
    </row>
    <row r="36" spans="1:7" ht="12.75" outlineLevel="1">
      <c r="A36" s="516" t="s">
        <v>677</v>
      </c>
      <c r="B36" s="395" t="s">
        <v>678</v>
      </c>
      <c r="C36" s="395" t="s">
        <v>679</v>
      </c>
      <c r="D36" s="449">
        <v>17060.87</v>
      </c>
      <c r="E36" s="449">
        <v>1250</v>
      </c>
      <c r="F36" s="449">
        <v>0</v>
      </c>
      <c r="G36" s="449">
        <f t="shared" si="0"/>
        <v>18310.87</v>
      </c>
    </row>
    <row r="37" spans="1:7" ht="12.75" outlineLevel="1">
      <c r="A37" s="516" t="s">
        <v>680</v>
      </c>
      <c r="B37" s="395" t="s">
        <v>681</v>
      </c>
      <c r="C37" s="395" t="s">
        <v>682</v>
      </c>
      <c r="D37" s="449">
        <v>16153.82</v>
      </c>
      <c r="E37" s="449">
        <v>-1213.14</v>
      </c>
      <c r="F37" s="449">
        <v>0</v>
      </c>
      <c r="G37" s="449">
        <f t="shared" si="0"/>
        <v>14940.68</v>
      </c>
    </row>
    <row r="38" spans="1:7" ht="12.75" outlineLevel="1">
      <c r="A38" s="516" t="s">
        <v>683</v>
      </c>
      <c r="B38" s="395" t="s">
        <v>684</v>
      </c>
      <c r="C38" s="395" t="s">
        <v>685</v>
      </c>
      <c r="D38" s="449">
        <v>2510.95</v>
      </c>
      <c r="E38" s="449">
        <v>-1323.93</v>
      </c>
      <c r="F38" s="449">
        <v>0</v>
      </c>
      <c r="G38" s="449">
        <f t="shared" si="0"/>
        <v>1187.0199999999998</v>
      </c>
    </row>
    <row r="39" spans="1:7" ht="12.75" outlineLevel="1">
      <c r="A39" s="516" t="s">
        <v>686</v>
      </c>
      <c r="B39" s="395" t="s">
        <v>687</v>
      </c>
      <c r="C39" s="395" t="s">
        <v>688</v>
      </c>
      <c r="D39" s="449">
        <v>358.34</v>
      </c>
      <c r="E39" s="449">
        <v>-358.34</v>
      </c>
      <c r="F39" s="449">
        <v>0</v>
      </c>
      <c r="G39" s="449">
        <f t="shared" si="0"/>
        <v>0</v>
      </c>
    </row>
    <row r="40" spans="1:7" ht="12.75" outlineLevel="1">
      <c r="A40" s="516" t="s">
        <v>689</v>
      </c>
      <c r="B40" s="395" t="s">
        <v>690</v>
      </c>
      <c r="C40" s="395" t="s">
        <v>691</v>
      </c>
      <c r="D40" s="449">
        <v>1081.93</v>
      </c>
      <c r="E40" s="449">
        <v>6549.24</v>
      </c>
      <c r="F40" s="449">
        <v>7347.48</v>
      </c>
      <c r="G40" s="449">
        <f aca="true" t="shared" si="1" ref="G40:G59">(D40+E40-F40)</f>
        <v>283.6900000000005</v>
      </c>
    </row>
    <row r="41" spans="1:7" ht="12.75" outlineLevel="1">
      <c r="A41" s="516" t="s">
        <v>692</v>
      </c>
      <c r="B41" s="395" t="s">
        <v>693</v>
      </c>
      <c r="C41" s="395" t="s">
        <v>694</v>
      </c>
      <c r="D41" s="449">
        <v>2180.44</v>
      </c>
      <c r="E41" s="449">
        <v>16026.95</v>
      </c>
      <c r="F41" s="449">
        <v>9949.66</v>
      </c>
      <c r="G41" s="449">
        <f t="shared" si="1"/>
        <v>8257.73</v>
      </c>
    </row>
    <row r="42" spans="1:7" ht="12.75" outlineLevel="1">
      <c r="A42" s="516" t="s">
        <v>695</v>
      </c>
      <c r="B42" s="395" t="s">
        <v>696</v>
      </c>
      <c r="C42" s="395" t="s">
        <v>697</v>
      </c>
      <c r="D42" s="449">
        <v>1249.73</v>
      </c>
      <c r="E42" s="449">
        <v>44705.08</v>
      </c>
      <c r="F42" s="449">
        <v>36703.68</v>
      </c>
      <c r="G42" s="449">
        <f t="shared" si="1"/>
        <v>9251.130000000005</v>
      </c>
    </row>
    <row r="43" spans="1:7" ht="12.75" outlineLevel="1">
      <c r="A43" s="516" t="s">
        <v>698</v>
      </c>
      <c r="B43" s="395" t="s">
        <v>699</v>
      </c>
      <c r="C43" s="395" t="s">
        <v>700</v>
      </c>
      <c r="D43" s="449">
        <v>40</v>
      </c>
      <c r="E43" s="449">
        <v>7870</v>
      </c>
      <c r="F43" s="449">
        <v>7910</v>
      </c>
      <c r="G43" s="449">
        <f t="shared" si="1"/>
        <v>0</v>
      </c>
    </row>
    <row r="44" spans="1:7" ht="12.75" outlineLevel="1">
      <c r="A44" s="516" t="s">
        <v>701</v>
      </c>
      <c r="B44" s="395" t="s">
        <v>702</v>
      </c>
      <c r="C44" s="395" t="s">
        <v>703</v>
      </c>
      <c r="D44" s="449">
        <v>3178.71</v>
      </c>
      <c r="E44" s="449">
        <v>7272.55</v>
      </c>
      <c r="F44" s="449">
        <v>8730.9</v>
      </c>
      <c r="G44" s="449">
        <f t="shared" si="1"/>
        <v>1720.3600000000006</v>
      </c>
    </row>
    <row r="45" spans="1:7" ht="12.75" outlineLevel="1">
      <c r="A45" s="516" t="s">
        <v>704</v>
      </c>
      <c r="B45" s="395" t="s">
        <v>705</v>
      </c>
      <c r="C45" s="395" t="s">
        <v>706</v>
      </c>
      <c r="D45" s="449">
        <v>0</v>
      </c>
      <c r="E45" s="449">
        <v>182465</v>
      </c>
      <c r="F45" s="449">
        <v>0</v>
      </c>
      <c r="G45" s="449">
        <f t="shared" si="1"/>
        <v>182465</v>
      </c>
    </row>
    <row r="46" spans="1:7" ht="12.75" outlineLevel="1">
      <c r="A46" s="516" t="s">
        <v>707</v>
      </c>
      <c r="B46" s="395" t="s">
        <v>708</v>
      </c>
      <c r="C46" s="395" t="s">
        <v>709</v>
      </c>
      <c r="D46" s="449">
        <v>500</v>
      </c>
      <c r="E46" s="449">
        <v>300</v>
      </c>
      <c r="F46" s="449">
        <v>267</v>
      </c>
      <c r="G46" s="449">
        <f t="shared" si="1"/>
        <v>533</v>
      </c>
    </row>
    <row r="47" spans="1:7" ht="12.75" outlineLevel="1">
      <c r="A47" s="516" t="s">
        <v>710</v>
      </c>
      <c r="B47" s="395" t="s">
        <v>711</v>
      </c>
      <c r="C47" s="395" t="s">
        <v>712</v>
      </c>
      <c r="D47" s="449">
        <v>0</v>
      </c>
      <c r="E47" s="449">
        <v>2585.4</v>
      </c>
      <c r="F47" s="449">
        <v>2585.4</v>
      </c>
      <c r="G47" s="449">
        <f t="shared" si="1"/>
        <v>0</v>
      </c>
    </row>
    <row r="48" spans="1:7" ht="12.75" outlineLevel="1">
      <c r="A48" s="516" t="s">
        <v>713</v>
      </c>
      <c r="B48" s="395" t="s">
        <v>714</v>
      </c>
      <c r="C48" s="395" t="s">
        <v>715</v>
      </c>
      <c r="D48" s="449">
        <v>6001.02</v>
      </c>
      <c r="E48" s="449">
        <v>-2799.58</v>
      </c>
      <c r="F48" s="449">
        <v>0</v>
      </c>
      <c r="G48" s="449">
        <f t="shared" si="1"/>
        <v>3201.4400000000005</v>
      </c>
    </row>
    <row r="49" spans="1:7" ht="12.75" outlineLevel="1">
      <c r="A49" s="516" t="s">
        <v>716</v>
      </c>
      <c r="B49" s="395" t="s">
        <v>717</v>
      </c>
      <c r="C49" s="395" t="s">
        <v>718</v>
      </c>
      <c r="D49" s="449">
        <v>71348</v>
      </c>
      <c r="E49" s="449">
        <v>12140.99</v>
      </c>
      <c r="F49" s="449">
        <v>5514.27</v>
      </c>
      <c r="G49" s="449">
        <f t="shared" si="1"/>
        <v>77974.72</v>
      </c>
    </row>
    <row r="50" spans="1:7" ht="12.75" outlineLevel="1">
      <c r="A50" s="516" t="s">
        <v>719</v>
      </c>
      <c r="B50" s="395" t="s">
        <v>720</v>
      </c>
      <c r="C50" s="395" t="s">
        <v>721</v>
      </c>
      <c r="D50" s="449">
        <v>22472</v>
      </c>
      <c r="E50" s="449">
        <v>5311.67</v>
      </c>
      <c r="F50" s="449">
        <v>1354.8</v>
      </c>
      <c r="G50" s="449">
        <f t="shared" si="1"/>
        <v>26428.87</v>
      </c>
    </row>
    <row r="51" spans="1:7" ht="12.75" outlineLevel="1">
      <c r="A51" s="516" t="s">
        <v>722</v>
      </c>
      <c r="B51" s="395" t="s">
        <v>723</v>
      </c>
      <c r="C51" s="395" t="s">
        <v>724</v>
      </c>
      <c r="D51" s="449">
        <v>82807</v>
      </c>
      <c r="E51" s="449">
        <v>22092.55</v>
      </c>
      <c r="F51" s="449">
        <v>6784.08</v>
      </c>
      <c r="G51" s="449">
        <f t="shared" si="1"/>
        <v>98115.47</v>
      </c>
    </row>
    <row r="52" spans="1:7" ht="12.75" outlineLevel="1">
      <c r="A52" s="516" t="s">
        <v>725</v>
      </c>
      <c r="B52" s="395" t="s">
        <v>726</v>
      </c>
      <c r="C52" s="395" t="s">
        <v>727</v>
      </c>
      <c r="D52" s="449">
        <v>-161.54</v>
      </c>
      <c r="E52" s="449">
        <v>0</v>
      </c>
      <c r="F52" s="449">
        <v>0</v>
      </c>
      <c r="G52" s="449">
        <f t="shared" si="1"/>
        <v>-161.54</v>
      </c>
    </row>
    <row r="53" spans="1:7" ht="12.75" outlineLevel="1">
      <c r="A53" s="516" t="s">
        <v>728</v>
      </c>
      <c r="B53" s="395" t="s">
        <v>729</v>
      </c>
      <c r="C53" s="395" t="s">
        <v>730</v>
      </c>
      <c r="D53" s="449">
        <v>1112.57</v>
      </c>
      <c r="E53" s="449">
        <v>0</v>
      </c>
      <c r="F53" s="449">
        <v>0</v>
      </c>
      <c r="G53" s="449">
        <f t="shared" si="1"/>
        <v>1112.57</v>
      </c>
    </row>
    <row r="54" spans="1:7" ht="12.75" outlineLevel="1">
      <c r="A54" s="516" t="s">
        <v>731</v>
      </c>
      <c r="B54" s="395" t="s">
        <v>732</v>
      </c>
      <c r="C54" s="395" t="s">
        <v>733</v>
      </c>
      <c r="D54" s="449">
        <v>318</v>
      </c>
      <c r="E54" s="449">
        <v>0</v>
      </c>
      <c r="F54" s="449">
        <v>240</v>
      </c>
      <c r="G54" s="449">
        <f t="shared" si="1"/>
        <v>78</v>
      </c>
    </row>
    <row r="55" spans="1:7" ht="12.75" outlineLevel="1">
      <c r="A55" s="516" t="s">
        <v>734</v>
      </c>
      <c r="B55" s="395" t="s">
        <v>735</v>
      </c>
      <c r="C55" s="395" t="s">
        <v>736</v>
      </c>
      <c r="D55" s="449">
        <v>3476.44</v>
      </c>
      <c r="E55" s="449">
        <v>3058.5</v>
      </c>
      <c r="F55" s="449">
        <v>4203</v>
      </c>
      <c r="G55" s="449">
        <f t="shared" si="1"/>
        <v>2331.9400000000005</v>
      </c>
    </row>
    <row r="56" spans="1:7" ht="12.75" outlineLevel="1">
      <c r="A56" s="516" t="s">
        <v>737</v>
      </c>
      <c r="B56" s="395" t="s">
        <v>738</v>
      </c>
      <c r="C56" s="395" t="s">
        <v>739</v>
      </c>
      <c r="D56" s="449">
        <v>1870.54</v>
      </c>
      <c r="E56" s="449">
        <v>0</v>
      </c>
      <c r="F56" s="449">
        <v>0</v>
      </c>
      <c r="G56" s="449">
        <f t="shared" si="1"/>
        <v>1870.54</v>
      </c>
    </row>
    <row r="57" spans="1:7" ht="12.75" outlineLevel="1">
      <c r="A57" s="516" t="s">
        <v>740</v>
      </c>
      <c r="B57" s="395" t="s">
        <v>741</v>
      </c>
      <c r="C57" s="395" t="s">
        <v>742</v>
      </c>
      <c r="D57" s="449">
        <v>6457.83</v>
      </c>
      <c r="E57" s="449">
        <v>-2511.4</v>
      </c>
      <c r="F57" s="449">
        <v>0</v>
      </c>
      <c r="G57" s="449">
        <f t="shared" si="1"/>
        <v>3946.43</v>
      </c>
    </row>
    <row r="58" spans="1:7" ht="12.75" outlineLevel="1">
      <c r="A58" s="516" t="s">
        <v>743</v>
      </c>
      <c r="B58" s="395" t="s">
        <v>744</v>
      </c>
      <c r="C58" s="395" t="s">
        <v>745</v>
      </c>
      <c r="D58" s="449">
        <v>0</v>
      </c>
      <c r="E58" s="449">
        <v>0</v>
      </c>
      <c r="F58" s="449">
        <v>1500</v>
      </c>
      <c r="G58" s="449">
        <f t="shared" si="1"/>
        <v>-1500</v>
      </c>
    </row>
    <row r="59" spans="1:7" s="170" customFormat="1" ht="12.75">
      <c r="A59" s="170" t="s">
        <v>746</v>
      </c>
      <c r="B59" s="443" t="s">
        <v>747</v>
      </c>
      <c r="C59" s="443"/>
      <c r="D59" s="452">
        <f>SUM(D8:D58)</f>
        <v>460477.23000000004</v>
      </c>
      <c r="E59" s="452">
        <v>16989735.160000004</v>
      </c>
      <c r="F59" s="452">
        <v>16914955.669999994</v>
      </c>
      <c r="G59" s="452">
        <f t="shared" si="1"/>
        <v>535256.72000001</v>
      </c>
    </row>
  </sheetData>
  <printOptions horizontalCentered="1"/>
  <pageMargins left="0.5" right="0.5" top="0.75" bottom="0.5" header="0.5" footer="0.5"/>
  <pageSetup horizontalDpi="600" verticalDpi="600" orientation="landscape" scale="75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16"/>
  <sheetViews>
    <sheetView workbookViewId="0" topLeftCell="A1">
      <selection activeCell="A5" sqref="A5"/>
    </sheetView>
  </sheetViews>
  <sheetFormatPr defaultColWidth="9.140625" defaultRowHeight="12.75"/>
  <cols>
    <col min="1" max="1" width="2.7109375" style="1" customWidth="1"/>
    <col min="2" max="2" width="72.7109375" style="1" customWidth="1"/>
    <col min="3" max="3" width="14.7109375" style="1" customWidth="1"/>
    <col min="4" max="4" width="3.7109375" style="1" hidden="1" customWidth="1"/>
    <col min="5" max="5" width="14.7109375" style="56" customWidth="1"/>
    <col min="6" max="16384" width="8.00390625" style="56" customWidth="1"/>
  </cols>
  <sheetData>
    <row r="1" spans="1:5" s="53" customFormat="1" ht="15.75">
      <c r="A1" s="49" t="s">
        <v>2109</v>
      </c>
      <c r="B1" s="6"/>
      <c r="C1" s="50"/>
      <c r="D1" s="51"/>
      <c r="E1" s="52"/>
    </row>
    <row r="2" spans="1:5" ht="15.75">
      <c r="A2" s="54" t="s">
        <v>2160</v>
      </c>
      <c r="B2" s="12"/>
      <c r="C2" s="51"/>
      <c r="D2" s="51"/>
      <c r="E2" s="55"/>
    </row>
    <row r="3" spans="1:5" s="53" customFormat="1" ht="15.75">
      <c r="A3" s="54" t="s">
        <v>2161</v>
      </c>
      <c r="B3" s="12"/>
      <c r="C3" s="51"/>
      <c r="D3" s="51"/>
      <c r="E3" s="57"/>
    </row>
    <row r="4" spans="1:5" ht="12.75" customHeight="1">
      <c r="A4" s="17" t="s">
        <v>2112</v>
      </c>
      <c r="B4" s="18"/>
      <c r="C4" s="58"/>
      <c r="D4" s="51"/>
      <c r="E4" s="59"/>
    </row>
    <row r="5" spans="1:5" ht="12.75" customHeight="1">
      <c r="A5" s="60"/>
      <c r="B5" s="61"/>
      <c r="C5" s="62">
        <v>2004</v>
      </c>
      <c r="D5" s="63"/>
      <c r="E5" s="62">
        <v>2003</v>
      </c>
    </row>
    <row r="6" spans="1:5" ht="12.75" customHeight="1">
      <c r="A6" s="64" t="s">
        <v>2162</v>
      </c>
      <c r="B6" s="65"/>
      <c r="C6" s="66"/>
      <c r="D6" s="67"/>
      <c r="E6" s="68"/>
    </row>
    <row r="7" spans="1:5" s="70" customFormat="1" ht="12.75" customHeight="1">
      <c r="A7" s="30"/>
      <c r="B7" s="31" t="s">
        <v>2163</v>
      </c>
      <c r="C7" s="34">
        <v>45329</v>
      </c>
      <c r="D7" s="69"/>
      <c r="E7" s="34">
        <v>41738</v>
      </c>
    </row>
    <row r="8" spans="1:5" s="70" customFormat="1" ht="12.75" customHeight="1">
      <c r="A8" s="30"/>
      <c r="B8" s="31" t="s">
        <v>2164</v>
      </c>
      <c r="C8" s="36">
        <v>18575</v>
      </c>
      <c r="D8" s="42"/>
      <c r="E8" s="36">
        <v>16026</v>
      </c>
    </row>
    <row r="9" spans="1:5" s="72" customFormat="1" ht="12.75" customHeight="1">
      <c r="A9" s="23"/>
      <c r="B9" s="24" t="s">
        <v>2165</v>
      </c>
      <c r="C9" s="39">
        <f>C7-C8</f>
        <v>26754</v>
      </c>
      <c r="D9" s="71"/>
      <c r="E9" s="39">
        <f>E7-E8</f>
        <v>25712</v>
      </c>
    </row>
    <row r="10" spans="1:5" s="73" customFormat="1" ht="12.75" customHeight="1">
      <c r="A10" s="30"/>
      <c r="B10" s="31" t="s">
        <v>2166</v>
      </c>
      <c r="C10" s="36">
        <v>22153</v>
      </c>
      <c r="D10" s="42"/>
      <c r="E10" s="36">
        <v>21074</v>
      </c>
    </row>
    <row r="11" spans="1:5" s="73" customFormat="1" ht="12.75" customHeight="1">
      <c r="A11" s="30"/>
      <c r="B11" s="31" t="s">
        <v>2167</v>
      </c>
      <c r="C11" s="36">
        <v>2307</v>
      </c>
      <c r="D11" s="42"/>
      <c r="E11" s="36">
        <v>1328</v>
      </c>
    </row>
    <row r="12" spans="1:5" s="73" customFormat="1" ht="12.75" customHeight="1">
      <c r="A12" s="30"/>
      <c r="B12" s="31" t="s">
        <v>2168</v>
      </c>
      <c r="C12" s="36">
        <v>12459</v>
      </c>
      <c r="D12" s="42"/>
      <c r="E12" s="36">
        <v>10437</v>
      </c>
    </row>
    <row r="13" spans="1:5" s="73" customFormat="1" ht="12.75" customHeight="1">
      <c r="A13" s="30"/>
      <c r="B13" s="31" t="s">
        <v>2169</v>
      </c>
      <c r="C13" s="36">
        <v>329</v>
      </c>
      <c r="D13" s="42"/>
      <c r="E13" s="36">
        <v>361</v>
      </c>
    </row>
    <row r="14" spans="1:5" s="73" customFormat="1" ht="12.75" customHeight="1">
      <c r="A14" s="30"/>
      <c r="B14" s="31" t="s">
        <v>2170</v>
      </c>
      <c r="C14" s="36"/>
      <c r="D14" s="42"/>
      <c r="E14" s="36"/>
    </row>
    <row r="15" spans="1:5" s="73" customFormat="1" ht="12.75" customHeight="1">
      <c r="A15" s="30"/>
      <c r="B15" s="31" t="s">
        <v>2171</v>
      </c>
      <c r="C15" s="36">
        <v>7250</v>
      </c>
      <c r="D15" s="42"/>
      <c r="E15" s="36">
        <v>6357</v>
      </c>
    </row>
    <row r="16" spans="1:5" s="73" customFormat="1" ht="12.75" customHeight="1">
      <c r="A16" s="30"/>
      <c r="B16" s="31" t="s">
        <v>2172</v>
      </c>
      <c r="C16" s="36">
        <v>0</v>
      </c>
      <c r="D16" s="42"/>
      <c r="E16" s="36">
        <v>0</v>
      </c>
    </row>
    <row r="17" spans="1:5" s="73" customFormat="1" ht="12.75" customHeight="1">
      <c r="A17" s="30"/>
      <c r="B17" s="31" t="s">
        <v>2173</v>
      </c>
      <c r="C17" s="36">
        <v>1800</v>
      </c>
      <c r="D17" s="42"/>
      <c r="E17" s="36">
        <v>830</v>
      </c>
    </row>
    <row r="18" spans="1:5" s="73" customFormat="1" ht="12.75" customHeight="1">
      <c r="A18" s="30"/>
      <c r="B18" s="31" t="s">
        <v>2174</v>
      </c>
      <c r="C18" s="36">
        <v>809</v>
      </c>
      <c r="D18" s="42"/>
      <c r="E18" s="36">
        <v>44</v>
      </c>
    </row>
    <row r="19" spans="1:5" s="73" customFormat="1" ht="12.75" customHeight="1">
      <c r="A19" s="30"/>
      <c r="B19" s="31" t="s">
        <v>2175</v>
      </c>
      <c r="C19" s="36">
        <v>1229</v>
      </c>
      <c r="D19" s="42"/>
      <c r="E19" s="36">
        <v>1403</v>
      </c>
    </row>
    <row r="20" spans="1:5" s="73" customFormat="1" ht="12.75" customHeight="1">
      <c r="A20" s="23"/>
      <c r="B20" s="65" t="s">
        <v>2176</v>
      </c>
      <c r="C20" s="39">
        <f>SUM(C9:C19)</f>
        <v>75090</v>
      </c>
      <c r="D20" s="71"/>
      <c r="E20" s="39">
        <f>SUM(E9:E19)</f>
        <v>67546</v>
      </c>
    </row>
    <row r="21" spans="1:5" ht="9.75" customHeight="1">
      <c r="A21" s="64"/>
      <c r="B21" s="65"/>
      <c r="C21" s="36"/>
      <c r="D21" s="42"/>
      <c r="E21" s="36"/>
    </row>
    <row r="22" spans="1:5" s="73" customFormat="1" ht="12.75" customHeight="1">
      <c r="A22" s="23" t="s">
        <v>2177</v>
      </c>
      <c r="B22" s="24"/>
      <c r="C22" s="36"/>
      <c r="D22" s="42"/>
      <c r="E22" s="36"/>
    </row>
    <row r="23" spans="1:5" s="73" customFormat="1" ht="12.75" customHeight="1">
      <c r="A23" s="30"/>
      <c r="B23" s="31" t="s">
        <v>2178</v>
      </c>
      <c r="C23" s="36">
        <v>68940</v>
      </c>
      <c r="D23" s="42"/>
      <c r="E23" s="36">
        <v>66445</v>
      </c>
    </row>
    <row r="24" spans="1:5" s="73" customFormat="1" ht="12.75" customHeight="1">
      <c r="A24" s="30"/>
      <c r="B24" s="31" t="s">
        <v>2179</v>
      </c>
      <c r="C24" s="36">
        <v>14643</v>
      </c>
      <c r="D24" s="42"/>
      <c r="E24" s="36">
        <v>10903</v>
      </c>
    </row>
    <row r="25" spans="1:5" s="73" customFormat="1" ht="12.75" customHeight="1">
      <c r="A25" s="30"/>
      <c r="B25" s="31" t="s">
        <v>2180</v>
      </c>
      <c r="C25" s="36">
        <v>29249</v>
      </c>
      <c r="D25" s="42"/>
      <c r="E25" s="36">
        <v>24735</v>
      </c>
    </row>
    <row r="26" spans="1:5" s="73" customFormat="1" ht="12.75" customHeight="1">
      <c r="A26" s="30"/>
      <c r="B26" s="31" t="s">
        <v>2181</v>
      </c>
      <c r="C26" s="36">
        <v>1847</v>
      </c>
      <c r="D26" s="42"/>
      <c r="E26" s="36">
        <v>3193</v>
      </c>
    </row>
    <row r="27" spans="1:5" s="73" customFormat="1" ht="12.75" customHeight="1">
      <c r="A27" s="30"/>
      <c r="B27" s="31" t="s">
        <v>2182</v>
      </c>
      <c r="C27" s="36">
        <v>5746</v>
      </c>
      <c r="D27" s="42"/>
      <c r="E27" s="36">
        <v>5216</v>
      </c>
    </row>
    <row r="28" spans="1:5" s="73" customFormat="1" ht="12.75" customHeight="1">
      <c r="A28" s="23"/>
      <c r="B28" s="65" t="s">
        <v>2183</v>
      </c>
      <c r="C28" s="39">
        <f>SUM(C23:C27)</f>
        <v>120425</v>
      </c>
      <c r="D28" s="71"/>
      <c r="E28" s="39">
        <f>SUM(E23:E27)</f>
        <v>110492</v>
      </c>
    </row>
    <row r="29" spans="1:5" ht="9.75" customHeight="1">
      <c r="A29" s="64"/>
      <c r="B29" s="65"/>
      <c r="C29" s="36"/>
      <c r="D29" s="42"/>
      <c r="E29" s="36"/>
    </row>
    <row r="30" spans="1:5" s="73" customFormat="1" ht="12.75" customHeight="1">
      <c r="A30" s="23" t="s">
        <v>2184</v>
      </c>
      <c r="B30" s="24"/>
      <c r="C30" s="36"/>
      <c r="D30" s="42"/>
      <c r="E30" s="36"/>
    </row>
    <row r="31" spans="1:5" s="73" customFormat="1" ht="12.75" customHeight="1">
      <c r="A31" s="23" t="s">
        <v>2185</v>
      </c>
      <c r="B31" s="74"/>
      <c r="C31" s="39">
        <f>C20-C28</f>
        <v>-45335</v>
      </c>
      <c r="D31" s="71"/>
      <c r="E31" s="39">
        <f>E20-E28</f>
        <v>-42946</v>
      </c>
    </row>
    <row r="32" spans="1:5" ht="9.75" customHeight="1">
      <c r="A32" s="64"/>
      <c r="B32" s="65"/>
      <c r="C32" s="36"/>
      <c r="D32" s="42"/>
      <c r="E32" s="36"/>
    </row>
    <row r="33" spans="1:5" s="73" customFormat="1" ht="12.75" customHeight="1">
      <c r="A33" s="30"/>
      <c r="B33" s="31" t="s">
        <v>2186</v>
      </c>
      <c r="C33" s="36">
        <v>44401</v>
      </c>
      <c r="D33" s="42"/>
      <c r="E33" s="36">
        <v>45903</v>
      </c>
    </row>
    <row r="34" spans="1:5" ht="9.75" customHeight="1">
      <c r="A34" s="64"/>
      <c r="B34" s="65"/>
      <c r="C34" s="36"/>
      <c r="D34" s="42"/>
      <c r="E34" s="36"/>
    </row>
    <row r="35" spans="1:5" s="73" customFormat="1" ht="12.75" customHeight="1">
      <c r="A35" s="23" t="s">
        <v>2187</v>
      </c>
      <c r="B35" s="24"/>
      <c r="C35" s="36"/>
      <c r="D35" s="42"/>
      <c r="E35" s="36"/>
    </row>
    <row r="36" spans="1:5" s="73" customFormat="1" ht="12.75" customHeight="1">
      <c r="A36" s="23" t="s">
        <v>2185</v>
      </c>
      <c r="B36" s="74"/>
      <c r="C36" s="39">
        <f>C31+C33</f>
        <v>-934</v>
      </c>
      <c r="D36" s="71"/>
      <c r="E36" s="39">
        <f>E31+E33</f>
        <v>2957</v>
      </c>
    </row>
    <row r="37" spans="1:5" ht="9.75" customHeight="1">
      <c r="A37" s="64"/>
      <c r="B37" s="65"/>
      <c r="C37" s="36"/>
      <c r="D37" s="42"/>
      <c r="E37" s="36"/>
    </row>
    <row r="38" spans="1:5" s="73" customFormat="1" ht="12.75" customHeight="1">
      <c r="A38" s="23" t="s">
        <v>2188</v>
      </c>
      <c r="B38" s="24"/>
      <c r="C38" s="36"/>
      <c r="D38" s="42"/>
      <c r="E38" s="36"/>
    </row>
    <row r="39" spans="1:5" s="73" customFormat="1" ht="12.75" customHeight="1">
      <c r="A39" s="30"/>
      <c r="B39" s="31" t="s">
        <v>2189</v>
      </c>
      <c r="C39" s="36">
        <v>0</v>
      </c>
      <c r="D39" s="42"/>
      <c r="E39" s="36">
        <v>45</v>
      </c>
    </row>
    <row r="40" spans="1:5" s="73" customFormat="1" ht="12.75" customHeight="1">
      <c r="A40" s="30"/>
      <c r="B40" s="31" t="s">
        <v>2190</v>
      </c>
      <c r="C40" s="36">
        <v>11440</v>
      </c>
      <c r="D40" s="42"/>
      <c r="E40" s="36">
        <v>4090</v>
      </c>
    </row>
    <row r="41" spans="1:5" s="73" customFormat="1" ht="12.75" customHeight="1">
      <c r="A41" s="30"/>
      <c r="B41" s="31" t="s">
        <v>2191</v>
      </c>
      <c r="C41" s="36">
        <v>4658</v>
      </c>
      <c r="D41" s="42"/>
      <c r="E41" s="36">
        <v>2273</v>
      </c>
    </row>
    <row r="42" spans="1:5" s="73" customFormat="1" ht="12.75" customHeight="1">
      <c r="A42" s="30"/>
      <c r="B42" s="31" t="s">
        <v>2192</v>
      </c>
      <c r="C42" s="36">
        <v>-805</v>
      </c>
      <c r="D42" s="42"/>
      <c r="E42" s="36">
        <v>-431</v>
      </c>
    </row>
    <row r="43" spans="1:5" s="73" customFormat="1" ht="12.75" customHeight="1">
      <c r="A43" s="30"/>
      <c r="B43" s="31" t="s">
        <v>2193</v>
      </c>
      <c r="C43" s="36">
        <v>-113</v>
      </c>
      <c r="D43" s="42"/>
      <c r="E43" s="36">
        <v>-112</v>
      </c>
    </row>
    <row r="44" spans="1:5" ht="9.75" customHeight="1">
      <c r="A44" s="64"/>
      <c r="B44" s="65"/>
      <c r="C44" s="36"/>
      <c r="D44" s="42"/>
      <c r="E44" s="36"/>
    </row>
    <row r="45" spans="1:5" s="72" customFormat="1" ht="12.75" customHeight="1">
      <c r="A45" s="23"/>
      <c r="B45" s="24" t="s">
        <v>2194</v>
      </c>
      <c r="C45" s="39"/>
      <c r="D45" s="71"/>
      <c r="E45" s="39"/>
    </row>
    <row r="46" spans="1:5" s="72" customFormat="1" ht="12.75" customHeight="1">
      <c r="A46" s="23"/>
      <c r="B46" s="24" t="s">
        <v>2195</v>
      </c>
      <c r="C46" s="39">
        <f>SUM(C39:C43)</f>
        <v>15180</v>
      </c>
      <c r="D46" s="71"/>
      <c r="E46" s="39">
        <f>SUM(E39:E43)</f>
        <v>5865</v>
      </c>
    </row>
    <row r="47" spans="1:5" ht="9.75" customHeight="1">
      <c r="A47" s="64"/>
      <c r="B47" s="65"/>
      <c r="C47" s="36"/>
      <c r="D47" s="42"/>
      <c r="E47" s="36"/>
    </row>
    <row r="48" spans="1:5" s="73" customFormat="1" ht="12.75" customHeight="1">
      <c r="A48" s="30"/>
      <c r="B48" s="31" t="s">
        <v>2196</v>
      </c>
      <c r="C48" s="36">
        <v>0</v>
      </c>
      <c r="D48" s="42"/>
      <c r="E48" s="36">
        <v>550</v>
      </c>
    </row>
    <row r="49" spans="1:5" s="70" customFormat="1" ht="12.75" customHeight="1">
      <c r="A49" s="30"/>
      <c r="B49" s="31" t="s">
        <v>2197</v>
      </c>
      <c r="C49" s="36">
        <v>766</v>
      </c>
      <c r="D49" s="42"/>
      <c r="E49" s="36">
        <v>386</v>
      </c>
    </row>
    <row r="50" spans="1:5" s="70" customFormat="1" ht="12.75" customHeight="1">
      <c r="A50" s="30"/>
      <c r="B50" s="31" t="s">
        <v>2198</v>
      </c>
      <c r="C50" s="36">
        <v>871</v>
      </c>
      <c r="D50" s="42"/>
      <c r="E50" s="36">
        <v>3130</v>
      </c>
    </row>
    <row r="51" spans="1:5" s="70" customFormat="1" ht="12.75" customHeight="1">
      <c r="A51" s="30"/>
      <c r="B51" s="31" t="s">
        <v>2199</v>
      </c>
      <c r="C51" s="36">
        <v>-38</v>
      </c>
      <c r="D51" s="42"/>
      <c r="E51" s="36">
        <v>-2</v>
      </c>
    </row>
    <row r="52" spans="1:5" s="70" customFormat="1" ht="12.75" customHeight="1">
      <c r="A52" s="30"/>
      <c r="B52" s="31" t="s">
        <v>2200</v>
      </c>
      <c r="C52" s="36">
        <v>-768</v>
      </c>
      <c r="D52" s="42"/>
      <c r="E52" s="36">
        <v>-504</v>
      </c>
    </row>
    <row r="53" spans="1:5" s="70" customFormat="1" ht="12.75" customHeight="1">
      <c r="A53" s="30"/>
      <c r="B53" s="31" t="s">
        <v>2201</v>
      </c>
      <c r="C53" s="36">
        <v>283</v>
      </c>
      <c r="D53" s="42"/>
      <c r="E53" s="36">
        <v>0</v>
      </c>
    </row>
    <row r="54" spans="1:5" ht="9.75" customHeight="1">
      <c r="A54" s="64"/>
      <c r="B54" s="65"/>
      <c r="C54" s="36"/>
      <c r="D54" s="42"/>
      <c r="E54" s="36"/>
    </row>
    <row r="55" spans="1:5" s="70" customFormat="1" ht="12.75" customHeight="1">
      <c r="A55" s="23"/>
      <c r="B55" s="65" t="s">
        <v>2202</v>
      </c>
      <c r="C55" s="39">
        <f>SUM(C46:C53)</f>
        <v>16294</v>
      </c>
      <c r="D55" s="71"/>
      <c r="E55" s="39">
        <f>SUM(E46:E53)</f>
        <v>9425</v>
      </c>
    </row>
    <row r="56" spans="1:5" ht="9.75" customHeight="1">
      <c r="A56" s="64"/>
      <c r="B56" s="65"/>
      <c r="C56" s="36"/>
      <c r="D56" s="42"/>
      <c r="E56" s="36"/>
    </row>
    <row r="57" spans="1:5" s="70" customFormat="1" ht="12.75" customHeight="1">
      <c r="A57" s="23"/>
      <c r="B57" s="24" t="s">
        <v>2203</v>
      </c>
      <c r="C57" s="39">
        <f>C36+C55</f>
        <v>15360</v>
      </c>
      <c r="D57" s="71"/>
      <c r="E57" s="39">
        <f>E36+E55</f>
        <v>12382</v>
      </c>
    </row>
    <row r="58" spans="1:5" ht="9.75" customHeight="1">
      <c r="A58" s="64"/>
      <c r="B58" s="65"/>
      <c r="C58" s="36"/>
      <c r="D58" s="42"/>
      <c r="E58" s="36"/>
    </row>
    <row r="59" spans="1:5" s="75" customFormat="1" ht="12.75" customHeight="1">
      <c r="A59" s="27" t="s">
        <v>2204</v>
      </c>
      <c r="C59" s="39">
        <v>230283</v>
      </c>
      <c r="D59" s="71"/>
      <c r="E59" s="39">
        <v>217901</v>
      </c>
    </row>
    <row r="60" spans="1:5" ht="9.75" customHeight="1">
      <c r="A60" s="64"/>
      <c r="B60" s="65"/>
      <c r="C60" s="32"/>
      <c r="E60" s="32"/>
    </row>
    <row r="61" spans="1:5" s="75" customFormat="1" ht="12.75" customHeight="1">
      <c r="A61" s="23" t="s">
        <v>2205</v>
      </c>
      <c r="B61" s="76"/>
      <c r="C61" s="41">
        <f>C59+C57</f>
        <v>245643</v>
      </c>
      <c r="D61" s="77"/>
      <c r="E61" s="41">
        <f>E59+E57</f>
        <v>230283</v>
      </c>
    </row>
    <row r="62" spans="1:5" s="70" customFormat="1" ht="12.75">
      <c r="A62" s="1"/>
      <c r="B62" s="1"/>
      <c r="C62" s="1"/>
      <c r="D62" s="1"/>
      <c r="E62" s="78"/>
    </row>
    <row r="63" spans="1:4" s="45" customFormat="1" ht="12.75">
      <c r="A63" s="1"/>
      <c r="D63" s="4"/>
    </row>
    <row r="64" spans="1:4" s="70" customFormat="1" ht="12.75">
      <c r="A64" s="1"/>
      <c r="B64" s="1"/>
      <c r="C64" s="1"/>
      <c r="D64" s="1"/>
    </row>
    <row r="65" spans="1:4" s="70" customFormat="1" ht="12.75">
      <c r="A65" s="1"/>
      <c r="B65" s="1"/>
      <c r="C65" s="1"/>
      <c r="D65" s="1"/>
    </row>
    <row r="66" spans="1:4" s="70" customFormat="1" ht="12.75">
      <c r="A66" s="1"/>
      <c r="B66" s="1"/>
      <c r="C66" s="1"/>
      <c r="D66" s="1"/>
    </row>
    <row r="67" spans="1:4" s="70" customFormat="1" ht="12.75">
      <c r="A67" s="1"/>
      <c r="B67" s="1"/>
      <c r="C67" s="1"/>
      <c r="D67" s="1"/>
    </row>
    <row r="68" spans="1:4" s="70" customFormat="1" ht="12.75">
      <c r="A68" s="1"/>
      <c r="B68" s="1"/>
      <c r="C68" s="1"/>
      <c r="D68" s="1"/>
    </row>
    <row r="69" spans="1:4" s="70" customFormat="1" ht="12.75">
      <c r="A69" s="1"/>
      <c r="B69" s="1"/>
      <c r="C69" s="1"/>
      <c r="D69" s="1"/>
    </row>
    <row r="70" spans="1:4" s="70" customFormat="1" ht="12.75">
      <c r="A70" s="1"/>
      <c r="B70" s="1"/>
      <c r="C70" s="1"/>
      <c r="D70" s="1"/>
    </row>
    <row r="71" spans="1:4" s="70" customFormat="1" ht="12.75">
      <c r="A71" s="1"/>
      <c r="B71" s="1"/>
      <c r="C71" s="1"/>
      <c r="D71" s="1"/>
    </row>
    <row r="72" spans="1:4" s="70" customFormat="1" ht="12.75">
      <c r="A72" s="1"/>
      <c r="B72" s="1"/>
      <c r="C72" s="1"/>
      <c r="D72" s="1"/>
    </row>
    <row r="73" spans="1:4" s="70" customFormat="1" ht="12.75">
      <c r="A73" s="1"/>
      <c r="B73" s="1"/>
      <c r="C73" s="1"/>
      <c r="D73" s="1"/>
    </row>
    <row r="74" spans="1:4" s="70" customFormat="1" ht="12.75">
      <c r="A74" s="1"/>
      <c r="B74" s="1"/>
      <c r="C74" s="1"/>
      <c r="D74" s="1"/>
    </row>
    <row r="75" spans="1:4" s="70" customFormat="1" ht="12.75">
      <c r="A75" s="1"/>
      <c r="B75" s="1"/>
      <c r="C75" s="1"/>
      <c r="D75" s="1"/>
    </row>
    <row r="76" spans="1:4" s="70" customFormat="1" ht="12.75">
      <c r="A76" s="1"/>
      <c r="B76" s="1"/>
      <c r="C76" s="1"/>
      <c r="D76" s="1"/>
    </row>
    <row r="77" spans="1:4" s="70" customFormat="1" ht="12.75">
      <c r="A77" s="1"/>
      <c r="B77" s="1"/>
      <c r="C77" s="1"/>
      <c r="D77" s="1"/>
    </row>
    <row r="78" spans="1:4" s="70" customFormat="1" ht="12.75">
      <c r="A78" s="1"/>
      <c r="B78" s="1"/>
      <c r="C78" s="1"/>
      <c r="D78" s="1"/>
    </row>
    <row r="79" spans="1:4" s="70" customFormat="1" ht="12.75">
      <c r="A79" s="1"/>
      <c r="B79" s="1"/>
      <c r="C79" s="1"/>
      <c r="D79" s="1"/>
    </row>
    <row r="80" spans="1:4" s="70" customFormat="1" ht="12.75">
      <c r="A80" s="1"/>
      <c r="B80" s="1"/>
      <c r="C80" s="1"/>
      <c r="D80" s="1"/>
    </row>
    <row r="81" spans="1:4" s="70" customFormat="1" ht="12.75">
      <c r="A81" s="1"/>
      <c r="B81" s="1"/>
      <c r="C81" s="1"/>
      <c r="D81" s="1"/>
    </row>
    <row r="82" spans="1:4" s="70" customFormat="1" ht="12.75">
      <c r="A82" s="1"/>
      <c r="B82" s="1"/>
      <c r="C82" s="1"/>
      <c r="D82" s="1"/>
    </row>
    <row r="83" spans="1:4" s="70" customFormat="1" ht="12.75">
      <c r="A83" s="1"/>
      <c r="B83" s="1"/>
      <c r="C83" s="1"/>
      <c r="D83" s="1"/>
    </row>
    <row r="84" spans="1:4" s="70" customFormat="1" ht="12.75">
      <c r="A84" s="1"/>
      <c r="B84" s="1"/>
      <c r="C84" s="1"/>
      <c r="D84" s="1"/>
    </row>
    <row r="85" spans="1:4" s="70" customFormat="1" ht="12.75">
      <c r="A85" s="1"/>
      <c r="B85" s="1"/>
      <c r="C85" s="1"/>
      <c r="D85" s="1"/>
    </row>
    <row r="86" spans="1:4" s="70" customFormat="1" ht="12.75">
      <c r="A86" s="1"/>
      <c r="B86" s="1"/>
      <c r="C86" s="1"/>
      <c r="D86" s="1"/>
    </row>
    <row r="87" spans="1:4" s="70" customFormat="1" ht="12.75">
      <c r="A87" s="1"/>
      <c r="B87" s="1"/>
      <c r="C87" s="1"/>
      <c r="D87" s="1"/>
    </row>
    <row r="88" spans="1:4" s="70" customFormat="1" ht="12.75">
      <c r="A88" s="1"/>
      <c r="B88" s="1"/>
      <c r="C88" s="1"/>
      <c r="D88" s="1"/>
    </row>
    <row r="89" spans="1:4" s="70" customFormat="1" ht="12.75">
      <c r="A89" s="1"/>
      <c r="B89" s="1"/>
      <c r="C89" s="1"/>
      <c r="D89" s="1"/>
    </row>
    <row r="90" spans="1:4" s="70" customFormat="1" ht="12.75">
      <c r="A90" s="1"/>
      <c r="B90" s="1"/>
      <c r="C90" s="1"/>
      <c r="D90" s="1"/>
    </row>
    <row r="91" spans="1:4" s="70" customFormat="1" ht="12.75">
      <c r="A91" s="1"/>
      <c r="B91" s="1"/>
      <c r="C91" s="1"/>
      <c r="D91" s="1"/>
    </row>
    <row r="92" spans="1:4" s="70" customFormat="1" ht="12.75">
      <c r="A92" s="1"/>
      <c r="B92" s="1"/>
      <c r="C92" s="1"/>
      <c r="D92" s="1"/>
    </row>
    <row r="93" spans="1:4" s="70" customFormat="1" ht="12.75">
      <c r="A93" s="1"/>
      <c r="B93" s="1"/>
      <c r="C93" s="1"/>
      <c r="D93" s="1"/>
    </row>
    <row r="94" spans="1:4" s="70" customFormat="1" ht="12.75">
      <c r="A94" s="1"/>
      <c r="B94" s="1"/>
      <c r="C94" s="1"/>
      <c r="D94" s="1"/>
    </row>
    <row r="95" spans="1:4" s="70" customFormat="1" ht="12.75">
      <c r="A95" s="1"/>
      <c r="B95" s="1"/>
      <c r="C95" s="1"/>
      <c r="D95" s="1"/>
    </row>
    <row r="96" spans="1:4" s="70" customFormat="1" ht="12.75">
      <c r="A96" s="1"/>
      <c r="B96" s="1"/>
      <c r="C96" s="1"/>
      <c r="D96" s="1"/>
    </row>
    <row r="97" spans="1:4" s="70" customFormat="1" ht="12.75">
      <c r="A97" s="1"/>
      <c r="B97" s="1"/>
      <c r="C97" s="1"/>
      <c r="D97" s="1"/>
    </row>
    <row r="98" spans="1:4" s="70" customFormat="1" ht="12.75">
      <c r="A98" s="1"/>
      <c r="B98" s="1"/>
      <c r="C98" s="1"/>
      <c r="D98" s="1"/>
    </row>
    <row r="99" spans="1:4" s="70" customFormat="1" ht="12.75">
      <c r="A99" s="1"/>
      <c r="B99" s="1"/>
      <c r="C99" s="1"/>
      <c r="D99" s="1"/>
    </row>
    <row r="100" spans="1:4" s="70" customFormat="1" ht="12.75">
      <c r="A100" s="1"/>
      <c r="B100" s="1"/>
      <c r="C100" s="1"/>
      <c r="D100" s="1"/>
    </row>
    <row r="101" spans="1:4" s="70" customFormat="1" ht="12.75">
      <c r="A101" s="1"/>
      <c r="B101" s="1"/>
      <c r="C101" s="1"/>
      <c r="D101" s="1"/>
    </row>
    <row r="102" spans="1:4" s="70" customFormat="1" ht="12.75">
      <c r="A102" s="1"/>
      <c r="B102" s="1"/>
      <c r="C102" s="1"/>
      <c r="D102" s="1"/>
    </row>
    <row r="103" spans="1:4" s="70" customFormat="1" ht="12.75">
      <c r="A103" s="1"/>
      <c r="B103" s="1"/>
      <c r="C103" s="1"/>
      <c r="D103" s="1"/>
    </row>
    <row r="104" spans="1:4" s="70" customFormat="1" ht="12.75">
      <c r="A104" s="1"/>
      <c r="B104" s="1"/>
      <c r="C104" s="1"/>
      <c r="D104" s="1"/>
    </row>
    <row r="105" spans="1:4" s="70" customFormat="1" ht="12.75">
      <c r="A105" s="1"/>
      <c r="B105" s="1"/>
      <c r="C105" s="1"/>
      <c r="D105" s="1"/>
    </row>
    <row r="106" spans="1:4" s="70" customFormat="1" ht="12.75">
      <c r="A106" s="1"/>
      <c r="B106" s="1"/>
      <c r="C106" s="1"/>
      <c r="D106" s="1"/>
    </row>
    <row r="107" spans="1:4" s="70" customFormat="1" ht="12.75">
      <c r="A107" s="1"/>
      <c r="B107" s="1"/>
      <c r="C107" s="1"/>
      <c r="D107" s="1"/>
    </row>
    <row r="108" spans="1:4" s="70" customFormat="1" ht="12.75">
      <c r="A108" s="1"/>
      <c r="B108" s="1"/>
      <c r="C108" s="1"/>
      <c r="D108" s="1"/>
    </row>
    <row r="109" spans="1:4" s="70" customFormat="1" ht="12.75">
      <c r="A109" s="1"/>
      <c r="B109" s="1"/>
      <c r="C109" s="1"/>
      <c r="D109" s="1"/>
    </row>
    <row r="110" spans="1:4" s="70" customFormat="1" ht="12.75">
      <c r="A110" s="1"/>
      <c r="B110" s="1"/>
      <c r="C110" s="1"/>
      <c r="D110" s="1"/>
    </row>
    <row r="111" spans="1:4" s="70" customFormat="1" ht="12.75">
      <c r="A111" s="1"/>
      <c r="B111" s="1"/>
      <c r="C111" s="1"/>
      <c r="D111" s="1"/>
    </row>
    <row r="112" spans="1:4" s="70" customFormat="1" ht="12.75">
      <c r="A112" s="1"/>
      <c r="B112" s="1"/>
      <c r="C112" s="1"/>
      <c r="D112" s="1"/>
    </row>
    <row r="113" spans="1:4" s="70" customFormat="1" ht="12.75">
      <c r="A113" s="1"/>
      <c r="B113" s="1"/>
      <c r="C113" s="1"/>
      <c r="D113" s="1"/>
    </row>
    <row r="114" spans="1:4" s="70" customFormat="1" ht="12.75">
      <c r="A114" s="1"/>
      <c r="B114" s="1"/>
      <c r="C114" s="1"/>
      <c r="D114" s="1"/>
    </row>
    <row r="115" spans="1:4" s="70" customFormat="1" ht="12.75">
      <c r="A115" s="1"/>
      <c r="B115" s="1"/>
      <c r="C115" s="1"/>
      <c r="D115" s="1"/>
    </row>
    <row r="116" spans="1:4" s="70" customFormat="1" ht="12.75">
      <c r="A116" s="1"/>
      <c r="B116" s="1"/>
      <c r="C116" s="1"/>
      <c r="D116" s="1"/>
    </row>
    <row r="117" spans="1:4" s="70" customFormat="1" ht="12.75">
      <c r="A117" s="1"/>
      <c r="B117" s="1"/>
      <c r="C117" s="1"/>
      <c r="D117" s="1"/>
    </row>
    <row r="118" spans="1:4" s="70" customFormat="1" ht="12.75">
      <c r="A118" s="1"/>
      <c r="B118" s="1"/>
      <c r="C118" s="1"/>
      <c r="D118" s="1"/>
    </row>
    <row r="119" spans="1:4" s="70" customFormat="1" ht="12.75">
      <c r="A119" s="1"/>
      <c r="B119" s="1"/>
      <c r="C119" s="1"/>
      <c r="D119" s="1"/>
    </row>
    <row r="120" spans="1:4" s="70" customFormat="1" ht="12.75">
      <c r="A120" s="1"/>
      <c r="B120" s="1"/>
      <c r="C120" s="1"/>
      <c r="D120" s="1"/>
    </row>
    <row r="121" spans="1:4" s="70" customFormat="1" ht="12.75">
      <c r="A121" s="1"/>
      <c r="B121" s="1"/>
      <c r="C121" s="1"/>
      <c r="D121" s="1"/>
    </row>
    <row r="122" spans="1:4" s="70" customFormat="1" ht="12.75">
      <c r="A122" s="1"/>
      <c r="B122" s="1"/>
      <c r="C122" s="1"/>
      <c r="D122" s="1"/>
    </row>
    <row r="123" spans="1:4" s="70" customFormat="1" ht="12.75">
      <c r="A123" s="1"/>
      <c r="B123" s="1"/>
      <c r="C123" s="1"/>
      <c r="D123" s="1"/>
    </row>
    <row r="124" spans="1:4" s="70" customFormat="1" ht="12.75">
      <c r="A124" s="1"/>
      <c r="B124" s="1"/>
      <c r="C124" s="1"/>
      <c r="D124" s="1"/>
    </row>
    <row r="125" spans="1:4" s="70" customFormat="1" ht="12.75">
      <c r="A125" s="1"/>
      <c r="B125" s="1"/>
      <c r="C125" s="1"/>
      <c r="D125" s="1"/>
    </row>
    <row r="126" spans="1:4" s="70" customFormat="1" ht="12.75">
      <c r="A126" s="1"/>
      <c r="B126" s="1"/>
      <c r="C126" s="1"/>
      <c r="D126" s="1"/>
    </row>
    <row r="127" spans="1:4" s="70" customFormat="1" ht="12.75">
      <c r="A127" s="1"/>
      <c r="B127" s="1"/>
      <c r="C127" s="1"/>
      <c r="D127" s="1"/>
    </row>
    <row r="128" spans="1:4" s="70" customFormat="1" ht="12.75">
      <c r="A128" s="1"/>
      <c r="B128" s="1"/>
      <c r="C128" s="1"/>
      <c r="D128" s="1"/>
    </row>
    <row r="129" spans="1:4" s="70" customFormat="1" ht="12.75">
      <c r="A129" s="1"/>
      <c r="B129" s="1"/>
      <c r="C129" s="1"/>
      <c r="D129" s="1"/>
    </row>
    <row r="130" spans="1:4" s="70" customFormat="1" ht="12.75">
      <c r="A130" s="1"/>
      <c r="B130" s="1"/>
      <c r="C130" s="1"/>
      <c r="D130" s="1"/>
    </row>
    <row r="131" spans="1:4" s="70" customFormat="1" ht="12.75">
      <c r="A131" s="1"/>
      <c r="B131" s="1"/>
      <c r="C131" s="1"/>
      <c r="D131" s="1"/>
    </row>
    <row r="132" spans="1:4" s="70" customFormat="1" ht="12.75">
      <c r="A132" s="1"/>
      <c r="B132" s="1"/>
      <c r="C132" s="1"/>
      <c r="D132" s="1"/>
    </row>
    <row r="133" spans="1:4" s="70" customFormat="1" ht="12.75">
      <c r="A133" s="1"/>
      <c r="B133" s="1"/>
      <c r="C133" s="1"/>
      <c r="D133" s="1"/>
    </row>
    <row r="134" spans="1:4" s="70" customFormat="1" ht="12.75">
      <c r="A134" s="1"/>
      <c r="B134" s="1"/>
      <c r="C134" s="1"/>
      <c r="D134" s="1"/>
    </row>
    <row r="135" spans="1:4" s="70" customFormat="1" ht="12.75">
      <c r="A135" s="1"/>
      <c r="B135" s="1"/>
      <c r="C135" s="1"/>
      <c r="D135" s="1"/>
    </row>
    <row r="136" spans="1:4" s="70" customFormat="1" ht="12.75">
      <c r="A136" s="1"/>
      <c r="B136" s="1"/>
      <c r="C136" s="1"/>
      <c r="D136" s="1"/>
    </row>
    <row r="137" spans="1:4" s="70" customFormat="1" ht="12.75">
      <c r="A137" s="1"/>
      <c r="B137" s="1"/>
      <c r="C137" s="1"/>
      <c r="D137" s="1"/>
    </row>
    <row r="138" spans="1:4" s="70" customFormat="1" ht="12.75">
      <c r="A138" s="1"/>
      <c r="B138" s="1"/>
      <c r="C138" s="1"/>
      <c r="D138" s="1"/>
    </row>
    <row r="139" spans="1:4" s="70" customFormat="1" ht="12.75">
      <c r="A139" s="1"/>
      <c r="B139" s="1"/>
      <c r="C139" s="1"/>
      <c r="D139" s="1"/>
    </row>
    <row r="140" spans="1:4" s="70" customFormat="1" ht="12.75">
      <c r="A140" s="1"/>
      <c r="B140" s="1"/>
      <c r="C140" s="1"/>
      <c r="D140" s="1"/>
    </row>
    <row r="141" spans="1:4" s="70" customFormat="1" ht="12.75">
      <c r="A141" s="1"/>
      <c r="B141" s="1"/>
      <c r="C141" s="1"/>
      <c r="D141" s="1"/>
    </row>
    <row r="142" spans="1:4" s="70" customFormat="1" ht="12.75">
      <c r="A142" s="1"/>
      <c r="B142" s="1"/>
      <c r="C142" s="1"/>
      <c r="D142" s="1"/>
    </row>
    <row r="143" spans="1:4" s="70" customFormat="1" ht="12.75">
      <c r="A143" s="1"/>
      <c r="B143" s="1"/>
      <c r="C143" s="1"/>
      <c r="D143" s="1"/>
    </row>
    <row r="144" spans="1:4" s="70" customFormat="1" ht="12.75">
      <c r="A144" s="1"/>
      <c r="B144" s="1"/>
      <c r="C144" s="1"/>
      <c r="D144" s="1"/>
    </row>
    <row r="145" spans="1:4" s="70" customFormat="1" ht="12.75">
      <c r="A145" s="1"/>
      <c r="B145" s="1"/>
      <c r="C145" s="1"/>
      <c r="D145" s="1"/>
    </row>
    <row r="146" spans="1:4" s="70" customFormat="1" ht="12.75">
      <c r="A146" s="1"/>
      <c r="B146" s="1"/>
      <c r="C146" s="1"/>
      <c r="D146" s="1"/>
    </row>
    <row r="147" spans="1:4" s="70" customFormat="1" ht="12.75">
      <c r="A147" s="1"/>
      <c r="B147" s="1"/>
      <c r="C147" s="1"/>
      <c r="D147" s="1"/>
    </row>
    <row r="148" spans="1:4" s="70" customFormat="1" ht="12.75">
      <c r="A148" s="1"/>
      <c r="B148" s="1"/>
      <c r="C148" s="1"/>
      <c r="D148" s="1"/>
    </row>
    <row r="149" spans="1:4" s="70" customFormat="1" ht="12.75">
      <c r="A149" s="1"/>
      <c r="B149" s="1"/>
      <c r="C149" s="1"/>
      <c r="D149" s="1"/>
    </row>
    <row r="150" spans="1:4" s="70" customFormat="1" ht="12.75">
      <c r="A150" s="1"/>
      <c r="B150" s="1"/>
      <c r="C150" s="1"/>
      <c r="D150" s="1"/>
    </row>
    <row r="151" spans="1:4" s="70" customFormat="1" ht="12.75">
      <c r="A151" s="1"/>
      <c r="B151" s="1"/>
      <c r="C151" s="1"/>
      <c r="D151" s="1"/>
    </row>
    <row r="152" spans="1:4" s="70" customFormat="1" ht="12.75">
      <c r="A152" s="1"/>
      <c r="B152" s="1"/>
      <c r="C152" s="1"/>
      <c r="D152" s="1"/>
    </row>
    <row r="153" spans="1:4" s="70" customFormat="1" ht="12.75">
      <c r="A153" s="1"/>
      <c r="B153" s="1"/>
      <c r="C153" s="1"/>
      <c r="D153" s="1"/>
    </row>
    <row r="154" spans="1:4" s="70" customFormat="1" ht="12.75">
      <c r="A154" s="1"/>
      <c r="B154" s="1"/>
      <c r="C154" s="1"/>
      <c r="D154" s="1"/>
    </row>
    <row r="155" spans="1:4" s="70" customFormat="1" ht="12.75">
      <c r="A155" s="1"/>
      <c r="B155" s="1"/>
      <c r="C155" s="1"/>
      <c r="D155" s="1"/>
    </row>
    <row r="156" spans="1:4" s="70" customFormat="1" ht="12.75">
      <c r="A156" s="1"/>
      <c r="B156" s="1"/>
      <c r="C156" s="1"/>
      <c r="D156" s="1"/>
    </row>
    <row r="157" spans="1:4" s="70" customFormat="1" ht="12.75">
      <c r="A157" s="1"/>
      <c r="B157" s="1"/>
      <c r="C157" s="1"/>
      <c r="D157" s="1"/>
    </row>
    <row r="158" spans="1:4" s="70" customFormat="1" ht="12.75">
      <c r="A158" s="1"/>
      <c r="B158" s="1"/>
      <c r="C158" s="1"/>
      <c r="D158" s="1"/>
    </row>
    <row r="159" spans="1:4" s="70" customFormat="1" ht="12.75">
      <c r="A159" s="1"/>
      <c r="B159" s="1"/>
      <c r="C159" s="1"/>
      <c r="D159" s="1"/>
    </row>
    <row r="160" spans="1:4" s="70" customFormat="1" ht="12.75">
      <c r="A160" s="1"/>
      <c r="B160" s="1"/>
      <c r="C160" s="1"/>
      <c r="D160" s="1"/>
    </row>
    <row r="161" spans="1:4" s="70" customFormat="1" ht="12.75">
      <c r="A161" s="1"/>
      <c r="B161" s="1"/>
      <c r="C161" s="1"/>
      <c r="D161" s="1"/>
    </row>
    <row r="162" spans="1:4" s="70" customFormat="1" ht="12.75">
      <c r="A162" s="1"/>
      <c r="B162" s="1"/>
      <c r="C162" s="1"/>
      <c r="D162" s="1"/>
    </row>
    <row r="163" spans="1:4" s="70" customFormat="1" ht="12.75">
      <c r="A163" s="1"/>
      <c r="B163" s="1"/>
      <c r="C163" s="1"/>
      <c r="D163" s="1"/>
    </row>
    <row r="164" spans="1:4" s="70" customFormat="1" ht="12.75">
      <c r="A164" s="1"/>
      <c r="B164" s="1"/>
      <c r="C164" s="1"/>
      <c r="D164" s="1"/>
    </row>
    <row r="165" spans="1:4" s="70" customFormat="1" ht="12.75">
      <c r="A165" s="1"/>
      <c r="B165" s="1"/>
      <c r="C165" s="1"/>
      <c r="D165" s="1"/>
    </row>
    <row r="166" spans="1:4" s="70" customFormat="1" ht="12.75">
      <c r="A166" s="1"/>
      <c r="B166" s="1"/>
      <c r="C166" s="1"/>
      <c r="D166" s="1"/>
    </row>
    <row r="167" spans="1:4" s="70" customFormat="1" ht="12.75">
      <c r="A167" s="1"/>
      <c r="B167" s="1"/>
      <c r="C167" s="1"/>
      <c r="D167" s="1"/>
    </row>
    <row r="168" spans="1:4" s="70" customFormat="1" ht="12.75">
      <c r="A168" s="1"/>
      <c r="B168" s="1"/>
      <c r="C168" s="1"/>
      <c r="D168" s="1"/>
    </row>
    <row r="169" spans="1:4" s="70" customFormat="1" ht="12.75">
      <c r="A169" s="1"/>
      <c r="B169" s="1"/>
      <c r="C169" s="1"/>
      <c r="D169" s="1"/>
    </row>
    <row r="170" spans="1:4" s="70" customFormat="1" ht="12.75">
      <c r="A170" s="1"/>
      <c r="B170" s="1"/>
      <c r="C170" s="1"/>
      <c r="D170" s="1"/>
    </row>
    <row r="171" spans="1:4" s="70" customFormat="1" ht="12.75">
      <c r="A171" s="1"/>
      <c r="B171" s="1"/>
      <c r="C171" s="1"/>
      <c r="D171" s="1"/>
    </row>
    <row r="172" spans="1:4" s="70" customFormat="1" ht="12.75">
      <c r="A172" s="1"/>
      <c r="B172" s="1"/>
      <c r="C172" s="1"/>
      <c r="D172" s="1"/>
    </row>
    <row r="173" spans="1:4" s="70" customFormat="1" ht="12.75">
      <c r="A173" s="1"/>
      <c r="B173" s="1"/>
      <c r="C173" s="1"/>
      <c r="D173" s="1"/>
    </row>
    <row r="174" spans="1:4" s="70" customFormat="1" ht="12.75">
      <c r="A174" s="1"/>
      <c r="B174" s="1"/>
      <c r="C174" s="1"/>
      <c r="D174" s="1"/>
    </row>
    <row r="175" spans="1:4" s="70" customFormat="1" ht="12.75">
      <c r="A175" s="1"/>
      <c r="B175" s="1"/>
      <c r="C175" s="1"/>
      <c r="D175" s="1"/>
    </row>
    <row r="176" spans="1:4" s="70" customFormat="1" ht="12.75">
      <c r="A176" s="1"/>
      <c r="B176" s="1"/>
      <c r="C176" s="1"/>
      <c r="D176" s="1"/>
    </row>
    <row r="177" spans="1:4" s="70" customFormat="1" ht="12.75">
      <c r="A177" s="1"/>
      <c r="B177" s="1"/>
      <c r="C177" s="1"/>
      <c r="D177" s="1"/>
    </row>
    <row r="178" spans="1:4" s="70" customFormat="1" ht="12.75">
      <c r="A178" s="1"/>
      <c r="B178" s="1"/>
      <c r="C178" s="1"/>
      <c r="D178" s="1"/>
    </row>
    <row r="179" spans="1:4" s="70" customFormat="1" ht="12.75">
      <c r="A179" s="1"/>
      <c r="B179" s="1"/>
      <c r="C179" s="1"/>
      <c r="D179" s="1"/>
    </row>
    <row r="180" spans="1:4" s="70" customFormat="1" ht="12.75">
      <c r="A180" s="1"/>
      <c r="B180" s="1"/>
      <c r="C180" s="1"/>
      <c r="D180" s="1"/>
    </row>
    <row r="181" spans="1:4" s="70" customFormat="1" ht="12.75">
      <c r="A181" s="1"/>
      <c r="B181" s="1"/>
      <c r="C181" s="1"/>
      <c r="D181" s="1"/>
    </row>
    <row r="182" spans="1:4" s="70" customFormat="1" ht="12.75">
      <c r="A182" s="1"/>
      <c r="B182" s="1"/>
      <c r="C182" s="1"/>
      <c r="D182" s="1"/>
    </row>
    <row r="183" spans="1:4" s="70" customFormat="1" ht="12.75">
      <c r="A183" s="1"/>
      <c r="B183" s="1"/>
      <c r="C183" s="1"/>
      <c r="D183" s="1"/>
    </row>
    <row r="184" spans="1:4" s="70" customFormat="1" ht="12.75">
      <c r="A184" s="1"/>
      <c r="B184" s="1"/>
      <c r="C184" s="1"/>
      <c r="D184" s="1"/>
    </row>
    <row r="185" spans="1:4" s="70" customFormat="1" ht="12.75">
      <c r="A185" s="1"/>
      <c r="B185" s="1"/>
      <c r="C185" s="1"/>
      <c r="D185" s="1"/>
    </row>
    <row r="186" spans="1:4" s="70" customFormat="1" ht="12.75">
      <c r="A186" s="1"/>
      <c r="B186" s="1"/>
      <c r="C186" s="1"/>
      <c r="D186" s="1"/>
    </row>
    <row r="187" spans="1:4" s="70" customFormat="1" ht="12.75">
      <c r="A187" s="1"/>
      <c r="B187" s="1"/>
      <c r="C187" s="1"/>
      <c r="D187" s="1"/>
    </row>
    <row r="188" spans="1:4" s="70" customFormat="1" ht="12.75">
      <c r="A188" s="1"/>
      <c r="B188" s="1"/>
      <c r="C188" s="1"/>
      <c r="D188" s="1"/>
    </row>
    <row r="189" spans="1:4" s="70" customFormat="1" ht="12.75">
      <c r="A189" s="1"/>
      <c r="B189" s="1"/>
      <c r="C189" s="1"/>
      <c r="D189" s="1"/>
    </row>
    <row r="190" spans="1:4" s="70" customFormat="1" ht="12.75">
      <c r="A190" s="1"/>
      <c r="B190" s="1"/>
      <c r="C190" s="1"/>
      <c r="D190" s="1"/>
    </row>
    <row r="191" spans="1:4" s="70" customFormat="1" ht="12.75">
      <c r="A191" s="1"/>
      <c r="B191" s="1"/>
      <c r="C191" s="1"/>
      <c r="D191" s="1"/>
    </row>
    <row r="192" spans="1:4" s="70" customFormat="1" ht="12.75">
      <c r="A192" s="1"/>
      <c r="B192" s="1"/>
      <c r="C192" s="1"/>
      <c r="D192" s="1"/>
    </row>
    <row r="193" spans="1:4" s="70" customFormat="1" ht="12.75">
      <c r="A193" s="1"/>
      <c r="B193" s="1"/>
      <c r="C193" s="1"/>
      <c r="D193" s="1"/>
    </row>
    <row r="194" spans="1:4" s="70" customFormat="1" ht="12.75">
      <c r="A194" s="1"/>
      <c r="B194" s="1"/>
      <c r="C194" s="1"/>
      <c r="D194" s="1"/>
    </row>
    <row r="195" spans="1:4" s="70" customFormat="1" ht="12.75">
      <c r="A195" s="1"/>
      <c r="B195" s="1"/>
      <c r="C195" s="1"/>
      <c r="D195" s="1"/>
    </row>
    <row r="196" spans="1:4" s="70" customFormat="1" ht="12.75">
      <c r="A196" s="1"/>
      <c r="B196" s="1"/>
      <c r="C196" s="1"/>
      <c r="D196" s="1"/>
    </row>
    <row r="197" spans="1:4" s="70" customFormat="1" ht="12.75">
      <c r="A197" s="1"/>
      <c r="B197" s="1"/>
      <c r="C197" s="1"/>
      <c r="D197" s="1"/>
    </row>
    <row r="198" spans="1:4" s="70" customFormat="1" ht="12.75">
      <c r="A198" s="1"/>
      <c r="B198" s="1"/>
      <c r="C198" s="1"/>
      <c r="D198" s="1"/>
    </row>
    <row r="199" spans="1:4" s="70" customFormat="1" ht="12.75">
      <c r="A199" s="1"/>
      <c r="B199" s="1"/>
      <c r="C199" s="1"/>
      <c r="D199" s="1"/>
    </row>
    <row r="200" spans="1:4" s="70" customFormat="1" ht="12.75">
      <c r="A200" s="1"/>
      <c r="B200" s="1"/>
      <c r="C200" s="1"/>
      <c r="D200" s="1"/>
    </row>
    <row r="201" spans="1:4" s="70" customFormat="1" ht="12.75">
      <c r="A201" s="1"/>
      <c r="B201" s="1"/>
      <c r="C201" s="1"/>
      <c r="D201" s="1"/>
    </row>
    <row r="202" spans="1:4" s="70" customFormat="1" ht="12.75">
      <c r="A202" s="1"/>
      <c r="B202" s="1"/>
      <c r="C202" s="1"/>
      <c r="D202" s="1"/>
    </row>
    <row r="203" spans="1:4" s="70" customFormat="1" ht="12.75">
      <c r="A203" s="1"/>
      <c r="B203" s="1"/>
      <c r="C203" s="1"/>
      <c r="D203" s="1"/>
    </row>
    <row r="204" spans="1:4" s="70" customFormat="1" ht="12.75">
      <c r="A204" s="1"/>
      <c r="B204" s="1"/>
      <c r="C204" s="1"/>
      <c r="D204" s="1"/>
    </row>
    <row r="205" spans="1:4" s="70" customFormat="1" ht="12.75">
      <c r="A205" s="1"/>
      <c r="B205" s="1"/>
      <c r="C205" s="1"/>
      <c r="D205" s="1"/>
    </row>
    <row r="206" spans="1:4" s="70" customFormat="1" ht="12.75">
      <c r="A206" s="1"/>
      <c r="B206" s="1"/>
      <c r="C206" s="1"/>
      <c r="D206" s="1"/>
    </row>
    <row r="207" spans="1:4" s="70" customFormat="1" ht="12.75">
      <c r="A207" s="1"/>
      <c r="B207" s="1"/>
      <c r="C207" s="1"/>
      <c r="D207" s="1"/>
    </row>
    <row r="208" spans="1:4" s="70" customFormat="1" ht="12.75">
      <c r="A208" s="1"/>
      <c r="B208" s="1"/>
      <c r="C208" s="1"/>
      <c r="D208" s="1"/>
    </row>
    <row r="209" spans="1:4" s="70" customFormat="1" ht="12.75">
      <c r="A209" s="1"/>
      <c r="B209" s="1"/>
      <c r="C209" s="1"/>
      <c r="D209" s="1"/>
    </row>
    <row r="210" spans="1:4" s="70" customFormat="1" ht="12.75">
      <c r="A210" s="1"/>
      <c r="B210" s="1"/>
      <c r="C210" s="1"/>
      <c r="D210" s="1"/>
    </row>
    <row r="211" spans="1:4" s="70" customFormat="1" ht="12.75">
      <c r="A211" s="1"/>
      <c r="B211" s="1"/>
      <c r="C211" s="1"/>
      <c r="D211" s="1"/>
    </row>
    <row r="212" spans="1:4" s="70" customFormat="1" ht="12.75">
      <c r="A212" s="1"/>
      <c r="B212" s="1"/>
      <c r="C212" s="1"/>
      <c r="D212" s="1"/>
    </row>
    <row r="213" spans="1:4" s="70" customFormat="1" ht="12.75">
      <c r="A213" s="1"/>
      <c r="B213" s="1"/>
      <c r="C213" s="1"/>
      <c r="D213" s="1"/>
    </row>
    <row r="214" spans="1:4" s="70" customFormat="1" ht="12.75">
      <c r="A214" s="1"/>
      <c r="B214" s="1"/>
      <c r="C214" s="1"/>
      <c r="D214" s="1"/>
    </row>
    <row r="215" spans="1:4" s="70" customFormat="1" ht="12.75">
      <c r="A215" s="1"/>
      <c r="B215" s="1"/>
      <c r="C215" s="1"/>
      <c r="D215" s="1"/>
    </row>
    <row r="216" spans="1:4" s="70" customFormat="1" ht="12.75">
      <c r="A216" s="1"/>
      <c r="B216" s="1"/>
      <c r="C216" s="1"/>
      <c r="D216" s="1"/>
    </row>
    <row r="217" spans="1:4" s="70" customFormat="1" ht="12.75">
      <c r="A217" s="1"/>
      <c r="B217" s="1"/>
      <c r="C217" s="1"/>
      <c r="D217" s="1"/>
    </row>
    <row r="218" spans="1:4" s="70" customFormat="1" ht="12.75">
      <c r="A218" s="1"/>
      <c r="B218" s="1"/>
      <c r="C218" s="1"/>
      <c r="D218" s="1"/>
    </row>
    <row r="219" spans="1:4" s="70" customFormat="1" ht="12.75">
      <c r="A219" s="1"/>
      <c r="B219" s="1"/>
      <c r="C219" s="1"/>
      <c r="D219" s="1"/>
    </row>
    <row r="220" spans="1:4" s="70" customFormat="1" ht="12.75">
      <c r="A220" s="1"/>
      <c r="B220" s="1"/>
      <c r="C220" s="1"/>
      <c r="D220" s="1"/>
    </row>
    <row r="221" spans="1:4" s="70" customFormat="1" ht="12.75">
      <c r="A221" s="1"/>
      <c r="B221" s="1"/>
      <c r="C221" s="1"/>
      <c r="D221" s="1"/>
    </row>
    <row r="222" spans="1:4" s="70" customFormat="1" ht="12.75">
      <c r="A222" s="1"/>
      <c r="B222" s="1"/>
      <c r="C222" s="1"/>
      <c r="D222" s="1"/>
    </row>
    <row r="223" spans="1:4" s="70" customFormat="1" ht="12.75">
      <c r="A223" s="1"/>
      <c r="B223" s="1"/>
      <c r="C223" s="1"/>
      <c r="D223" s="1"/>
    </row>
    <row r="224" spans="1:4" s="70" customFormat="1" ht="12.75">
      <c r="A224" s="1"/>
      <c r="B224" s="1"/>
      <c r="C224" s="1"/>
      <c r="D224" s="1"/>
    </row>
    <row r="225" spans="1:4" s="70" customFormat="1" ht="12.75">
      <c r="A225" s="1"/>
      <c r="B225" s="1"/>
      <c r="C225" s="1"/>
      <c r="D225" s="1"/>
    </row>
    <row r="226" spans="1:4" s="70" customFormat="1" ht="12.75">
      <c r="A226" s="1"/>
      <c r="B226" s="1"/>
      <c r="C226" s="1"/>
      <c r="D226" s="1"/>
    </row>
    <row r="227" spans="1:4" s="70" customFormat="1" ht="12.75">
      <c r="A227" s="1"/>
      <c r="B227" s="1"/>
      <c r="C227" s="1"/>
      <c r="D227" s="1"/>
    </row>
    <row r="228" spans="1:4" s="70" customFormat="1" ht="12.75">
      <c r="A228" s="1"/>
      <c r="B228" s="1"/>
      <c r="C228" s="1"/>
      <c r="D228" s="1"/>
    </row>
    <row r="229" spans="1:4" s="70" customFormat="1" ht="12.75">
      <c r="A229" s="1"/>
      <c r="B229" s="1"/>
      <c r="C229" s="1"/>
      <c r="D229" s="1"/>
    </row>
    <row r="230" spans="1:4" s="70" customFormat="1" ht="12.75">
      <c r="A230" s="1"/>
      <c r="B230" s="1"/>
      <c r="C230" s="1"/>
      <c r="D230" s="1"/>
    </row>
    <row r="231" spans="1:4" s="70" customFormat="1" ht="12.75">
      <c r="A231" s="1"/>
      <c r="B231" s="1"/>
      <c r="C231" s="1"/>
      <c r="D231" s="1"/>
    </row>
    <row r="232" spans="1:4" s="70" customFormat="1" ht="12.75">
      <c r="A232" s="1"/>
      <c r="B232" s="1"/>
      <c r="C232" s="1"/>
      <c r="D232" s="1"/>
    </row>
    <row r="233" spans="1:4" s="70" customFormat="1" ht="12.75">
      <c r="A233" s="1"/>
      <c r="B233" s="1"/>
      <c r="C233" s="1"/>
      <c r="D233" s="1"/>
    </row>
    <row r="234" spans="1:4" s="70" customFormat="1" ht="12.75">
      <c r="A234" s="1"/>
      <c r="B234" s="1"/>
      <c r="C234" s="1"/>
      <c r="D234" s="1"/>
    </row>
    <row r="235" spans="1:4" s="70" customFormat="1" ht="12.75">
      <c r="A235" s="1"/>
      <c r="B235" s="1"/>
      <c r="C235" s="1"/>
      <c r="D235" s="1"/>
    </row>
    <row r="236" spans="1:4" s="70" customFormat="1" ht="12.75">
      <c r="A236" s="1"/>
      <c r="B236" s="1"/>
      <c r="C236" s="1"/>
      <c r="D236" s="1"/>
    </row>
    <row r="237" spans="1:4" s="70" customFormat="1" ht="12.75">
      <c r="A237" s="1"/>
      <c r="B237" s="1"/>
      <c r="C237" s="1"/>
      <c r="D237" s="1"/>
    </row>
    <row r="238" spans="1:4" s="70" customFormat="1" ht="12.75">
      <c r="A238" s="1"/>
      <c r="B238" s="1"/>
      <c r="C238" s="1"/>
      <c r="D238" s="1"/>
    </row>
    <row r="239" spans="1:4" s="70" customFormat="1" ht="12.75">
      <c r="A239" s="1"/>
      <c r="B239" s="1"/>
      <c r="C239" s="1"/>
      <c r="D239" s="1"/>
    </row>
    <row r="240" spans="1:4" s="70" customFormat="1" ht="12.75">
      <c r="A240" s="1"/>
      <c r="B240" s="1"/>
      <c r="C240" s="1"/>
      <c r="D240" s="1"/>
    </row>
    <row r="241" spans="1:4" s="70" customFormat="1" ht="12.75">
      <c r="A241" s="1"/>
      <c r="B241" s="1"/>
      <c r="C241" s="1"/>
      <c r="D241" s="1"/>
    </row>
    <row r="242" spans="1:4" s="70" customFormat="1" ht="12.75">
      <c r="A242" s="1"/>
      <c r="B242" s="1"/>
      <c r="C242" s="1"/>
      <c r="D242" s="1"/>
    </row>
    <row r="243" spans="1:4" s="70" customFormat="1" ht="12.75">
      <c r="A243" s="1"/>
      <c r="B243" s="1"/>
      <c r="C243" s="1"/>
      <c r="D243" s="1"/>
    </row>
    <row r="244" spans="1:4" s="70" customFormat="1" ht="12.75">
      <c r="A244" s="1"/>
      <c r="B244" s="1"/>
      <c r="C244" s="1"/>
      <c r="D244" s="1"/>
    </row>
    <row r="245" spans="1:4" s="70" customFormat="1" ht="12.75">
      <c r="A245" s="1"/>
      <c r="B245" s="1"/>
      <c r="C245" s="1"/>
      <c r="D245" s="1"/>
    </row>
    <row r="246" spans="1:4" s="70" customFormat="1" ht="12.75">
      <c r="A246" s="1"/>
      <c r="B246" s="1"/>
      <c r="C246" s="1"/>
      <c r="D246" s="1"/>
    </row>
    <row r="247" spans="1:4" s="70" customFormat="1" ht="12.75">
      <c r="A247" s="1"/>
      <c r="B247" s="1"/>
      <c r="C247" s="1"/>
      <c r="D247" s="1"/>
    </row>
    <row r="248" spans="1:4" s="70" customFormat="1" ht="12.75">
      <c r="A248" s="1"/>
      <c r="B248" s="1"/>
      <c r="C248" s="1"/>
      <c r="D248" s="1"/>
    </row>
    <row r="249" spans="1:4" s="70" customFormat="1" ht="12.75">
      <c r="A249" s="1"/>
      <c r="B249" s="1"/>
      <c r="C249" s="1"/>
      <c r="D249" s="1"/>
    </row>
    <row r="250" spans="1:4" s="70" customFormat="1" ht="12.75">
      <c r="A250" s="1"/>
      <c r="B250" s="1"/>
      <c r="C250" s="1"/>
      <c r="D250" s="1"/>
    </row>
    <row r="251" spans="1:4" s="70" customFormat="1" ht="12.75">
      <c r="A251" s="1"/>
      <c r="B251" s="1"/>
      <c r="C251" s="1"/>
      <c r="D251" s="1"/>
    </row>
    <row r="252" spans="1:4" s="70" customFormat="1" ht="12.75">
      <c r="A252" s="1"/>
      <c r="B252" s="1"/>
      <c r="C252" s="1"/>
      <c r="D252" s="1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</sheetData>
  <printOptions horizontalCentered="1"/>
  <pageMargins left="0.7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A5" sqref="A5"/>
    </sheetView>
  </sheetViews>
  <sheetFormatPr defaultColWidth="9.140625" defaultRowHeight="12.75"/>
  <cols>
    <col min="1" max="2" width="2.7109375" style="108" customWidth="1"/>
    <col min="3" max="3" width="65.7109375" style="82" customWidth="1"/>
    <col min="4" max="4" width="14.7109375" style="116" customWidth="1"/>
    <col min="5" max="5" width="14.7109375" style="112" customWidth="1"/>
    <col min="6" max="16384" width="9.140625" style="82" customWidth="1"/>
  </cols>
  <sheetData>
    <row r="1" spans="1:5" ht="15">
      <c r="A1" s="5" t="s">
        <v>2109</v>
      </c>
      <c r="B1" s="79"/>
      <c r="C1" s="79"/>
      <c r="D1" s="80"/>
      <c r="E1" s="81"/>
    </row>
    <row r="2" spans="1:5" ht="15.75">
      <c r="A2" s="11" t="s">
        <v>2206</v>
      </c>
      <c r="B2" s="83"/>
      <c r="C2" s="83"/>
      <c r="D2" s="84"/>
      <c r="E2" s="85"/>
    </row>
    <row r="3" spans="1:5" ht="15.75">
      <c r="A3" s="11" t="s">
        <v>2207</v>
      </c>
      <c r="B3" s="83"/>
      <c r="C3" s="83"/>
      <c r="D3" s="84"/>
      <c r="E3" s="85"/>
    </row>
    <row r="4" spans="1:5" ht="12.75" customHeight="1">
      <c r="A4" s="86" t="s">
        <v>2112</v>
      </c>
      <c r="B4" s="83"/>
      <c r="C4" s="83"/>
      <c r="D4" s="84"/>
      <c r="E4" s="85"/>
    </row>
    <row r="5" spans="1:5" ht="12.75" customHeight="1">
      <c r="A5" s="87"/>
      <c r="B5" s="88"/>
      <c r="C5" s="88"/>
      <c r="D5" s="89">
        <v>2004</v>
      </c>
      <c r="E5" s="90">
        <v>2003</v>
      </c>
    </row>
    <row r="6" spans="1:5" s="96" customFormat="1" ht="12.75" customHeight="1">
      <c r="A6" s="91" t="s">
        <v>2208</v>
      </c>
      <c r="B6" s="92"/>
      <c r="C6" s="93"/>
      <c r="D6" s="94"/>
      <c r="E6" s="95"/>
    </row>
    <row r="7" spans="1:5" s="96" customFormat="1" ht="12.75" customHeight="1">
      <c r="A7" s="91"/>
      <c r="B7" s="92"/>
      <c r="C7" s="93"/>
      <c r="D7" s="94"/>
      <c r="E7" s="95"/>
    </row>
    <row r="8" spans="1:5" ht="12.75" customHeight="1">
      <c r="A8" s="97"/>
      <c r="B8" s="98" t="s">
        <v>2163</v>
      </c>
      <c r="C8" s="99"/>
      <c r="D8" s="100">
        <v>26722</v>
      </c>
      <c r="E8" s="101">
        <v>24941</v>
      </c>
    </row>
    <row r="9" spans="1:5" ht="12.75" customHeight="1">
      <c r="A9" s="97"/>
      <c r="B9" s="98" t="s">
        <v>2209</v>
      </c>
      <c r="C9" s="99"/>
      <c r="D9" s="102">
        <v>37817</v>
      </c>
      <c r="E9" s="103">
        <v>29868</v>
      </c>
    </row>
    <row r="10" spans="1:5" ht="12.75" customHeight="1">
      <c r="A10" s="97"/>
      <c r="B10" s="98" t="s">
        <v>2210</v>
      </c>
      <c r="C10" s="99"/>
      <c r="D10" s="102">
        <v>2809</v>
      </c>
      <c r="E10" s="103">
        <v>673</v>
      </c>
    </row>
    <row r="11" spans="1:5" ht="12.75" customHeight="1">
      <c r="A11" s="97"/>
      <c r="B11" s="98" t="s">
        <v>2211</v>
      </c>
      <c r="C11" s="99"/>
      <c r="D11" s="102">
        <v>7306</v>
      </c>
      <c r="E11" s="103">
        <v>6348</v>
      </c>
    </row>
    <row r="12" spans="1:5" ht="12.75" customHeight="1">
      <c r="A12" s="97"/>
      <c r="B12" s="98" t="s">
        <v>2212</v>
      </c>
      <c r="C12" s="99"/>
      <c r="D12" s="102">
        <v>-28390</v>
      </c>
      <c r="E12" s="103">
        <v>-25366</v>
      </c>
    </row>
    <row r="13" spans="1:5" ht="12.75" customHeight="1">
      <c r="A13" s="97"/>
      <c r="B13" s="98" t="s">
        <v>2213</v>
      </c>
      <c r="C13" s="99"/>
      <c r="D13" s="102">
        <v>-69154</v>
      </c>
      <c r="E13" s="103">
        <v>-67383</v>
      </c>
    </row>
    <row r="14" spans="1:5" ht="12.75" customHeight="1">
      <c r="A14" s="97"/>
      <c r="B14" s="98" t="s">
        <v>2214</v>
      </c>
      <c r="C14" s="99"/>
      <c r="D14" s="102">
        <v>-14643</v>
      </c>
      <c r="E14" s="103">
        <v>-10903</v>
      </c>
    </row>
    <row r="15" spans="1:5" ht="12.75" customHeight="1">
      <c r="A15" s="97"/>
      <c r="B15" s="98" t="s">
        <v>2215</v>
      </c>
      <c r="C15" s="99"/>
      <c r="D15" s="102">
        <v>-1847</v>
      </c>
      <c r="E15" s="103">
        <v>-3193</v>
      </c>
    </row>
    <row r="16" spans="1:5" ht="12.75" customHeight="1">
      <c r="A16" s="97"/>
      <c r="B16" s="98" t="s">
        <v>2216</v>
      </c>
      <c r="C16" s="99"/>
      <c r="D16" s="102">
        <v>-2321</v>
      </c>
      <c r="E16" s="103">
        <v>-2182</v>
      </c>
    </row>
    <row r="17" spans="1:5" ht="12.75" customHeight="1">
      <c r="A17" s="97"/>
      <c r="B17" s="98" t="s">
        <v>2217</v>
      </c>
      <c r="C17" s="99"/>
      <c r="D17" s="102">
        <v>2134</v>
      </c>
      <c r="E17" s="103">
        <v>2016</v>
      </c>
    </row>
    <row r="18" spans="1:5" ht="12.75" customHeight="1">
      <c r="A18" s="97"/>
      <c r="B18" s="98" t="s">
        <v>2218</v>
      </c>
      <c r="C18" s="99"/>
      <c r="D18" s="102">
        <v>194</v>
      </c>
      <c r="E18" s="103">
        <v>186</v>
      </c>
    </row>
    <row r="19" spans="1:5" ht="12.75" customHeight="1">
      <c r="A19" s="97"/>
      <c r="B19" s="98" t="s">
        <v>2219</v>
      </c>
      <c r="C19" s="99"/>
      <c r="D19" s="102">
        <v>1229</v>
      </c>
      <c r="E19" s="103">
        <v>1403</v>
      </c>
    </row>
    <row r="20" spans="1:5" ht="12.75" customHeight="1">
      <c r="A20" s="97"/>
      <c r="B20" s="98"/>
      <c r="C20" s="99"/>
      <c r="D20" s="102"/>
      <c r="E20" s="103"/>
    </row>
    <row r="21" spans="1:5" s="96" customFormat="1" ht="12.75" customHeight="1">
      <c r="A21" s="91"/>
      <c r="B21" s="92"/>
      <c r="C21" s="93" t="s">
        <v>2220</v>
      </c>
      <c r="D21" s="104">
        <f>SUM(D8:D19)</f>
        <v>-38144</v>
      </c>
      <c r="E21" s="105">
        <f>SUM(E8:E19)</f>
        <v>-43592</v>
      </c>
    </row>
    <row r="22" spans="1:5" ht="12.75" customHeight="1">
      <c r="A22" s="97"/>
      <c r="B22" s="98"/>
      <c r="C22" s="99"/>
      <c r="D22" s="102"/>
      <c r="E22" s="103"/>
    </row>
    <row r="23" spans="1:5" s="96" customFormat="1" ht="12.75" customHeight="1">
      <c r="A23" s="91" t="s">
        <v>2221</v>
      </c>
      <c r="B23" s="92"/>
      <c r="C23" s="93"/>
      <c r="D23" s="102"/>
      <c r="E23" s="103"/>
    </row>
    <row r="24" spans="1:5" s="96" customFormat="1" ht="12.75" customHeight="1">
      <c r="A24" s="91"/>
      <c r="B24" s="92"/>
      <c r="C24" s="93"/>
      <c r="D24" s="102"/>
      <c r="E24" s="103"/>
    </row>
    <row r="25" spans="1:5" ht="12.75" customHeight="1">
      <c r="A25" s="97"/>
      <c r="B25" s="98" t="s">
        <v>2222</v>
      </c>
      <c r="C25" s="99"/>
      <c r="D25" s="102">
        <v>6730</v>
      </c>
      <c r="E25" s="103">
        <v>4046</v>
      </c>
    </row>
    <row r="26" spans="1:5" ht="12.75" customHeight="1">
      <c r="A26" s="97"/>
      <c r="B26" s="98" t="s">
        <v>2223</v>
      </c>
      <c r="C26" s="99"/>
      <c r="D26" s="102">
        <v>-22368</v>
      </c>
      <c r="E26" s="103">
        <v>-4142</v>
      </c>
    </row>
    <row r="27" spans="1:5" ht="12.75" customHeight="1">
      <c r="A27" s="97"/>
      <c r="B27" s="98"/>
      <c r="C27" s="99"/>
      <c r="D27" s="102"/>
      <c r="E27" s="103"/>
    </row>
    <row r="28" spans="1:5" s="96" customFormat="1" ht="12.75" customHeight="1">
      <c r="A28" s="91"/>
      <c r="B28" s="92"/>
      <c r="C28" s="93" t="s">
        <v>2224</v>
      </c>
      <c r="D28" s="104">
        <f>SUM(D25:D26)</f>
        <v>-15638</v>
      </c>
      <c r="E28" s="105">
        <f>SUM(E25:E26)</f>
        <v>-96</v>
      </c>
    </row>
    <row r="29" spans="1:5" ht="12.75" customHeight="1">
      <c r="A29" s="97"/>
      <c r="B29" s="98"/>
      <c r="C29" s="99"/>
      <c r="D29" s="102"/>
      <c r="E29" s="103"/>
    </row>
    <row r="30" spans="1:5" s="96" customFormat="1" ht="12.75" customHeight="1">
      <c r="A30" s="91" t="s">
        <v>2225</v>
      </c>
      <c r="B30" s="92"/>
      <c r="C30" s="93"/>
      <c r="D30" s="102"/>
      <c r="E30" s="103"/>
    </row>
    <row r="31" spans="1:5" s="96" customFormat="1" ht="12.75" customHeight="1">
      <c r="A31" s="91"/>
      <c r="B31" s="92"/>
      <c r="C31" s="93"/>
      <c r="D31" s="102"/>
      <c r="E31" s="103"/>
    </row>
    <row r="32" spans="1:5" ht="12.75" customHeight="1">
      <c r="A32" s="97"/>
      <c r="B32" s="98" t="s">
        <v>2226</v>
      </c>
      <c r="C32" s="99"/>
      <c r="D32" s="102">
        <v>0</v>
      </c>
      <c r="E32" s="103">
        <v>1288</v>
      </c>
    </row>
    <row r="33" spans="1:5" ht="12.75" customHeight="1">
      <c r="A33" s="97"/>
      <c r="B33" s="98" t="s">
        <v>2191</v>
      </c>
      <c r="C33" s="99"/>
      <c r="D33" s="102">
        <v>4871</v>
      </c>
      <c r="E33" s="103">
        <v>3829</v>
      </c>
    </row>
    <row r="34" spans="1:5" ht="12.75" customHeight="1">
      <c r="A34" s="97"/>
      <c r="B34" s="98" t="s">
        <v>2197</v>
      </c>
      <c r="C34" s="99"/>
      <c r="D34" s="102">
        <v>766</v>
      </c>
      <c r="E34" s="103">
        <v>386</v>
      </c>
    </row>
    <row r="35" spans="1:5" ht="12.75" customHeight="1">
      <c r="A35" s="97"/>
      <c r="B35" s="98" t="s">
        <v>2227</v>
      </c>
      <c r="C35" s="99"/>
      <c r="D35" s="102">
        <v>12</v>
      </c>
      <c r="E35" s="103">
        <v>0</v>
      </c>
    </row>
    <row r="36" spans="1:5" ht="12.75" customHeight="1">
      <c r="A36" s="97"/>
      <c r="B36" s="98" t="s">
        <v>2228</v>
      </c>
      <c r="C36" s="99"/>
      <c r="D36" s="102">
        <v>-23363</v>
      </c>
      <c r="E36" s="103">
        <v>-12346</v>
      </c>
    </row>
    <row r="37" spans="1:5" ht="12.75" customHeight="1">
      <c r="A37" s="97"/>
      <c r="B37" s="98" t="s">
        <v>2229</v>
      </c>
      <c r="C37" s="99"/>
      <c r="D37" s="102">
        <v>33549</v>
      </c>
      <c r="E37" s="103">
        <v>0</v>
      </c>
    </row>
    <row r="38" spans="1:5" ht="12.75" customHeight="1">
      <c r="A38" s="97"/>
      <c r="B38" s="98" t="s">
        <v>2230</v>
      </c>
      <c r="C38" s="99"/>
      <c r="D38" s="102">
        <v>-213</v>
      </c>
      <c r="E38" s="103">
        <v>-201</v>
      </c>
    </row>
    <row r="39" spans="1:5" ht="12.75" customHeight="1">
      <c r="A39" s="97"/>
      <c r="B39" s="98" t="s">
        <v>2231</v>
      </c>
      <c r="C39" s="99"/>
      <c r="D39" s="102">
        <v>-7737</v>
      </c>
      <c r="E39" s="103">
        <v>0</v>
      </c>
    </row>
    <row r="40" spans="1:5" ht="12.75" customHeight="1">
      <c r="A40" s="97"/>
      <c r="B40" s="98" t="s">
        <v>2232</v>
      </c>
      <c r="C40" s="99"/>
      <c r="D40" s="102">
        <v>-174</v>
      </c>
      <c r="E40" s="103"/>
    </row>
    <row r="41" spans="1:5" ht="12.75" customHeight="1">
      <c r="A41" s="97"/>
      <c r="B41" s="98" t="s">
        <v>2233</v>
      </c>
      <c r="C41" s="99"/>
      <c r="D41" s="102">
        <v>-770</v>
      </c>
      <c r="E41" s="103">
        <v>-428</v>
      </c>
    </row>
    <row r="42" spans="1:5" ht="12.75" customHeight="1">
      <c r="A42" s="97"/>
      <c r="B42" s="98"/>
      <c r="C42" s="99"/>
      <c r="D42" s="102"/>
      <c r="E42" s="103"/>
    </row>
    <row r="43" spans="1:5" s="96" customFormat="1" ht="12.75" customHeight="1">
      <c r="A43" s="91"/>
      <c r="B43" s="92"/>
      <c r="C43" s="93" t="s">
        <v>2234</v>
      </c>
      <c r="D43" s="104">
        <f>SUM(D32:D41)</f>
        <v>6941</v>
      </c>
      <c r="E43" s="105">
        <f>SUM(E32:E41)</f>
        <v>-7472</v>
      </c>
    </row>
    <row r="44" spans="1:5" ht="12.75" customHeight="1">
      <c r="A44" s="97"/>
      <c r="B44" s="98"/>
      <c r="C44" s="99"/>
      <c r="D44" s="102"/>
      <c r="E44" s="103"/>
    </row>
    <row r="45" spans="1:5" s="96" customFormat="1" ht="12.75" customHeight="1">
      <c r="A45" s="91" t="s">
        <v>2235</v>
      </c>
      <c r="B45" s="92"/>
      <c r="C45" s="93"/>
      <c r="D45" s="102"/>
      <c r="E45" s="103"/>
    </row>
    <row r="46" spans="1:5" s="96" customFormat="1" ht="12.75" customHeight="1">
      <c r="A46" s="91"/>
      <c r="B46" s="92"/>
      <c r="C46" s="93"/>
      <c r="D46" s="102"/>
      <c r="E46" s="103"/>
    </row>
    <row r="47" spans="1:5" ht="12.75" customHeight="1">
      <c r="A47" s="97"/>
      <c r="B47" s="98" t="s">
        <v>2236</v>
      </c>
      <c r="C47" s="99"/>
      <c r="D47" s="102">
        <v>44401</v>
      </c>
      <c r="E47" s="103">
        <v>45903</v>
      </c>
    </row>
    <row r="48" spans="1:5" ht="12.75" customHeight="1">
      <c r="A48" s="97"/>
      <c r="B48" s="98" t="s">
        <v>2189</v>
      </c>
      <c r="C48" s="99"/>
      <c r="D48" s="102">
        <v>0</v>
      </c>
      <c r="E48" s="103">
        <v>45</v>
      </c>
    </row>
    <row r="49" spans="1:5" ht="12.75" customHeight="1">
      <c r="A49" s="97"/>
      <c r="B49" s="98" t="s">
        <v>2237</v>
      </c>
      <c r="C49" s="99"/>
      <c r="D49" s="102">
        <v>871</v>
      </c>
      <c r="E49" s="103">
        <v>3130</v>
      </c>
    </row>
    <row r="50" spans="1:5" ht="12.75" customHeight="1">
      <c r="A50" s="97"/>
      <c r="B50" s="98" t="s">
        <v>2238</v>
      </c>
      <c r="C50" s="99"/>
      <c r="D50" s="102">
        <v>-636</v>
      </c>
      <c r="E50" s="103">
        <v>-618</v>
      </c>
    </row>
    <row r="51" spans="1:5" ht="12.75" customHeight="1">
      <c r="A51" s="97"/>
      <c r="B51" s="98" t="s">
        <v>2239</v>
      </c>
      <c r="C51" s="99"/>
      <c r="D51" s="102">
        <v>71</v>
      </c>
      <c r="E51" s="103">
        <v>-345</v>
      </c>
    </row>
    <row r="52" spans="1:5" ht="12.75" customHeight="1">
      <c r="A52" s="97"/>
      <c r="B52" s="98"/>
      <c r="C52" s="99"/>
      <c r="D52" s="102"/>
      <c r="E52" s="103"/>
    </row>
    <row r="53" spans="1:5" s="96" customFormat="1" ht="12.75" customHeight="1">
      <c r="A53" s="91"/>
      <c r="B53" s="92"/>
      <c r="C53" s="93" t="s">
        <v>2240</v>
      </c>
      <c r="D53" s="104">
        <f>SUM(D47:D51)</f>
        <v>44707</v>
      </c>
      <c r="E53" s="105">
        <f>SUM(E47:E51)</f>
        <v>48115</v>
      </c>
    </row>
    <row r="54" spans="1:5" ht="12.75" customHeight="1">
      <c r="A54" s="97"/>
      <c r="B54" s="98"/>
      <c r="C54" s="99"/>
      <c r="D54" s="102"/>
      <c r="E54" s="103"/>
    </row>
    <row r="55" spans="1:5" s="96" customFormat="1" ht="12.75" customHeight="1">
      <c r="A55" s="91"/>
      <c r="B55" s="92" t="s">
        <v>2241</v>
      </c>
      <c r="C55" s="93"/>
      <c r="D55" s="104">
        <f>D21+D28+D43+D53</f>
        <v>-2134</v>
      </c>
      <c r="E55" s="105">
        <f>E21+E28+E43+E53</f>
        <v>-3045</v>
      </c>
    </row>
    <row r="56" spans="1:5" ht="12.75" customHeight="1">
      <c r="A56" s="97"/>
      <c r="B56" s="98"/>
      <c r="C56" s="99"/>
      <c r="D56" s="102"/>
      <c r="E56" s="103"/>
    </row>
    <row r="57" spans="1:5" s="96" customFormat="1" ht="12.75" customHeight="1">
      <c r="A57" s="91" t="s">
        <v>2242</v>
      </c>
      <c r="B57" s="92"/>
      <c r="C57" s="93"/>
      <c r="D57" s="104">
        <f>E59</f>
        <v>17318</v>
      </c>
      <c r="E57" s="105">
        <v>20363</v>
      </c>
    </row>
    <row r="58" spans="1:5" ht="12.75" customHeight="1">
      <c r="A58" s="97"/>
      <c r="B58" s="98"/>
      <c r="C58" s="99"/>
      <c r="D58" s="102"/>
      <c r="E58" s="103"/>
    </row>
    <row r="59" spans="1:5" s="96" customFormat="1" ht="12.75" customHeight="1">
      <c r="A59" s="91" t="s">
        <v>2243</v>
      </c>
      <c r="B59" s="92"/>
      <c r="C59" s="93"/>
      <c r="D59" s="106">
        <f>D55+D57</f>
        <v>15184</v>
      </c>
      <c r="E59" s="107">
        <f>E55+E57</f>
        <v>17318</v>
      </c>
    </row>
    <row r="60" spans="4:5" ht="12.75">
      <c r="D60" s="109"/>
      <c r="E60" s="110"/>
    </row>
    <row r="61" ht="6" customHeight="1" hidden="1">
      <c r="D61" s="111"/>
    </row>
    <row r="62" spans="1:4" ht="12.75" hidden="1">
      <c r="A62" s="113" t="s">
        <v>2244</v>
      </c>
      <c r="D62" s="111"/>
    </row>
    <row r="63" spans="2:4" ht="12.75" hidden="1">
      <c r="B63" s="113" t="s">
        <v>2245</v>
      </c>
      <c r="D63" s="111"/>
    </row>
    <row r="64" spans="2:4" ht="12.75" hidden="1">
      <c r="B64" s="108" t="s">
        <v>2246</v>
      </c>
      <c r="D64" s="109"/>
    </row>
    <row r="65" spans="2:4" ht="12.75" hidden="1">
      <c r="B65" s="108" t="s">
        <v>2247</v>
      </c>
      <c r="D65" s="111"/>
    </row>
    <row r="66" spans="3:4" ht="12.75" hidden="1">
      <c r="C66" s="82" t="s">
        <v>2245</v>
      </c>
      <c r="D66" s="111"/>
    </row>
    <row r="67" spans="3:4" ht="12.75" hidden="1">
      <c r="C67" s="82" t="s">
        <v>2248</v>
      </c>
      <c r="D67" s="111"/>
    </row>
    <row r="68" spans="3:4" ht="12.75" hidden="1">
      <c r="C68" s="82" t="s">
        <v>2249</v>
      </c>
      <c r="D68" s="111"/>
    </row>
    <row r="69" spans="3:4" ht="12.75" hidden="1">
      <c r="C69" s="82" t="s">
        <v>2250</v>
      </c>
      <c r="D69" s="111"/>
    </row>
    <row r="70" spans="3:4" ht="12.75" hidden="1">
      <c r="C70" s="82" t="s">
        <v>2251</v>
      </c>
      <c r="D70" s="111"/>
    </row>
    <row r="71" spans="3:4" ht="12.75" hidden="1">
      <c r="C71" s="82" t="s">
        <v>2252</v>
      </c>
      <c r="D71" s="111"/>
    </row>
    <row r="72" spans="3:4" ht="12.75" hidden="1">
      <c r="C72" s="82" t="s">
        <v>2253</v>
      </c>
      <c r="D72" s="111"/>
    </row>
    <row r="73" spans="3:4" ht="12.75" hidden="1">
      <c r="C73" s="82" t="s">
        <v>2254</v>
      </c>
      <c r="D73" s="111"/>
    </row>
    <row r="74" spans="1:5" s="45" customFormat="1" ht="12.75" hidden="1">
      <c r="A74" s="1"/>
      <c r="B74" s="1"/>
      <c r="C74" s="2" t="s">
        <v>2255</v>
      </c>
      <c r="D74" s="114"/>
      <c r="E74" s="115"/>
    </row>
    <row r="75" ht="6" customHeight="1" hidden="1"/>
    <row r="76" spans="1:5" s="96" customFormat="1" ht="13.5" hidden="1" thickBot="1">
      <c r="A76" s="113"/>
      <c r="B76" s="113"/>
      <c r="C76" s="96" t="s">
        <v>2256</v>
      </c>
      <c r="D76" s="117">
        <f>SUM(D64:D74)</f>
        <v>0</v>
      </c>
      <c r="E76" s="118"/>
    </row>
    <row r="81" ht="12.75">
      <c r="A81" s="1"/>
    </row>
  </sheetData>
  <printOptions horizontalCentered="1"/>
  <pageMargins left="0.75" right="0.5" top="0.5" bottom="0.5" header="0.5" footer="0.5"/>
  <pageSetup firstPageNumber="15" useFirstPageNumber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8"/>
  <sheetViews>
    <sheetView workbookViewId="0" topLeftCell="B2">
      <selection activeCell="B10" sqref="B10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1" customWidth="1"/>
    <col min="3" max="3" width="45.7109375" style="2" customWidth="1"/>
    <col min="4" max="4" width="7.140625" style="1" customWidth="1"/>
    <col min="5" max="6" width="18.7109375" style="2" hidden="1" customWidth="1" outlineLevel="1"/>
    <col min="7" max="7" width="16.7109375" style="2" customWidth="1" collapsed="1"/>
    <col min="8" max="8" width="16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6.7109375" style="2" customWidth="1" collapsed="1"/>
    <col min="17" max="20" width="18.7109375" style="2" hidden="1" customWidth="1" outlineLevel="1"/>
    <col min="21" max="21" width="16.7109375" style="2" customWidth="1" collapsed="1"/>
    <col min="22" max="22" width="16.7109375" style="2" customWidth="1"/>
    <col min="23" max="23" width="16.7109375" style="119" customWidth="1"/>
    <col min="24" max="24" width="18.7109375" style="2" hidden="1" customWidth="1"/>
    <col min="25" max="25" width="18.7109375" style="120" hidden="1" customWidth="1"/>
    <col min="26" max="29" width="0" style="120" hidden="1" customWidth="1"/>
    <col min="30" max="16384" width="9.140625" style="120" customWidth="1"/>
  </cols>
  <sheetData>
    <row r="1" spans="1:25" ht="12.75" hidden="1">
      <c r="A1" s="2" t="s">
        <v>2257</v>
      </c>
      <c r="B1" s="1" t="s">
        <v>2106</v>
      </c>
      <c r="C1" s="2" t="s">
        <v>2107</v>
      </c>
      <c r="D1" s="1" t="s">
        <v>2258</v>
      </c>
      <c r="E1" s="2" t="s">
        <v>2259</v>
      </c>
      <c r="F1" s="2" t="s">
        <v>2260</v>
      </c>
      <c r="G1" s="2" t="s">
        <v>2108</v>
      </c>
      <c r="H1" s="2" t="s">
        <v>2261</v>
      </c>
      <c r="I1" s="2" t="s">
        <v>2262</v>
      </c>
      <c r="J1" s="2" t="s">
        <v>2263</v>
      </c>
      <c r="K1" s="2" t="s">
        <v>2264</v>
      </c>
      <c r="L1" s="2" t="s">
        <v>2108</v>
      </c>
      <c r="M1" s="2" t="s">
        <v>2265</v>
      </c>
      <c r="N1" s="2" t="s">
        <v>2266</v>
      </c>
      <c r="O1" s="2" t="s">
        <v>2267</v>
      </c>
      <c r="P1" s="2" t="s">
        <v>2108</v>
      </c>
      <c r="Q1" s="2" t="s">
        <v>2268</v>
      </c>
      <c r="R1" s="2" t="s">
        <v>2269</v>
      </c>
      <c r="S1" s="2" t="s">
        <v>2270</v>
      </c>
      <c r="T1" s="2" t="s">
        <v>2271</v>
      </c>
      <c r="U1" s="2" t="s">
        <v>2108</v>
      </c>
      <c r="V1" s="2" t="s">
        <v>2272</v>
      </c>
      <c r="W1" s="119" t="s">
        <v>2108</v>
      </c>
      <c r="X1" s="2" t="s">
        <v>2273</v>
      </c>
      <c r="Y1" s="120" t="s">
        <v>2108</v>
      </c>
    </row>
    <row r="2" spans="1:25" s="126" customFormat="1" ht="15.75" customHeight="1">
      <c r="A2" s="121"/>
      <c r="B2" s="49" t="str">
        <f>"University of Missouri - "&amp;RBN</f>
        <v>University of Missouri - Rolla</v>
      </c>
      <c r="C2" s="122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  <c r="X2" s="123"/>
      <c r="Y2" s="125"/>
    </row>
    <row r="3" spans="1:25" s="130" customFormat="1" ht="15.75" customHeight="1">
      <c r="A3" s="127"/>
      <c r="B3" s="54" t="s">
        <v>2274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28"/>
      <c r="X3" s="13"/>
      <c r="Y3" s="129"/>
    </row>
    <row r="4" spans="1:29" ht="15.75" customHeight="1">
      <c r="A4" s="131"/>
      <c r="B4" s="132" t="str">
        <f>"  As of "&amp;TEXT(Z4,"MMMM DD, YYY")</f>
        <v>  As of June 30, 2004</v>
      </c>
      <c r="C4" s="16"/>
      <c r="D4" s="16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  <c r="X4" s="133"/>
      <c r="Y4" s="135"/>
      <c r="Z4" s="2" t="s">
        <v>2275</v>
      </c>
      <c r="AC4" s="120" t="s">
        <v>2276</v>
      </c>
    </row>
    <row r="5" spans="1:26" ht="12.75" customHeight="1">
      <c r="A5" s="131"/>
      <c r="B5" s="136"/>
      <c r="C5" s="137"/>
      <c r="D5" s="137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9"/>
      <c r="X5" s="138"/>
      <c r="Y5" s="140"/>
      <c r="Z5" s="2"/>
    </row>
    <row r="6" spans="1:25" ht="12.75">
      <c r="A6" s="22"/>
      <c r="B6" s="141"/>
      <c r="C6" s="142"/>
      <c r="D6" s="143"/>
      <c r="E6" s="27"/>
      <c r="F6" s="27"/>
      <c r="G6" s="141"/>
      <c r="H6" s="143"/>
      <c r="I6" s="144"/>
      <c r="J6" s="144"/>
      <c r="K6" s="145"/>
      <c r="L6" s="145"/>
      <c r="M6" s="144" t="s">
        <v>2152</v>
      </c>
      <c r="N6" s="144" t="s">
        <v>2277</v>
      </c>
      <c r="O6" s="144" t="s">
        <v>2278</v>
      </c>
      <c r="P6" s="145"/>
      <c r="Q6" s="146" t="s">
        <v>2279</v>
      </c>
      <c r="R6" s="147"/>
      <c r="S6" s="147"/>
      <c r="T6" s="147"/>
      <c r="U6" s="148"/>
      <c r="V6" s="149"/>
      <c r="W6" s="145" t="s">
        <v>2280</v>
      </c>
      <c r="X6" s="149"/>
      <c r="Y6" s="145" t="s">
        <v>2280</v>
      </c>
    </row>
    <row r="7" spans="1:25" ht="12.75">
      <c r="A7" s="22"/>
      <c r="B7" s="150"/>
      <c r="C7" s="29"/>
      <c r="D7" s="151"/>
      <c r="E7" s="27"/>
      <c r="F7" s="27"/>
      <c r="G7" s="150"/>
      <c r="H7" s="151"/>
      <c r="I7" s="144" t="s">
        <v>2152</v>
      </c>
      <c r="J7" s="144" t="s">
        <v>2277</v>
      </c>
      <c r="K7" s="144" t="s">
        <v>2278</v>
      </c>
      <c r="L7" s="152"/>
      <c r="M7" s="144" t="s">
        <v>2281</v>
      </c>
      <c r="N7" s="144" t="s">
        <v>2281</v>
      </c>
      <c r="O7" s="144" t="s">
        <v>2281</v>
      </c>
      <c r="P7" s="152" t="s">
        <v>2281</v>
      </c>
      <c r="Q7" s="144" t="s">
        <v>2152</v>
      </c>
      <c r="R7" s="144" t="s">
        <v>2282</v>
      </c>
      <c r="S7" s="153"/>
      <c r="T7" s="153"/>
      <c r="U7" s="152"/>
      <c r="V7" s="154"/>
      <c r="W7" s="152" t="s">
        <v>2283</v>
      </c>
      <c r="X7" s="154"/>
      <c r="Y7" s="152" t="s">
        <v>2283</v>
      </c>
    </row>
    <row r="8" spans="1:25" ht="12.75">
      <c r="A8" s="22"/>
      <c r="B8" s="150"/>
      <c r="C8" s="29"/>
      <c r="D8" s="151"/>
      <c r="E8" s="155"/>
      <c r="F8" s="155"/>
      <c r="G8" s="156" t="s">
        <v>2284</v>
      </c>
      <c r="H8" s="156"/>
      <c r="I8" s="144" t="s">
        <v>2285</v>
      </c>
      <c r="J8" s="144" t="s">
        <v>2285</v>
      </c>
      <c r="K8" s="144" t="s">
        <v>2285</v>
      </c>
      <c r="L8" s="152" t="s">
        <v>2285</v>
      </c>
      <c r="M8" s="144" t="s">
        <v>2286</v>
      </c>
      <c r="N8" s="144" t="s">
        <v>2286</v>
      </c>
      <c r="O8" s="144" t="s">
        <v>2286</v>
      </c>
      <c r="P8" s="152" t="s">
        <v>2286</v>
      </c>
      <c r="Q8" s="144" t="s">
        <v>2287</v>
      </c>
      <c r="R8" s="144" t="s">
        <v>2287</v>
      </c>
      <c r="S8" s="144" t="s">
        <v>2288</v>
      </c>
      <c r="T8" s="144" t="s">
        <v>2289</v>
      </c>
      <c r="U8" s="152" t="s">
        <v>2290</v>
      </c>
      <c r="V8" s="154"/>
      <c r="W8" s="152" t="s">
        <v>2291</v>
      </c>
      <c r="X8" s="152" t="s">
        <v>2292</v>
      </c>
      <c r="Y8" s="152" t="s">
        <v>2293</v>
      </c>
    </row>
    <row r="9" spans="1:25" ht="12.75">
      <c r="A9" s="22"/>
      <c r="B9" s="157"/>
      <c r="C9" s="158"/>
      <c r="D9" s="159"/>
      <c r="E9" s="144" t="s">
        <v>2152</v>
      </c>
      <c r="F9" s="144" t="s">
        <v>2294</v>
      </c>
      <c r="G9" s="144" t="s">
        <v>2152</v>
      </c>
      <c r="H9" s="144" t="s">
        <v>2277</v>
      </c>
      <c r="I9" s="144" t="s">
        <v>2283</v>
      </c>
      <c r="J9" s="144" t="s">
        <v>2283</v>
      </c>
      <c r="K9" s="144" t="s">
        <v>2283</v>
      </c>
      <c r="L9" s="160" t="s">
        <v>2283</v>
      </c>
      <c r="M9" s="144" t="s">
        <v>2283</v>
      </c>
      <c r="N9" s="144" t="s">
        <v>2283</v>
      </c>
      <c r="O9" s="144" t="s">
        <v>2283</v>
      </c>
      <c r="P9" s="160" t="s">
        <v>2283</v>
      </c>
      <c r="Q9" s="144" t="s">
        <v>2295</v>
      </c>
      <c r="R9" s="144" t="s">
        <v>2295</v>
      </c>
      <c r="S9" s="144" t="s">
        <v>2292</v>
      </c>
      <c r="T9" s="144" t="s">
        <v>2296</v>
      </c>
      <c r="U9" s="160" t="s">
        <v>2283</v>
      </c>
      <c r="V9" s="160" t="s">
        <v>2297</v>
      </c>
      <c r="W9" s="160" t="s">
        <v>2292</v>
      </c>
      <c r="X9" s="160" t="s">
        <v>2283</v>
      </c>
      <c r="Y9" s="160" t="s">
        <v>2292</v>
      </c>
    </row>
    <row r="10" spans="1:25" ht="12.75" customHeight="1">
      <c r="A10" s="22"/>
      <c r="B10" s="23"/>
      <c r="C10" s="161"/>
      <c r="D10" s="2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55"/>
    </row>
    <row r="11" spans="1:25" ht="12.75" customHeight="1">
      <c r="A11" s="29"/>
      <c r="B11" s="23" t="s">
        <v>2113</v>
      </c>
      <c r="C11" s="161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44"/>
      <c r="X11" s="27"/>
      <c r="Y11" s="155"/>
    </row>
    <row r="12" spans="1:25" ht="12.75" customHeight="1">
      <c r="A12" s="1"/>
      <c r="B12" s="30"/>
      <c r="C12" s="162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63"/>
      <c r="X12" s="32"/>
      <c r="Y12" s="155"/>
    </row>
    <row r="13" spans="1:25" ht="12.75" customHeight="1">
      <c r="A13" s="29"/>
      <c r="B13" s="23" t="s">
        <v>2114</v>
      </c>
      <c r="C13" s="161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44"/>
      <c r="X13" s="27"/>
      <c r="Y13" s="155"/>
    </row>
    <row r="14" spans="1:25" ht="12.75" customHeight="1">
      <c r="A14" s="162" t="s">
        <v>2298</v>
      </c>
      <c r="B14" s="30"/>
      <c r="C14" s="162" t="s">
        <v>2115</v>
      </c>
      <c r="D14" s="31"/>
      <c r="E14" s="32">
        <v>0</v>
      </c>
      <c r="F14" s="32">
        <v>0</v>
      </c>
      <c r="G14" s="34">
        <f aca="true" t="shared" si="0" ref="G14:G45">E14+F14</f>
        <v>0</v>
      </c>
      <c r="H14" s="34">
        <v>0</v>
      </c>
      <c r="I14" s="34">
        <v>0</v>
      </c>
      <c r="J14" s="34">
        <v>0</v>
      </c>
      <c r="K14" s="34">
        <v>0</v>
      </c>
      <c r="L14" s="34">
        <f aca="true" t="shared" si="1" ref="L14:L45">I14+J14+K14</f>
        <v>0</v>
      </c>
      <c r="M14" s="34">
        <v>0</v>
      </c>
      <c r="N14" s="34">
        <v>0</v>
      </c>
      <c r="O14" s="34">
        <v>0</v>
      </c>
      <c r="P14" s="34">
        <f aca="true" t="shared" si="2" ref="P14:P45">M14+N14+O14</f>
        <v>0</v>
      </c>
      <c r="Q14" s="34">
        <v>0</v>
      </c>
      <c r="R14" s="34">
        <v>0</v>
      </c>
      <c r="S14" s="34">
        <v>0</v>
      </c>
      <c r="T14" s="34">
        <v>0</v>
      </c>
      <c r="U14" s="34">
        <f aca="true" t="shared" si="3" ref="U14:U45">Q14+R14+S14+T14</f>
        <v>0</v>
      </c>
      <c r="V14" s="34">
        <v>0</v>
      </c>
      <c r="W14" s="164">
        <f aca="true" t="shared" si="4" ref="W14:W45">G14+H14+L14+P14+U14+V14</f>
        <v>0</v>
      </c>
      <c r="X14" s="32">
        <v>0</v>
      </c>
      <c r="Y14" s="165">
        <f aca="true" t="shared" si="5" ref="Y14:Y45">W14+X14</f>
        <v>0</v>
      </c>
    </row>
    <row r="15" spans="1:25" ht="12.75" hidden="1" outlineLevel="1">
      <c r="A15" s="2" t="s">
        <v>2299</v>
      </c>
      <c r="C15" s="2" t="s">
        <v>2300</v>
      </c>
      <c r="D15" s="1" t="s">
        <v>2301</v>
      </c>
      <c r="E15" s="2">
        <v>16037.48</v>
      </c>
      <c r="F15" s="2">
        <v>0</v>
      </c>
      <c r="G15" s="166">
        <f t="shared" si="0"/>
        <v>16037.48</v>
      </c>
      <c r="H15" s="166">
        <v>0</v>
      </c>
      <c r="I15" s="166">
        <v>0</v>
      </c>
      <c r="J15" s="166">
        <v>0</v>
      </c>
      <c r="K15" s="166">
        <v>0</v>
      </c>
      <c r="L15" s="166">
        <f t="shared" si="1"/>
        <v>0</v>
      </c>
      <c r="M15" s="166">
        <v>0</v>
      </c>
      <c r="N15" s="166">
        <v>0</v>
      </c>
      <c r="O15" s="166">
        <v>0</v>
      </c>
      <c r="P15" s="166">
        <f t="shared" si="2"/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f t="shared" si="3"/>
        <v>0</v>
      </c>
      <c r="V15" s="166">
        <v>0</v>
      </c>
      <c r="W15" s="167">
        <f t="shared" si="4"/>
        <v>16037.48</v>
      </c>
      <c r="X15" s="2">
        <v>0</v>
      </c>
      <c r="Y15" s="168">
        <f t="shared" si="5"/>
        <v>16037.48</v>
      </c>
    </row>
    <row r="16" spans="1:25" ht="12.75" hidden="1" outlineLevel="1">
      <c r="A16" s="2" t="s">
        <v>2302</v>
      </c>
      <c r="C16" s="2" t="s">
        <v>2303</v>
      </c>
      <c r="D16" s="1" t="s">
        <v>2304</v>
      </c>
      <c r="E16" s="2">
        <v>100</v>
      </c>
      <c r="F16" s="2">
        <v>0</v>
      </c>
      <c r="G16" s="166">
        <f t="shared" si="0"/>
        <v>100</v>
      </c>
      <c r="H16" s="166">
        <v>0</v>
      </c>
      <c r="I16" s="166">
        <v>0</v>
      </c>
      <c r="J16" s="166">
        <v>0</v>
      </c>
      <c r="K16" s="166">
        <v>0</v>
      </c>
      <c r="L16" s="166">
        <f t="shared" si="1"/>
        <v>0</v>
      </c>
      <c r="M16" s="166">
        <v>0</v>
      </c>
      <c r="N16" s="166">
        <v>0</v>
      </c>
      <c r="O16" s="166">
        <v>0</v>
      </c>
      <c r="P16" s="166">
        <f t="shared" si="2"/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f t="shared" si="3"/>
        <v>0</v>
      </c>
      <c r="V16" s="166">
        <v>0</v>
      </c>
      <c r="W16" s="167">
        <f t="shared" si="4"/>
        <v>100</v>
      </c>
      <c r="X16" s="2">
        <v>0</v>
      </c>
      <c r="Y16" s="168">
        <f t="shared" si="5"/>
        <v>100</v>
      </c>
    </row>
    <row r="17" spans="1:25" ht="12.75" hidden="1" outlineLevel="1">
      <c r="A17" s="2" t="s">
        <v>2305</v>
      </c>
      <c r="C17" s="2" t="s">
        <v>2306</v>
      </c>
      <c r="D17" s="1" t="s">
        <v>2307</v>
      </c>
      <c r="E17" s="2">
        <v>5555427.6</v>
      </c>
      <c r="F17" s="2">
        <v>0</v>
      </c>
      <c r="G17" s="166">
        <f t="shared" si="0"/>
        <v>5555427.6</v>
      </c>
      <c r="H17" s="166">
        <v>0</v>
      </c>
      <c r="I17" s="166">
        <v>0</v>
      </c>
      <c r="J17" s="166">
        <v>0</v>
      </c>
      <c r="K17" s="166">
        <v>236451.35</v>
      </c>
      <c r="L17" s="166">
        <f t="shared" si="1"/>
        <v>236451.35</v>
      </c>
      <c r="M17" s="166">
        <v>0</v>
      </c>
      <c r="N17" s="166">
        <v>40388.73</v>
      </c>
      <c r="O17" s="166">
        <v>0</v>
      </c>
      <c r="P17" s="166">
        <f t="shared" si="2"/>
        <v>40388.73</v>
      </c>
      <c r="Q17" s="166">
        <v>640614.78</v>
      </c>
      <c r="R17" s="166">
        <v>2567550.12</v>
      </c>
      <c r="S17" s="166">
        <v>35547.83</v>
      </c>
      <c r="T17" s="166">
        <v>0</v>
      </c>
      <c r="U17" s="166">
        <f t="shared" si="3"/>
        <v>3243712.7300000004</v>
      </c>
      <c r="V17" s="166">
        <v>27796.09</v>
      </c>
      <c r="W17" s="167">
        <f t="shared" si="4"/>
        <v>9103776.5</v>
      </c>
      <c r="X17" s="2">
        <v>0</v>
      </c>
      <c r="Y17" s="168">
        <f t="shared" si="5"/>
        <v>9103776.5</v>
      </c>
    </row>
    <row r="18" spans="1:25" ht="12.75" hidden="1" outlineLevel="1">
      <c r="A18" s="2" t="s">
        <v>2308</v>
      </c>
      <c r="C18" s="2" t="s">
        <v>2309</v>
      </c>
      <c r="D18" s="1" t="s">
        <v>2310</v>
      </c>
      <c r="E18" s="2">
        <v>0</v>
      </c>
      <c r="F18" s="2">
        <v>0</v>
      </c>
      <c r="G18" s="166">
        <f t="shared" si="0"/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f t="shared" si="1"/>
        <v>0</v>
      </c>
      <c r="M18" s="166">
        <v>0</v>
      </c>
      <c r="N18" s="166">
        <v>49402.33</v>
      </c>
      <c r="O18" s="166">
        <v>0</v>
      </c>
      <c r="P18" s="166">
        <f t="shared" si="2"/>
        <v>49402.33</v>
      </c>
      <c r="Q18" s="166">
        <v>0</v>
      </c>
      <c r="R18" s="166">
        <v>0</v>
      </c>
      <c r="S18" s="166">
        <v>0</v>
      </c>
      <c r="T18" s="166">
        <v>0</v>
      </c>
      <c r="U18" s="166">
        <f t="shared" si="3"/>
        <v>0</v>
      </c>
      <c r="V18" s="166">
        <v>0</v>
      </c>
      <c r="W18" s="167">
        <f t="shared" si="4"/>
        <v>49402.33</v>
      </c>
      <c r="X18" s="2">
        <v>0</v>
      </c>
      <c r="Y18" s="168">
        <f t="shared" si="5"/>
        <v>49402.33</v>
      </c>
    </row>
    <row r="19" spans="1:25" ht="12.75" hidden="1" outlineLevel="1">
      <c r="A19" s="2" t="s">
        <v>2311</v>
      </c>
      <c r="C19" s="2" t="s">
        <v>2312</v>
      </c>
      <c r="D19" s="1" t="s">
        <v>2313</v>
      </c>
      <c r="E19" s="2">
        <v>0</v>
      </c>
      <c r="F19" s="2">
        <v>0</v>
      </c>
      <c r="G19" s="166">
        <f t="shared" si="0"/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f t="shared" si="1"/>
        <v>0</v>
      </c>
      <c r="M19" s="166">
        <v>0</v>
      </c>
      <c r="N19" s="166">
        <v>1912314.1</v>
      </c>
      <c r="O19" s="166">
        <v>0</v>
      </c>
      <c r="P19" s="166">
        <f t="shared" si="2"/>
        <v>1912314.1</v>
      </c>
      <c r="Q19" s="166">
        <v>0</v>
      </c>
      <c r="R19" s="166">
        <v>0</v>
      </c>
      <c r="S19" s="166">
        <v>0</v>
      </c>
      <c r="T19" s="166">
        <v>0</v>
      </c>
      <c r="U19" s="166">
        <f t="shared" si="3"/>
        <v>0</v>
      </c>
      <c r="V19" s="166">
        <v>0</v>
      </c>
      <c r="W19" s="167">
        <f t="shared" si="4"/>
        <v>1912314.1</v>
      </c>
      <c r="X19" s="2">
        <v>0</v>
      </c>
      <c r="Y19" s="168">
        <f t="shared" si="5"/>
        <v>1912314.1</v>
      </c>
    </row>
    <row r="20" spans="1:25" ht="12.75" hidden="1" outlineLevel="1">
      <c r="A20" s="2" t="s">
        <v>2314</v>
      </c>
      <c r="C20" s="2" t="s">
        <v>2315</v>
      </c>
      <c r="D20" s="1" t="s">
        <v>2316</v>
      </c>
      <c r="E20" s="2">
        <v>0</v>
      </c>
      <c r="F20" s="2">
        <v>0</v>
      </c>
      <c r="G20" s="166">
        <f t="shared" si="0"/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f t="shared" si="1"/>
        <v>0</v>
      </c>
      <c r="M20" s="166">
        <v>0</v>
      </c>
      <c r="N20" s="166">
        <v>74381.59</v>
      </c>
      <c r="O20" s="166">
        <v>57261.65</v>
      </c>
      <c r="P20" s="166">
        <f t="shared" si="2"/>
        <v>131643.24</v>
      </c>
      <c r="Q20" s="166">
        <v>0</v>
      </c>
      <c r="R20" s="166">
        <v>0</v>
      </c>
      <c r="S20" s="166">
        <v>0</v>
      </c>
      <c r="T20" s="166">
        <v>0</v>
      </c>
      <c r="U20" s="166">
        <f t="shared" si="3"/>
        <v>0</v>
      </c>
      <c r="V20" s="166">
        <v>3923.92</v>
      </c>
      <c r="W20" s="167">
        <f t="shared" si="4"/>
        <v>135567.16</v>
      </c>
      <c r="X20" s="2">
        <v>0</v>
      </c>
      <c r="Y20" s="168">
        <f t="shared" si="5"/>
        <v>135567.16</v>
      </c>
    </row>
    <row r="21" spans="1:25" ht="12.75" hidden="1" outlineLevel="1">
      <c r="A21" s="2" t="s">
        <v>2317</v>
      </c>
      <c r="C21" s="2" t="s">
        <v>2318</v>
      </c>
      <c r="D21" s="1" t="s">
        <v>2319</v>
      </c>
      <c r="E21" s="2">
        <v>0</v>
      </c>
      <c r="F21" s="2">
        <v>0</v>
      </c>
      <c r="G21" s="166">
        <f t="shared" si="0"/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f t="shared" si="1"/>
        <v>0</v>
      </c>
      <c r="M21" s="166">
        <v>0</v>
      </c>
      <c r="N21" s="166">
        <v>5924502.49</v>
      </c>
      <c r="O21" s="166">
        <v>0</v>
      </c>
      <c r="P21" s="166">
        <f t="shared" si="2"/>
        <v>5924502.49</v>
      </c>
      <c r="Q21" s="166">
        <v>0</v>
      </c>
      <c r="R21" s="166">
        <v>0</v>
      </c>
      <c r="S21" s="166">
        <v>0</v>
      </c>
      <c r="T21" s="166">
        <v>0</v>
      </c>
      <c r="U21" s="166">
        <f t="shared" si="3"/>
        <v>0</v>
      </c>
      <c r="V21" s="166">
        <v>0</v>
      </c>
      <c r="W21" s="167">
        <f t="shared" si="4"/>
        <v>5924502.49</v>
      </c>
      <c r="X21" s="2">
        <v>0</v>
      </c>
      <c r="Y21" s="168">
        <f t="shared" si="5"/>
        <v>5924502.49</v>
      </c>
    </row>
    <row r="22" spans="1:25" ht="12.75" hidden="1" outlineLevel="1">
      <c r="A22" s="2" t="s">
        <v>2320</v>
      </c>
      <c r="C22" s="2" t="s">
        <v>2321</v>
      </c>
      <c r="D22" s="1" t="s">
        <v>2322</v>
      </c>
      <c r="E22" s="2">
        <v>-6324430.24</v>
      </c>
      <c r="F22" s="2">
        <v>761620.72</v>
      </c>
      <c r="G22" s="166">
        <f t="shared" si="0"/>
        <v>-5562809.5200000005</v>
      </c>
      <c r="H22" s="166">
        <v>4368269</v>
      </c>
      <c r="I22" s="166">
        <v>48297.34</v>
      </c>
      <c r="J22" s="166">
        <v>0</v>
      </c>
      <c r="K22" s="166">
        <v>-99139.78</v>
      </c>
      <c r="L22" s="166">
        <f t="shared" si="1"/>
        <v>-50842.44</v>
      </c>
      <c r="M22" s="166">
        <v>0</v>
      </c>
      <c r="N22" s="166">
        <v>-168806.03</v>
      </c>
      <c r="O22" s="166">
        <v>160121.53</v>
      </c>
      <c r="P22" s="166">
        <f t="shared" si="2"/>
        <v>-8684.5</v>
      </c>
      <c r="Q22" s="166">
        <v>-137746.81</v>
      </c>
      <c r="R22" s="166">
        <v>-552081.92</v>
      </c>
      <c r="S22" s="166">
        <v>-254227.45</v>
      </c>
      <c r="T22" s="166">
        <v>246580.57</v>
      </c>
      <c r="U22" s="166">
        <f t="shared" si="3"/>
        <v>-697475.6099999999</v>
      </c>
      <c r="V22" s="166">
        <v>-5976.8</v>
      </c>
      <c r="W22" s="167">
        <f t="shared" si="4"/>
        <v>-1957519.8700000003</v>
      </c>
      <c r="X22" s="2">
        <v>0</v>
      </c>
      <c r="Y22" s="168">
        <f t="shared" si="5"/>
        <v>-1957519.8700000003</v>
      </c>
    </row>
    <row r="23" spans="1:25" ht="12.75" customHeight="1" collapsed="1">
      <c r="A23" s="162" t="s">
        <v>2323</v>
      </c>
      <c r="B23" s="30"/>
      <c r="C23" s="162" t="s">
        <v>2324</v>
      </c>
      <c r="D23" s="31"/>
      <c r="E23" s="32">
        <v>-752865.16</v>
      </c>
      <c r="F23" s="32">
        <v>761620.72</v>
      </c>
      <c r="G23" s="36">
        <f t="shared" si="0"/>
        <v>8755.55999999994</v>
      </c>
      <c r="H23" s="36">
        <v>4368269</v>
      </c>
      <c r="I23" s="36">
        <v>48297.34</v>
      </c>
      <c r="J23" s="36">
        <v>0</v>
      </c>
      <c r="K23" s="36">
        <v>137311.57</v>
      </c>
      <c r="L23" s="36">
        <f t="shared" si="1"/>
        <v>185608.91</v>
      </c>
      <c r="M23" s="36">
        <v>0</v>
      </c>
      <c r="N23" s="36">
        <v>7832183.21</v>
      </c>
      <c r="O23" s="36">
        <v>217383.18</v>
      </c>
      <c r="P23" s="36">
        <f t="shared" si="2"/>
        <v>8049566.39</v>
      </c>
      <c r="Q23" s="36">
        <v>502867.97</v>
      </c>
      <c r="R23" s="36">
        <v>2015468.2</v>
      </c>
      <c r="S23" s="36">
        <v>-218679.62</v>
      </c>
      <c r="T23" s="36">
        <v>246580.57</v>
      </c>
      <c r="U23" s="36">
        <f t="shared" si="3"/>
        <v>2546237.1199999996</v>
      </c>
      <c r="V23" s="36">
        <v>25743.21</v>
      </c>
      <c r="W23" s="169">
        <f t="shared" si="4"/>
        <v>15184180.19</v>
      </c>
      <c r="X23" s="32">
        <v>0</v>
      </c>
      <c r="Y23" s="165">
        <f t="shared" si="5"/>
        <v>15184180.19</v>
      </c>
    </row>
    <row r="24" spans="1:25" ht="12.75" customHeight="1">
      <c r="A24" s="162" t="s">
        <v>2325</v>
      </c>
      <c r="B24" s="30"/>
      <c r="C24" s="162" t="s">
        <v>2326</v>
      </c>
      <c r="D24" s="31"/>
      <c r="E24" s="32">
        <v>0</v>
      </c>
      <c r="F24" s="32">
        <v>0</v>
      </c>
      <c r="G24" s="36">
        <f t="shared" si="0"/>
        <v>0</v>
      </c>
      <c r="H24" s="36">
        <v>0</v>
      </c>
      <c r="I24" s="36">
        <v>0</v>
      </c>
      <c r="J24" s="36">
        <v>0</v>
      </c>
      <c r="K24" s="36">
        <v>0</v>
      </c>
      <c r="L24" s="36">
        <f t="shared" si="1"/>
        <v>0</v>
      </c>
      <c r="M24" s="36">
        <v>0</v>
      </c>
      <c r="N24" s="36">
        <v>0</v>
      </c>
      <c r="O24" s="36">
        <v>0</v>
      </c>
      <c r="P24" s="36">
        <f t="shared" si="2"/>
        <v>0</v>
      </c>
      <c r="Q24" s="36">
        <v>0</v>
      </c>
      <c r="R24" s="36">
        <v>0</v>
      </c>
      <c r="S24" s="36">
        <v>0</v>
      </c>
      <c r="T24" s="36">
        <v>0</v>
      </c>
      <c r="U24" s="36">
        <f t="shared" si="3"/>
        <v>0</v>
      </c>
      <c r="V24" s="36">
        <v>0</v>
      </c>
      <c r="W24" s="169">
        <f t="shared" si="4"/>
        <v>0</v>
      </c>
      <c r="X24" s="32">
        <v>0</v>
      </c>
      <c r="Y24" s="165">
        <f t="shared" si="5"/>
        <v>0</v>
      </c>
    </row>
    <row r="25" spans="1:25" ht="12.75" hidden="1" outlineLevel="1">
      <c r="A25" s="2" t="s">
        <v>2327</v>
      </c>
      <c r="C25" s="2" t="s">
        <v>2328</v>
      </c>
      <c r="D25" s="1" t="s">
        <v>2329</v>
      </c>
      <c r="E25" s="2">
        <v>0</v>
      </c>
      <c r="F25" s="2">
        <v>0</v>
      </c>
      <c r="G25" s="166">
        <f t="shared" si="0"/>
        <v>0</v>
      </c>
      <c r="H25" s="166">
        <v>2786155.41</v>
      </c>
      <c r="I25" s="166">
        <v>0</v>
      </c>
      <c r="J25" s="166">
        <v>0</v>
      </c>
      <c r="K25" s="166">
        <v>0</v>
      </c>
      <c r="L25" s="166">
        <f t="shared" si="1"/>
        <v>0</v>
      </c>
      <c r="M25" s="166">
        <v>0</v>
      </c>
      <c r="N25" s="166">
        <v>0</v>
      </c>
      <c r="O25" s="166">
        <v>0</v>
      </c>
      <c r="P25" s="166">
        <f t="shared" si="2"/>
        <v>0</v>
      </c>
      <c r="Q25" s="166">
        <v>0</v>
      </c>
      <c r="R25" s="166">
        <v>0</v>
      </c>
      <c r="S25" s="166">
        <v>0</v>
      </c>
      <c r="T25" s="166">
        <v>0</v>
      </c>
      <c r="U25" s="166">
        <f t="shared" si="3"/>
        <v>0</v>
      </c>
      <c r="V25" s="166">
        <v>0</v>
      </c>
      <c r="W25" s="167">
        <f t="shared" si="4"/>
        <v>2786155.41</v>
      </c>
      <c r="X25" s="2">
        <v>0</v>
      </c>
      <c r="Y25" s="168">
        <f t="shared" si="5"/>
        <v>2786155.41</v>
      </c>
    </row>
    <row r="26" spans="1:25" ht="12.75" hidden="1" outlineLevel="1">
      <c r="A26" s="2" t="s">
        <v>2330</v>
      </c>
      <c r="C26" s="2" t="s">
        <v>2331</v>
      </c>
      <c r="D26" s="1" t="s">
        <v>2332</v>
      </c>
      <c r="E26" s="2">
        <v>0</v>
      </c>
      <c r="F26" s="2">
        <v>0</v>
      </c>
      <c r="G26" s="166">
        <f t="shared" si="0"/>
        <v>0</v>
      </c>
      <c r="H26" s="166">
        <v>3723490.32</v>
      </c>
      <c r="I26" s="166">
        <v>0</v>
      </c>
      <c r="J26" s="166">
        <v>0</v>
      </c>
      <c r="K26" s="166">
        <v>0</v>
      </c>
      <c r="L26" s="166">
        <f t="shared" si="1"/>
        <v>0</v>
      </c>
      <c r="M26" s="166">
        <v>0</v>
      </c>
      <c r="N26" s="166">
        <v>0</v>
      </c>
      <c r="O26" s="166">
        <v>0</v>
      </c>
      <c r="P26" s="166">
        <f t="shared" si="2"/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f t="shared" si="3"/>
        <v>0</v>
      </c>
      <c r="V26" s="166">
        <v>0</v>
      </c>
      <c r="W26" s="167">
        <f t="shared" si="4"/>
        <v>3723490.32</v>
      </c>
      <c r="X26" s="2">
        <v>0</v>
      </c>
      <c r="Y26" s="168">
        <f t="shared" si="5"/>
        <v>3723490.32</v>
      </c>
    </row>
    <row r="27" spans="1:25" ht="12.75" customHeight="1" collapsed="1">
      <c r="A27" s="162" t="s">
        <v>2333</v>
      </c>
      <c r="B27" s="30"/>
      <c r="C27" s="162" t="s">
        <v>2334</v>
      </c>
      <c r="D27" s="31"/>
      <c r="E27" s="32">
        <v>0</v>
      </c>
      <c r="F27" s="32">
        <v>0</v>
      </c>
      <c r="G27" s="36">
        <f t="shared" si="0"/>
        <v>0</v>
      </c>
      <c r="H27" s="36">
        <v>6509645.73</v>
      </c>
      <c r="I27" s="36">
        <v>0</v>
      </c>
      <c r="J27" s="36">
        <v>0</v>
      </c>
      <c r="K27" s="36">
        <v>0</v>
      </c>
      <c r="L27" s="36">
        <f t="shared" si="1"/>
        <v>0</v>
      </c>
      <c r="M27" s="36">
        <v>0</v>
      </c>
      <c r="N27" s="36">
        <v>0</v>
      </c>
      <c r="O27" s="36">
        <v>0</v>
      </c>
      <c r="P27" s="36">
        <f t="shared" si="2"/>
        <v>0</v>
      </c>
      <c r="Q27" s="36">
        <v>0</v>
      </c>
      <c r="R27" s="36">
        <v>0</v>
      </c>
      <c r="S27" s="36">
        <v>0</v>
      </c>
      <c r="T27" s="36">
        <v>0</v>
      </c>
      <c r="U27" s="36">
        <f t="shared" si="3"/>
        <v>0</v>
      </c>
      <c r="V27" s="36">
        <v>0</v>
      </c>
      <c r="W27" s="169">
        <f t="shared" si="4"/>
        <v>6509645.73</v>
      </c>
      <c r="X27" s="32">
        <v>0</v>
      </c>
      <c r="Y27" s="165">
        <f t="shared" si="5"/>
        <v>6509645.73</v>
      </c>
    </row>
    <row r="28" spans="1:25" ht="12.75" customHeight="1">
      <c r="A28" s="162" t="s">
        <v>2335</v>
      </c>
      <c r="B28" s="30"/>
      <c r="C28" s="162" t="s">
        <v>2336</v>
      </c>
      <c r="D28" s="31"/>
      <c r="E28" s="32">
        <v>0</v>
      </c>
      <c r="F28" s="32">
        <v>0</v>
      </c>
      <c r="G28" s="36">
        <f t="shared" si="0"/>
        <v>0</v>
      </c>
      <c r="H28" s="36">
        <v>0</v>
      </c>
      <c r="I28" s="36">
        <v>0</v>
      </c>
      <c r="J28" s="36">
        <v>0</v>
      </c>
      <c r="K28" s="36">
        <v>0</v>
      </c>
      <c r="L28" s="36">
        <f t="shared" si="1"/>
        <v>0</v>
      </c>
      <c r="M28" s="36">
        <v>0</v>
      </c>
      <c r="N28" s="36">
        <v>0</v>
      </c>
      <c r="O28" s="36">
        <v>0</v>
      </c>
      <c r="P28" s="36">
        <f t="shared" si="2"/>
        <v>0</v>
      </c>
      <c r="Q28" s="36">
        <v>0</v>
      </c>
      <c r="R28" s="36">
        <v>0</v>
      </c>
      <c r="S28" s="36">
        <v>0</v>
      </c>
      <c r="T28" s="36">
        <v>0</v>
      </c>
      <c r="U28" s="36">
        <f t="shared" si="3"/>
        <v>0</v>
      </c>
      <c r="V28" s="36">
        <v>0</v>
      </c>
      <c r="W28" s="169">
        <f t="shared" si="4"/>
        <v>0</v>
      </c>
      <c r="X28" s="32">
        <v>0</v>
      </c>
      <c r="Y28" s="165">
        <f t="shared" si="5"/>
        <v>0</v>
      </c>
    </row>
    <row r="29" spans="1:25" ht="12.75" hidden="1" outlineLevel="1">
      <c r="A29" s="2" t="s">
        <v>2337</v>
      </c>
      <c r="C29" s="2" t="s">
        <v>2338</v>
      </c>
      <c r="D29" s="1" t="s">
        <v>2339</v>
      </c>
      <c r="E29" s="2">
        <v>0</v>
      </c>
      <c r="F29" s="2">
        <v>0</v>
      </c>
      <c r="G29" s="166">
        <f t="shared" si="0"/>
        <v>0</v>
      </c>
      <c r="H29" s="166">
        <v>1887984.79</v>
      </c>
      <c r="I29" s="166">
        <v>0</v>
      </c>
      <c r="J29" s="166">
        <v>0</v>
      </c>
      <c r="K29" s="166">
        <v>0</v>
      </c>
      <c r="L29" s="166">
        <f t="shared" si="1"/>
        <v>0</v>
      </c>
      <c r="M29" s="166">
        <v>0</v>
      </c>
      <c r="N29" s="166">
        <v>0</v>
      </c>
      <c r="O29" s="166">
        <v>0</v>
      </c>
      <c r="P29" s="166">
        <f t="shared" si="2"/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f t="shared" si="3"/>
        <v>0</v>
      </c>
      <c r="V29" s="166">
        <v>0</v>
      </c>
      <c r="W29" s="167">
        <f t="shared" si="4"/>
        <v>1887984.79</v>
      </c>
      <c r="X29" s="2">
        <v>0</v>
      </c>
      <c r="Y29" s="168">
        <f t="shared" si="5"/>
        <v>1887984.79</v>
      </c>
    </row>
    <row r="30" spans="1:25" ht="12.75" customHeight="1" collapsed="1">
      <c r="A30" s="162" t="s">
        <v>2340</v>
      </c>
      <c r="B30" s="30"/>
      <c r="C30" s="162" t="s">
        <v>2119</v>
      </c>
      <c r="D30" s="31"/>
      <c r="E30" s="32">
        <v>0</v>
      </c>
      <c r="F30" s="32">
        <v>0</v>
      </c>
      <c r="G30" s="36">
        <f t="shared" si="0"/>
        <v>0</v>
      </c>
      <c r="H30" s="36">
        <v>1887984.79</v>
      </c>
      <c r="I30" s="36">
        <v>0</v>
      </c>
      <c r="J30" s="36">
        <v>0</v>
      </c>
      <c r="K30" s="36">
        <v>0</v>
      </c>
      <c r="L30" s="36">
        <f t="shared" si="1"/>
        <v>0</v>
      </c>
      <c r="M30" s="36">
        <v>0</v>
      </c>
      <c r="N30" s="36">
        <v>0</v>
      </c>
      <c r="O30" s="36">
        <v>0</v>
      </c>
      <c r="P30" s="36">
        <f t="shared" si="2"/>
        <v>0</v>
      </c>
      <c r="Q30" s="36">
        <v>0</v>
      </c>
      <c r="R30" s="36">
        <v>0</v>
      </c>
      <c r="S30" s="36">
        <v>0</v>
      </c>
      <c r="T30" s="36">
        <v>0</v>
      </c>
      <c r="U30" s="36">
        <f t="shared" si="3"/>
        <v>0</v>
      </c>
      <c r="V30" s="36">
        <v>0</v>
      </c>
      <c r="W30" s="169">
        <f t="shared" si="4"/>
        <v>1887984.79</v>
      </c>
      <c r="X30" s="32">
        <v>0</v>
      </c>
      <c r="Y30" s="165">
        <f t="shared" si="5"/>
        <v>1887984.79</v>
      </c>
    </row>
    <row r="31" spans="1:25" ht="12.75" hidden="1" outlineLevel="1">
      <c r="A31" s="2" t="s">
        <v>2341</v>
      </c>
      <c r="C31" s="2" t="s">
        <v>2342</v>
      </c>
      <c r="D31" s="1" t="s">
        <v>2343</v>
      </c>
      <c r="E31" s="2">
        <v>2335730.74</v>
      </c>
      <c r="F31" s="2">
        <v>0</v>
      </c>
      <c r="G31" s="166">
        <f t="shared" si="0"/>
        <v>2335730.74</v>
      </c>
      <c r="H31" s="166">
        <v>0</v>
      </c>
      <c r="I31" s="166">
        <v>0</v>
      </c>
      <c r="J31" s="166">
        <v>0</v>
      </c>
      <c r="K31" s="166">
        <v>0</v>
      </c>
      <c r="L31" s="166">
        <f t="shared" si="1"/>
        <v>0</v>
      </c>
      <c r="M31" s="166">
        <v>0</v>
      </c>
      <c r="N31" s="166">
        <v>0</v>
      </c>
      <c r="O31" s="166">
        <v>0</v>
      </c>
      <c r="P31" s="166">
        <f t="shared" si="2"/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f t="shared" si="3"/>
        <v>0</v>
      </c>
      <c r="V31" s="166">
        <v>0</v>
      </c>
      <c r="W31" s="167">
        <f t="shared" si="4"/>
        <v>2335730.74</v>
      </c>
      <c r="X31" s="2">
        <v>0</v>
      </c>
      <c r="Y31" s="168">
        <f t="shared" si="5"/>
        <v>2335730.74</v>
      </c>
    </row>
    <row r="32" spans="1:25" ht="12.75" hidden="1" outlineLevel="1">
      <c r="A32" s="2" t="s">
        <v>2344</v>
      </c>
      <c r="C32" s="2" t="s">
        <v>2345</v>
      </c>
      <c r="D32" s="1" t="s">
        <v>2346</v>
      </c>
      <c r="E32" s="2">
        <v>59909.99</v>
      </c>
      <c r="F32" s="2">
        <v>-53702.61</v>
      </c>
      <c r="G32" s="166">
        <f t="shared" si="0"/>
        <v>6207.379999999997</v>
      </c>
      <c r="H32" s="166">
        <v>0</v>
      </c>
      <c r="I32" s="166">
        <v>0</v>
      </c>
      <c r="J32" s="166">
        <v>0</v>
      </c>
      <c r="K32" s="166">
        <v>0</v>
      </c>
      <c r="L32" s="166">
        <f t="shared" si="1"/>
        <v>0</v>
      </c>
      <c r="M32" s="166">
        <v>0</v>
      </c>
      <c r="N32" s="166">
        <v>0</v>
      </c>
      <c r="O32" s="166">
        <v>0</v>
      </c>
      <c r="P32" s="166">
        <f t="shared" si="2"/>
        <v>0</v>
      </c>
      <c r="Q32" s="166">
        <v>0</v>
      </c>
      <c r="R32" s="166">
        <v>0</v>
      </c>
      <c r="S32" s="166">
        <v>0</v>
      </c>
      <c r="T32" s="166">
        <v>0</v>
      </c>
      <c r="U32" s="166">
        <f t="shared" si="3"/>
        <v>0</v>
      </c>
      <c r="V32" s="166">
        <v>0</v>
      </c>
      <c r="W32" s="167">
        <f t="shared" si="4"/>
        <v>6207.379999999997</v>
      </c>
      <c r="X32" s="2">
        <v>0</v>
      </c>
      <c r="Y32" s="168">
        <f t="shared" si="5"/>
        <v>6207.379999999997</v>
      </c>
    </row>
    <row r="33" spans="1:25" ht="12.75" hidden="1" outlineLevel="1">
      <c r="A33" s="2" t="s">
        <v>2347</v>
      </c>
      <c r="C33" s="2" t="s">
        <v>2348</v>
      </c>
      <c r="D33" s="1" t="s">
        <v>2349</v>
      </c>
      <c r="E33" s="2">
        <v>141529.56</v>
      </c>
      <c r="F33" s="2">
        <v>0</v>
      </c>
      <c r="G33" s="166">
        <f t="shared" si="0"/>
        <v>141529.56</v>
      </c>
      <c r="H33" s="166">
        <v>2514</v>
      </c>
      <c r="I33" s="166">
        <v>0</v>
      </c>
      <c r="J33" s="166">
        <v>0</v>
      </c>
      <c r="K33" s="166">
        <v>24699.52</v>
      </c>
      <c r="L33" s="166">
        <f t="shared" si="1"/>
        <v>24699.52</v>
      </c>
      <c r="M33" s="166">
        <v>0</v>
      </c>
      <c r="N33" s="166">
        <v>0</v>
      </c>
      <c r="O33" s="166">
        <v>0</v>
      </c>
      <c r="P33" s="166">
        <f t="shared" si="2"/>
        <v>0</v>
      </c>
      <c r="Q33" s="166">
        <v>0</v>
      </c>
      <c r="R33" s="166">
        <v>0</v>
      </c>
      <c r="S33" s="166">
        <v>0</v>
      </c>
      <c r="T33" s="166">
        <v>0</v>
      </c>
      <c r="U33" s="166">
        <f t="shared" si="3"/>
        <v>0</v>
      </c>
      <c r="V33" s="166">
        <v>256</v>
      </c>
      <c r="W33" s="167">
        <f t="shared" si="4"/>
        <v>168999.08</v>
      </c>
      <c r="X33" s="2">
        <v>0</v>
      </c>
      <c r="Y33" s="168">
        <f t="shared" si="5"/>
        <v>168999.08</v>
      </c>
    </row>
    <row r="34" spans="1:25" ht="12.75" hidden="1" outlineLevel="1">
      <c r="A34" s="2" t="s">
        <v>2350</v>
      </c>
      <c r="C34" s="2" t="s">
        <v>2351</v>
      </c>
      <c r="D34" s="1" t="s">
        <v>2352</v>
      </c>
      <c r="E34" s="2">
        <v>-291959.88</v>
      </c>
      <c r="F34" s="2">
        <v>0</v>
      </c>
      <c r="G34" s="166">
        <f t="shared" si="0"/>
        <v>-291959.88</v>
      </c>
      <c r="H34" s="166">
        <v>0</v>
      </c>
      <c r="I34" s="166">
        <v>0</v>
      </c>
      <c r="J34" s="166">
        <v>0</v>
      </c>
      <c r="K34" s="166">
        <v>0</v>
      </c>
      <c r="L34" s="166">
        <f t="shared" si="1"/>
        <v>0</v>
      </c>
      <c r="M34" s="166">
        <v>0</v>
      </c>
      <c r="N34" s="166">
        <v>0</v>
      </c>
      <c r="O34" s="166">
        <v>0</v>
      </c>
      <c r="P34" s="166">
        <f t="shared" si="2"/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f t="shared" si="3"/>
        <v>0</v>
      </c>
      <c r="V34" s="166">
        <v>0</v>
      </c>
      <c r="W34" s="167">
        <f t="shared" si="4"/>
        <v>-291959.88</v>
      </c>
      <c r="X34" s="2">
        <v>0</v>
      </c>
      <c r="Y34" s="168">
        <f t="shared" si="5"/>
        <v>-291959.88</v>
      </c>
    </row>
    <row r="35" spans="1:25" ht="12.75" hidden="1" outlineLevel="1">
      <c r="A35" s="2" t="s">
        <v>2353</v>
      </c>
      <c r="C35" s="2" t="s">
        <v>2354</v>
      </c>
      <c r="D35" s="1" t="s">
        <v>2355</v>
      </c>
      <c r="E35" s="2">
        <v>0</v>
      </c>
      <c r="F35" s="2">
        <v>0</v>
      </c>
      <c r="G35" s="166">
        <f t="shared" si="0"/>
        <v>0</v>
      </c>
      <c r="H35" s="166">
        <v>0</v>
      </c>
      <c r="I35" s="166">
        <v>-2362.33</v>
      </c>
      <c r="J35" s="166">
        <v>0</v>
      </c>
      <c r="K35" s="166">
        <v>0</v>
      </c>
      <c r="L35" s="166">
        <f t="shared" si="1"/>
        <v>-2362.33</v>
      </c>
      <c r="M35" s="166">
        <v>0</v>
      </c>
      <c r="N35" s="166">
        <v>0</v>
      </c>
      <c r="O35" s="166">
        <v>0</v>
      </c>
      <c r="P35" s="166">
        <f t="shared" si="2"/>
        <v>0</v>
      </c>
      <c r="Q35" s="166">
        <v>0</v>
      </c>
      <c r="R35" s="166">
        <v>0</v>
      </c>
      <c r="S35" s="166">
        <v>0</v>
      </c>
      <c r="T35" s="166">
        <v>0</v>
      </c>
      <c r="U35" s="166">
        <f t="shared" si="3"/>
        <v>0</v>
      </c>
      <c r="V35" s="166">
        <v>0</v>
      </c>
      <c r="W35" s="167">
        <f t="shared" si="4"/>
        <v>-2362.33</v>
      </c>
      <c r="X35" s="2">
        <v>0</v>
      </c>
      <c r="Y35" s="168">
        <f t="shared" si="5"/>
        <v>-2362.33</v>
      </c>
    </row>
    <row r="36" spans="1:25" ht="12.75" customHeight="1" collapsed="1">
      <c r="A36" s="162" t="s">
        <v>2356</v>
      </c>
      <c r="B36" s="30"/>
      <c r="C36" s="162" t="s">
        <v>2357</v>
      </c>
      <c r="D36" s="31"/>
      <c r="E36" s="32">
        <v>2245210.41</v>
      </c>
      <c r="F36" s="32">
        <v>-53702.61</v>
      </c>
      <c r="G36" s="36">
        <f t="shared" si="0"/>
        <v>2191507.8000000003</v>
      </c>
      <c r="H36" s="36">
        <v>2514</v>
      </c>
      <c r="I36" s="36">
        <v>-2362.33</v>
      </c>
      <c r="J36" s="36">
        <v>0</v>
      </c>
      <c r="K36" s="36">
        <v>24699.52</v>
      </c>
      <c r="L36" s="36">
        <f t="shared" si="1"/>
        <v>22337.190000000002</v>
      </c>
      <c r="M36" s="36">
        <v>0</v>
      </c>
      <c r="N36" s="36">
        <v>0</v>
      </c>
      <c r="O36" s="36">
        <v>0</v>
      </c>
      <c r="P36" s="36">
        <f t="shared" si="2"/>
        <v>0</v>
      </c>
      <c r="Q36" s="36">
        <v>0</v>
      </c>
      <c r="R36" s="36">
        <v>0</v>
      </c>
      <c r="S36" s="36">
        <v>0</v>
      </c>
      <c r="T36" s="36">
        <v>0</v>
      </c>
      <c r="U36" s="36">
        <f t="shared" si="3"/>
        <v>0</v>
      </c>
      <c r="V36" s="36">
        <v>256</v>
      </c>
      <c r="W36" s="169">
        <f t="shared" si="4"/>
        <v>2216614.99</v>
      </c>
      <c r="X36" s="32">
        <v>0</v>
      </c>
      <c r="Y36" s="165">
        <f t="shared" si="5"/>
        <v>2216614.99</v>
      </c>
    </row>
    <row r="37" spans="1:25" ht="12.75" customHeight="1">
      <c r="A37" s="162" t="s">
        <v>2358</v>
      </c>
      <c r="B37" s="30"/>
      <c r="C37" s="162" t="s">
        <v>2359</v>
      </c>
      <c r="D37" s="31"/>
      <c r="E37" s="32">
        <v>0</v>
      </c>
      <c r="F37" s="32">
        <v>0</v>
      </c>
      <c r="G37" s="36">
        <f t="shared" si="0"/>
        <v>0</v>
      </c>
      <c r="H37" s="36">
        <v>0</v>
      </c>
      <c r="I37" s="36">
        <v>0</v>
      </c>
      <c r="J37" s="36">
        <v>0</v>
      </c>
      <c r="K37" s="36">
        <v>0</v>
      </c>
      <c r="L37" s="36">
        <f t="shared" si="1"/>
        <v>0</v>
      </c>
      <c r="M37" s="36">
        <v>0</v>
      </c>
      <c r="N37" s="36">
        <v>0</v>
      </c>
      <c r="O37" s="36">
        <v>0</v>
      </c>
      <c r="P37" s="36">
        <f t="shared" si="2"/>
        <v>0</v>
      </c>
      <c r="Q37" s="36">
        <v>0</v>
      </c>
      <c r="R37" s="36">
        <v>0</v>
      </c>
      <c r="S37" s="36">
        <v>0</v>
      </c>
      <c r="T37" s="36">
        <v>0</v>
      </c>
      <c r="U37" s="36">
        <f t="shared" si="3"/>
        <v>0</v>
      </c>
      <c r="V37" s="36">
        <v>0</v>
      </c>
      <c r="W37" s="169">
        <f t="shared" si="4"/>
        <v>0</v>
      </c>
      <c r="X37" s="32">
        <v>0</v>
      </c>
      <c r="Y37" s="165">
        <f t="shared" si="5"/>
        <v>0</v>
      </c>
    </row>
    <row r="38" spans="1:25" ht="12.75" customHeight="1">
      <c r="A38" s="162" t="s">
        <v>2360</v>
      </c>
      <c r="B38" s="30"/>
      <c r="C38" s="162" t="s">
        <v>2361</v>
      </c>
      <c r="D38" s="31"/>
      <c r="E38" s="32">
        <v>0</v>
      </c>
      <c r="F38" s="32">
        <v>0</v>
      </c>
      <c r="G38" s="36">
        <f t="shared" si="0"/>
        <v>0</v>
      </c>
      <c r="H38" s="36">
        <v>0</v>
      </c>
      <c r="I38" s="36">
        <v>0</v>
      </c>
      <c r="J38" s="36">
        <v>0</v>
      </c>
      <c r="K38" s="36">
        <v>0</v>
      </c>
      <c r="L38" s="36">
        <f t="shared" si="1"/>
        <v>0</v>
      </c>
      <c r="M38" s="36">
        <v>0</v>
      </c>
      <c r="N38" s="36">
        <v>0</v>
      </c>
      <c r="O38" s="36">
        <v>0</v>
      </c>
      <c r="P38" s="36">
        <f t="shared" si="2"/>
        <v>0</v>
      </c>
      <c r="Q38" s="36">
        <v>0</v>
      </c>
      <c r="R38" s="36">
        <v>0</v>
      </c>
      <c r="S38" s="36">
        <v>0</v>
      </c>
      <c r="T38" s="36">
        <v>0</v>
      </c>
      <c r="U38" s="36">
        <f t="shared" si="3"/>
        <v>0</v>
      </c>
      <c r="V38" s="36">
        <v>0</v>
      </c>
      <c r="W38" s="169">
        <f t="shared" si="4"/>
        <v>0</v>
      </c>
      <c r="X38" s="32">
        <v>0</v>
      </c>
      <c r="Y38" s="165">
        <f t="shared" si="5"/>
        <v>0</v>
      </c>
    </row>
    <row r="39" spans="1:25" ht="12.75" hidden="1" outlineLevel="1">
      <c r="A39" s="2" t="s">
        <v>2362</v>
      </c>
      <c r="C39" s="2" t="s">
        <v>2121</v>
      </c>
      <c r="D39" s="1" t="s">
        <v>2363</v>
      </c>
      <c r="E39" s="2">
        <v>303214.91</v>
      </c>
      <c r="F39" s="2">
        <v>0</v>
      </c>
      <c r="G39" s="166">
        <f t="shared" si="0"/>
        <v>303214.91</v>
      </c>
      <c r="H39" s="166">
        <v>0</v>
      </c>
      <c r="I39" s="166">
        <v>0</v>
      </c>
      <c r="J39" s="166">
        <v>0</v>
      </c>
      <c r="K39" s="166">
        <v>0</v>
      </c>
      <c r="L39" s="166">
        <f t="shared" si="1"/>
        <v>0</v>
      </c>
      <c r="M39" s="166">
        <v>0</v>
      </c>
      <c r="N39" s="166">
        <v>0</v>
      </c>
      <c r="O39" s="166">
        <v>0</v>
      </c>
      <c r="P39" s="166">
        <f t="shared" si="2"/>
        <v>0</v>
      </c>
      <c r="Q39" s="166">
        <v>0</v>
      </c>
      <c r="R39" s="166">
        <v>0</v>
      </c>
      <c r="S39" s="166">
        <v>0</v>
      </c>
      <c r="T39" s="166">
        <v>0</v>
      </c>
      <c r="U39" s="166">
        <f t="shared" si="3"/>
        <v>0</v>
      </c>
      <c r="V39" s="166">
        <v>0</v>
      </c>
      <c r="W39" s="167">
        <f t="shared" si="4"/>
        <v>303214.91</v>
      </c>
      <c r="X39" s="2">
        <v>0</v>
      </c>
      <c r="Y39" s="168">
        <f t="shared" si="5"/>
        <v>303214.91</v>
      </c>
    </row>
    <row r="40" spans="1:25" ht="12.75" customHeight="1" collapsed="1">
      <c r="A40" s="162" t="s">
        <v>2364</v>
      </c>
      <c r="B40" s="30"/>
      <c r="C40" s="162" t="s">
        <v>2121</v>
      </c>
      <c r="D40" s="31"/>
      <c r="E40" s="32">
        <v>303214.91</v>
      </c>
      <c r="F40" s="32">
        <v>0</v>
      </c>
      <c r="G40" s="36">
        <f t="shared" si="0"/>
        <v>303214.91</v>
      </c>
      <c r="H40" s="36">
        <v>0</v>
      </c>
      <c r="I40" s="36">
        <v>0</v>
      </c>
      <c r="J40" s="36">
        <v>0</v>
      </c>
      <c r="K40" s="36">
        <v>0</v>
      </c>
      <c r="L40" s="36">
        <f t="shared" si="1"/>
        <v>0</v>
      </c>
      <c r="M40" s="36">
        <v>0</v>
      </c>
      <c r="N40" s="36">
        <v>0</v>
      </c>
      <c r="O40" s="36">
        <v>0</v>
      </c>
      <c r="P40" s="36">
        <f t="shared" si="2"/>
        <v>0</v>
      </c>
      <c r="Q40" s="36">
        <v>0</v>
      </c>
      <c r="R40" s="36">
        <v>0</v>
      </c>
      <c r="S40" s="36">
        <v>0</v>
      </c>
      <c r="T40" s="36">
        <v>0</v>
      </c>
      <c r="U40" s="36">
        <f t="shared" si="3"/>
        <v>0</v>
      </c>
      <c r="V40" s="36">
        <v>0</v>
      </c>
      <c r="W40" s="169">
        <f t="shared" si="4"/>
        <v>303214.91</v>
      </c>
      <c r="X40" s="32">
        <v>0</v>
      </c>
      <c r="Y40" s="165">
        <f t="shared" si="5"/>
        <v>303214.91</v>
      </c>
    </row>
    <row r="41" spans="1:25" ht="12.75" hidden="1" outlineLevel="1">
      <c r="A41" s="2" t="s">
        <v>2365</v>
      </c>
      <c r="C41" s="2" t="s">
        <v>2366</v>
      </c>
      <c r="D41" s="1" t="s">
        <v>2367</v>
      </c>
      <c r="E41" s="2">
        <v>808139.54</v>
      </c>
      <c r="F41" s="2">
        <v>0</v>
      </c>
      <c r="G41" s="166">
        <f t="shared" si="0"/>
        <v>808139.54</v>
      </c>
      <c r="H41" s="166">
        <v>25913.1</v>
      </c>
      <c r="I41" s="166">
        <v>0</v>
      </c>
      <c r="J41" s="166">
        <v>0</v>
      </c>
      <c r="K41" s="166">
        <v>0</v>
      </c>
      <c r="L41" s="166">
        <f t="shared" si="1"/>
        <v>0</v>
      </c>
      <c r="M41" s="166">
        <v>0</v>
      </c>
      <c r="N41" s="166">
        <v>0</v>
      </c>
      <c r="O41" s="166">
        <v>0</v>
      </c>
      <c r="P41" s="166">
        <f t="shared" si="2"/>
        <v>0</v>
      </c>
      <c r="Q41" s="166">
        <v>0</v>
      </c>
      <c r="R41" s="166">
        <v>0</v>
      </c>
      <c r="S41" s="166">
        <v>0</v>
      </c>
      <c r="T41" s="166">
        <v>0</v>
      </c>
      <c r="U41" s="166">
        <f t="shared" si="3"/>
        <v>0</v>
      </c>
      <c r="V41" s="166">
        <v>194738</v>
      </c>
      <c r="W41" s="167">
        <f t="shared" si="4"/>
        <v>1028790.64</v>
      </c>
      <c r="X41" s="2">
        <v>0</v>
      </c>
      <c r="Y41" s="168">
        <f t="shared" si="5"/>
        <v>1028790.64</v>
      </c>
    </row>
    <row r="42" spans="1:25" ht="12.75" customHeight="1" collapsed="1">
      <c r="A42" s="162" t="s">
        <v>2368</v>
      </c>
      <c r="B42" s="30"/>
      <c r="C42" s="162" t="s">
        <v>2369</v>
      </c>
      <c r="D42" s="31"/>
      <c r="E42" s="32">
        <v>808139.54</v>
      </c>
      <c r="F42" s="32">
        <v>0</v>
      </c>
      <c r="G42" s="36">
        <f t="shared" si="0"/>
        <v>808139.54</v>
      </c>
      <c r="H42" s="36">
        <v>25913.1</v>
      </c>
      <c r="I42" s="36">
        <v>0</v>
      </c>
      <c r="J42" s="36">
        <v>0</v>
      </c>
      <c r="K42" s="36">
        <v>0</v>
      </c>
      <c r="L42" s="36">
        <f t="shared" si="1"/>
        <v>0</v>
      </c>
      <c r="M42" s="36">
        <v>0</v>
      </c>
      <c r="N42" s="36">
        <v>0</v>
      </c>
      <c r="O42" s="36">
        <v>0</v>
      </c>
      <c r="P42" s="36">
        <f t="shared" si="2"/>
        <v>0</v>
      </c>
      <c r="Q42" s="36">
        <v>0</v>
      </c>
      <c r="R42" s="36">
        <v>0</v>
      </c>
      <c r="S42" s="36">
        <v>0</v>
      </c>
      <c r="T42" s="36">
        <v>0</v>
      </c>
      <c r="U42" s="36">
        <f t="shared" si="3"/>
        <v>0</v>
      </c>
      <c r="V42" s="36">
        <v>194738</v>
      </c>
      <c r="W42" s="169">
        <f t="shared" si="4"/>
        <v>1028790.64</v>
      </c>
      <c r="X42" s="32">
        <v>0</v>
      </c>
      <c r="Y42" s="165">
        <f t="shared" si="5"/>
        <v>1028790.64</v>
      </c>
    </row>
    <row r="43" spans="1:25" ht="12.75" hidden="1" outlineLevel="1">
      <c r="A43" s="2" t="s">
        <v>2370</v>
      </c>
      <c r="C43" s="2" t="s">
        <v>2371</v>
      </c>
      <c r="D43" s="1" t="s">
        <v>2372</v>
      </c>
      <c r="E43" s="2">
        <v>0</v>
      </c>
      <c r="F43" s="2">
        <v>0</v>
      </c>
      <c r="G43" s="166">
        <f t="shared" si="0"/>
        <v>0</v>
      </c>
      <c r="H43" s="166">
        <v>0</v>
      </c>
      <c r="I43" s="166">
        <v>13551</v>
      </c>
      <c r="J43" s="166">
        <v>0</v>
      </c>
      <c r="K43" s="166">
        <v>1901318</v>
      </c>
      <c r="L43" s="166">
        <f t="shared" si="1"/>
        <v>1914869</v>
      </c>
      <c r="M43" s="166">
        <v>0</v>
      </c>
      <c r="N43" s="166">
        <v>0</v>
      </c>
      <c r="O43" s="166">
        <v>0</v>
      </c>
      <c r="P43" s="166">
        <f t="shared" si="2"/>
        <v>0</v>
      </c>
      <c r="Q43" s="166">
        <v>0</v>
      </c>
      <c r="R43" s="166">
        <v>0</v>
      </c>
      <c r="S43" s="166">
        <v>0</v>
      </c>
      <c r="T43" s="166">
        <v>0</v>
      </c>
      <c r="U43" s="166">
        <f t="shared" si="3"/>
        <v>0</v>
      </c>
      <c r="V43" s="166">
        <v>0</v>
      </c>
      <c r="W43" s="167">
        <f t="shared" si="4"/>
        <v>1914869</v>
      </c>
      <c r="X43" s="2">
        <v>0</v>
      </c>
      <c r="Y43" s="168">
        <f t="shared" si="5"/>
        <v>1914869</v>
      </c>
    </row>
    <row r="44" spans="1:25" ht="12.75" customHeight="1" collapsed="1">
      <c r="A44" s="162" t="s">
        <v>2373</v>
      </c>
      <c r="B44" s="30"/>
      <c r="C44" s="162" t="s">
        <v>2120</v>
      </c>
      <c r="D44" s="31"/>
      <c r="E44" s="32">
        <v>0</v>
      </c>
      <c r="F44" s="32">
        <v>0</v>
      </c>
      <c r="G44" s="36">
        <f t="shared" si="0"/>
        <v>0</v>
      </c>
      <c r="H44" s="36">
        <v>0</v>
      </c>
      <c r="I44" s="36">
        <v>13551</v>
      </c>
      <c r="J44" s="36">
        <v>0</v>
      </c>
      <c r="K44" s="36">
        <v>1901318</v>
      </c>
      <c r="L44" s="36">
        <f t="shared" si="1"/>
        <v>1914869</v>
      </c>
      <c r="M44" s="36">
        <v>0</v>
      </c>
      <c r="N44" s="36">
        <v>0</v>
      </c>
      <c r="O44" s="36">
        <v>0</v>
      </c>
      <c r="P44" s="36">
        <f t="shared" si="2"/>
        <v>0</v>
      </c>
      <c r="Q44" s="36">
        <v>0</v>
      </c>
      <c r="R44" s="36">
        <v>0</v>
      </c>
      <c r="S44" s="36">
        <v>0</v>
      </c>
      <c r="T44" s="36">
        <v>0</v>
      </c>
      <c r="U44" s="36">
        <f t="shared" si="3"/>
        <v>0</v>
      </c>
      <c r="V44" s="36">
        <v>0</v>
      </c>
      <c r="W44" s="169">
        <f t="shared" si="4"/>
        <v>1914869</v>
      </c>
      <c r="X44" s="32">
        <v>0</v>
      </c>
      <c r="Y44" s="165">
        <f t="shared" si="5"/>
        <v>1914869</v>
      </c>
    </row>
    <row r="45" spans="1:25" ht="12.75" customHeight="1">
      <c r="A45" s="162" t="s">
        <v>2374</v>
      </c>
      <c r="B45" s="30"/>
      <c r="C45" s="162" t="s">
        <v>2375</v>
      </c>
      <c r="D45" s="31"/>
      <c r="E45" s="32">
        <v>0</v>
      </c>
      <c r="F45" s="32">
        <v>0</v>
      </c>
      <c r="G45" s="36">
        <f t="shared" si="0"/>
        <v>0</v>
      </c>
      <c r="H45" s="36">
        <v>0</v>
      </c>
      <c r="I45" s="36">
        <v>0</v>
      </c>
      <c r="J45" s="36">
        <v>0</v>
      </c>
      <c r="K45" s="36">
        <v>0</v>
      </c>
      <c r="L45" s="36">
        <f t="shared" si="1"/>
        <v>0</v>
      </c>
      <c r="M45" s="36">
        <v>0</v>
      </c>
      <c r="N45" s="36">
        <v>0</v>
      </c>
      <c r="O45" s="36">
        <v>0</v>
      </c>
      <c r="P45" s="36">
        <f t="shared" si="2"/>
        <v>0</v>
      </c>
      <c r="Q45" s="36">
        <v>0</v>
      </c>
      <c r="R45" s="36">
        <v>0</v>
      </c>
      <c r="S45" s="36">
        <v>0</v>
      </c>
      <c r="T45" s="36">
        <v>0</v>
      </c>
      <c r="U45" s="36">
        <f t="shared" si="3"/>
        <v>0</v>
      </c>
      <c r="V45" s="36">
        <v>0</v>
      </c>
      <c r="W45" s="169">
        <f t="shared" si="4"/>
        <v>0</v>
      </c>
      <c r="X45" s="32">
        <v>0</v>
      </c>
      <c r="Y45" s="165">
        <f t="shared" si="5"/>
        <v>0</v>
      </c>
    </row>
    <row r="46" spans="1:25" ht="12.75" customHeight="1">
      <c r="A46" s="1"/>
      <c r="B46" s="30"/>
      <c r="C46" s="162"/>
      <c r="D46" s="31"/>
      <c r="E46" s="32"/>
      <c r="F46" s="32"/>
      <c r="G46" s="36"/>
      <c r="H46" s="36"/>
      <c r="I46" s="36"/>
      <c r="J46" s="36"/>
      <c r="K46" s="36"/>
      <c r="L46" s="39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169"/>
      <c r="X46" s="32"/>
      <c r="Y46" s="155"/>
    </row>
    <row r="47" spans="1:25" s="170" customFormat="1" ht="12.75" customHeight="1">
      <c r="A47" s="29"/>
      <c r="B47" s="23" t="s">
        <v>2123</v>
      </c>
      <c r="C47" s="161"/>
      <c r="D47" s="24"/>
      <c r="E47" s="27">
        <f aca="true" t="shared" si="6" ref="E47:Y47">+E14+E24+E27+E28+E30+E36+E40+E42+E44+E23+E45+E38+E37</f>
        <v>2603699.7</v>
      </c>
      <c r="F47" s="27">
        <f t="shared" si="6"/>
        <v>707918.11</v>
      </c>
      <c r="G47" s="39">
        <f t="shared" si="6"/>
        <v>3311617.8100000005</v>
      </c>
      <c r="H47" s="39">
        <f t="shared" si="6"/>
        <v>12794326.62</v>
      </c>
      <c r="I47" s="39">
        <f t="shared" si="6"/>
        <v>59486.009999999995</v>
      </c>
      <c r="J47" s="39">
        <f t="shared" si="6"/>
        <v>0</v>
      </c>
      <c r="K47" s="39">
        <f t="shared" si="6"/>
        <v>2063329.09</v>
      </c>
      <c r="L47" s="39">
        <f t="shared" si="6"/>
        <v>2122815.1</v>
      </c>
      <c r="M47" s="39">
        <f t="shared" si="6"/>
        <v>0</v>
      </c>
      <c r="N47" s="39">
        <f t="shared" si="6"/>
        <v>7832183.21</v>
      </c>
      <c r="O47" s="39">
        <f t="shared" si="6"/>
        <v>217383.18</v>
      </c>
      <c r="P47" s="39">
        <f t="shared" si="6"/>
        <v>8049566.39</v>
      </c>
      <c r="Q47" s="39">
        <f t="shared" si="6"/>
        <v>502867.97</v>
      </c>
      <c r="R47" s="39">
        <f t="shared" si="6"/>
        <v>2015468.2</v>
      </c>
      <c r="S47" s="39">
        <f t="shared" si="6"/>
        <v>-218679.62</v>
      </c>
      <c r="T47" s="39">
        <f t="shared" si="6"/>
        <v>246580.57</v>
      </c>
      <c r="U47" s="39">
        <f t="shared" si="6"/>
        <v>2546237.1199999996</v>
      </c>
      <c r="V47" s="39">
        <f t="shared" si="6"/>
        <v>220737.21</v>
      </c>
      <c r="W47" s="39">
        <f t="shared" si="6"/>
        <v>29045300.25</v>
      </c>
      <c r="X47" s="27">
        <f t="shared" si="6"/>
        <v>0</v>
      </c>
      <c r="Y47" s="27">
        <f t="shared" si="6"/>
        <v>29045300.25</v>
      </c>
    </row>
    <row r="48" spans="1:25" ht="12.75" customHeight="1">
      <c r="A48" s="1"/>
      <c r="B48" s="30"/>
      <c r="C48" s="162"/>
      <c r="D48" s="31"/>
      <c r="E48" s="32"/>
      <c r="F48" s="32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169"/>
      <c r="X48" s="32"/>
      <c r="Y48" s="155"/>
    </row>
    <row r="49" spans="1:25" ht="12.75" customHeight="1">
      <c r="A49" s="29"/>
      <c r="B49" s="23" t="s">
        <v>2124</v>
      </c>
      <c r="C49" s="161"/>
      <c r="D49" s="24"/>
      <c r="E49" s="27"/>
      <c r="F49" s="27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171"/>
      <c r="X49" s="27"/>
      <c r="Y49" s="155"/>
    </row>
    <row r="50" spans="1:25" ht="12.75" customHeight="1">
      <c r="A50" s="1" t="s">
        <v>2376</v>
      </c>
      <c r="B50" s="30"/>
      <c r="C50" s="162" t="s">
        <v>2377</v>
      </c>
      <c r="D50" s="31"/>
      <c r="E50" s="32">
        <v>0</v>
      </c>
      <c r="F50" s="32">
        <v>0</v>
      </c>
      <c r="G50" s="36">
        <f aca="true" t="shared" si="7" ref="G50:G79">E50+F50</f>
        <v>0</v>
      </c>
      <c r="H50" s="36">
        <v>0</v>
      </c>
      <c r="I50" s="36">
        <v>0</v>
      </c>
      <c r="J50" s="36">
        <v>0</v>
      </c>
      <c r="K50" s="36">
        <v>0</v>
      </c>
      <c r="L50" s="36">
        <f aca="true" t="shared" si="8" ref="L50:L79">I50+J50+K50</f>
        <v>0</v>
      </c>
      <c r="M50" s="36">
        <v>0</v>
      </c>
      <c r="N50" s="36">
        <v>0</v>
      </c>
      <c r="O50" s="36">
        <v>0</v>
      </c>
      <c r="P50" s="36">
        <f aca="true" t="shared" si="9" ref="P50:P79">M50+N50+O50</f>
        <v>0</v>
      </c>
      <c r="Q50" s="36">
        <v>0</v>
      </c>
      <c r="R50" s="36">
        <v>0</v>
      </c>
      <c r="S50" s="36">
        <v>0</v>
      </c>
      <c r="T50" s="36">
        <v>0</v>
      </c>
      <c r="U50" s="36">
        <f aca="true" t="shared" si="10" ref="U50:U79">Q50+R50+S50+T50</f>
        <v>0</v>
      </c>
      <c r="V50" s="36">
        <v>0</v>
      </c>
      <c r="W50" s="169">
        <f aca="true" t="shared" si="11" ref="W50:W79">G50+H50+L50+P50+U50+V50</f>
        <v>0</v>
      </c>
      <c r="X50" s="32">
        <v>0</v>
      </c>
      <c r="Y50" s="165">
        <f aca="true" t="shared" si="12" ref="Y50:Y79">W50+X50</f>
        <v>0</v>
      </c>
    </row>
    <row r="51" spans="1:25" ht="12.75" hidden="1" outlineLevel="1">
      <c r="A51" s="2" t="s">
        <v>2378</v>
      </c>
      <c r="C51" s="2" t="s">
        <v>2379</v>
      </c>
      <c r="D51" s="1" t="s">
        <v>2380</v>
      </c>
      <c r="E51" s="2">
        <v>0</v>
      </c>
      <c r="F51" s="2">
        <v>0</v>
      </c>
      <c r="G51" s="166">
        <f t="shared" si="7"/>
        <v>0</v>
      </c>
      <c r="H51" s="166">
        <v>1211145.02</v>
      </c>
      <c r="I51" s="166">
        <v>0</v>
      </c>
      <c r="J51" s="166">
        <v>0</v>
      </c>
      <c r="K51" s="166">
        <v>0</v>
      </c>
      <c r="L51" s="166">
        <f t="shared" si="8"/>
        <v>0</v>
      </c>
      <c r="M51" s="166">
        <v>0</v>
      </c>
      <c r="N51" s="166">
        <v>0</v>
      </c>
      <c r="O51" s="166">
        <v>0</v>
      </c>
      <c r="P51" s="166">
        <f t="shared" si="9"/>
        <v>0</v>
      </c>
      <c r="Q51" s="166">
        <v>0</v>
      </c>
      <c r="R51" s="166">
        <v>0</v>
      </c>
      <c r="S51" s="166">
        <v>0</v>
      </c>
      <c r="T51" s="166">
        <v>0</v>
      </c>
      <c r="U51" s="166">
        <f t="shared" si="10"/>
        <v>0</v>
      </c>
      <c r="V51" s="166">
        <v>0</v>
      </c>
      <c r="W51" s="167">
        <f t="shared" si="11"/>
        <v>1211145.02</v>
      </c>
      <c r="X51" s="2">
        <v>0</v>
      </c>
      <c r="Y51" s="168">
        <f t="shared" si="12"/>
        <v>1211145.02</v>
      </c>
    </row>
    <row r="52" spans="1:25" ht="12.75" customHeight="1" collapsed="1">
      <c r="A52" s="162" t="s">
        <v>2381</v>
      </c>
      <c r="B52" s="30"/>
      <c r="C52" s="162" t="s">
        <v>2125</v>
      </c>
      <c r="D52" s="31"/>
      <c r="E52" s="32">
        <v>0</v>
      </c>
      <c r="F52" s="32">
        <v>0</v>
      </c>
      <c r="G52" s="36">
        <f t="shared" si="7"/>
        <v>0</v>
      </c>
      <c r="H52" s="36">
        <v>1211145.02</v>
      </c>
      <c r="I52" s="36">
        <v>0</v>
      </c>
      <c r="J52" s="36">
        <v>0</v>
      </c>
      <c r="K52" s="36">
        <v>0</v>
      </c>
      <c r="L52" s="36">
        <f t="shared" si="8"/>
        <v>0</v>
      </c>
      <c r="M52" s="36">
        <v>0</v>
      </c>
      <c r="N52" s="36">
        <v>0</v>
      </c>
      <c r="O52" s="36">
        <v>0</v>
      </c>
      <c r="P52" s="36">
        <f t="shared" si="9"/>
        <v>0</v>
      </c>
      <c r="Q52" s="36">
        <v>0</v>
      </c>
      <c r="R52" s="36">
        <v>0</v>
      </c>
      <c r="S52" s="36">
        <v>0</v>
      </c>
      <c r="T52" s="36">
        <v>0</v>
      </c>
      <c r="U52" s="36">
        <f t="shared" si="10"/>
        <v>0</v>
      </c>
      <c r="V52" s="36">
        <v>0</v>
      </c>
      <c r="W52" s="169">
        <f t="shared" si="11"/>
        <v>1211145.02</v>
      </c>
      <c r="X52" s="32">
        <v>0</v>
      </c>
      <c r="Y52" s="165">
        <f t="shared" si="12"/>
        <v>1211145.02</v>
      </c>
    </row>
    <row r="53" spans="1:25" ht="12.75" hidden="1" outlineLevel="1">
      <c r="A53" s="2" t="s">
        <v>2382</v>
      </c>
      <c r="C53" s="2" t="s">
        <v>2383</v>
      </c>
      <c r="D53" s="1" t="s">
        <v>2384</v>
      </c>
      <c r="E53" s="2">
        <v>0</v>
      </c>
      <c r="F53" s="2">
        <v>0</v>
      </c>
      <c r="G53" s="166">
        <f t="shared" si="7"/>
        <v>0</v>
      </c>
      <c r="H53" s="166">
        <v>0</v>
      </c>
      <c r="I53" s="166">
        <v>-54872.88</v>
      </c>
      <c r="J53" s="166">
        <v>0</v>
      </c>
      <c r="K53" s="166">
        <v>-2079198.93</v>
      </c>
      <c r="L53" s="166">
        <f t="shared" si="8"/>
        <v>-2134071.81</v>
      </c>
      <c r="M53" s="166">
        <v>0</v>
      </c>
      <c r="N53" s="166">
        <v>0</v>
      </c>
      <c r="O53" s="166">
        <v>0</v>
      </c>
      <c r="P53" s="166">
        <f t="shared" si="9"/>
        <v>0</v>
      </c>
      <c r="Q53" s="166">
        <v>0</v>
      </c>
      <c r="R53" s="166">
        <v>0</v>
      </c>
      <c r="S53" s="166">
        <v>0</v>
      </c>
      <c r="T53" s="166">
        <v>0</v>
      </c>
      <c r="U53" s="166">
        <f t="shared" si="10"/>
        <v>0</v>
      </c>
      <c r="V53" s="166">
        <v>0</v>
      </c>
      <c r="W53" s="167">
        <f t="shared" si="11"/>
        <v>-2134071.81</v>
      </c>
      <c r="X53" s="2">
        <v>0</v>
      </c>
      <c r="Y53" s="168">
        <f t="shared" si="12"/>
        <v>-2134071.81</v>
      </c>
    </row>
    <row r="54" spans="1:25" ht="12.75" hidden="1" outlineLevel="1">
      <c r="A54" s="2" t="s">
        <v>2385</v>
      </c>
      <c r="C54" s="2" t="s">
        <v>2386</v>
      </c>
      <c r="D54" s="1" t="s">
        <v>2387</v>
      </c>
      <c r="E54" s="2">
        <v>0</v>
      </c>
      <c r="F54" s="2">
        <v>0</v>
      </c>
      <c r="G54" s="166">
        <f t="shared" si="7"/>
        <v>0</v>
      </c>
      <c r="H54" s="166">
        <v>0</v>
      </c>
      <c r="I54" s="166">
        <v>57133</v>
      </c>
      <c r="J54" s="166">
        <v>0</v>
      </c>
      <c r="K54" s="166">
        <v>2263718.46</v>
      </c>
      <c r="L54" s="166">
        <f t="shared" si="8"/>
        <v>2320851.46</v>
      </c>
      <c r="M54" s="166">
        <v>0</v>
      </c>
      <c r="N54" s="166">
        <v>0</v>
      </c>
      <c r="O54" s="166">
        <v>0</v>
      </c>
      <c r="P54" s="166">
        <f t="shared" si="9"/>
        <v>0</v>
      </c>
      <c r="Q54" s="166">
        <v>0</v>
      </c>
      <c r="R54" s="166">
        <v>0</v>
      </c>
      <c r="S54" s="166">
        <v>0</v>
      </c>
      <c r="T54" s="166">
        <v>0</v>
      </c>
      <c r="U54" s="166">
        <f t="shared" si="10"/>
        <v>0</v>
      </c>
      <c r="V54" s="166">
        <v>0</v>
      </c>
      <c r="W54" s="167">
        <f t="shared" si="11"/>
        <v>2320851.46</v>
      </c>
      <c r="X54" s="2">
        <v>0</v>
      </c>
      <c r="Y54" s="168">
        <f t="shared" si="12"/>
        <v>2320851.46</v>
      </c>
    </row>
    <row r="55" spans="1:25" ht="12.75" hidden="1" outlineLevel="1">
      <c r="A55" s="2" t="s">
        <v>2388</v>
      </c>
      <c r="C55" s="2" t="s">
        <v>2389</v>
      </c>
      <c r="D55" s="1" t="s">
        <v>2390</v>
      </c>
      <c r="E55" s="2">
        <v>0</v>
      </c>
      <c r="F55" s="2">
        <v>0</v>
      </c>
      <c r="G55" s="166">
        <f t="shared" si="7"/>
        <v>0</v>
      </c>
      <c r="H55" s="166">
        <v>0</v>
      </c>
      <c r="I55" s="166">
        <v>5414.52</v>
      </c>
      <c r="J55" s="166">
        <v>0</v>
      </c>
      <c r="K55" s="166">
        <v>9351296.4</v>
      </c>
      <c r="L55" s="166">
        <f t="shared" si="8"/>
        <v>9356710.92</v>
      </c>
      <c r="M55" s="166">
        <v>0</v>
      </c>
      <c r="N55" s="166">
        <v>0</v>
      </c>
      <c r="O55" s="166">
        <v>0</v>
      </c>
      <c r="P55" s="166">
        <f t="shared" si="9"/>
        <v>0</v>
      </c>
      <c r="Q55" s="166">
        <v>0</v>
      </c>
      <c r="R55" s="166">
        <v>0</v>
      </c>
      <c r="S55" s="166">
        <v>0</v>
      </c>
      <c r="T55" s="166">
        <v>0</v>
      </c>
      <c r="U55" s="166">
        <f t="shared" si="10"/>
        <v>0</v>
      </c>
      <c r="V55" s="166">
        <v>0</v>
      </c>
      <c r="W55" s="167">
        <f t="shared" si="11"/>
        <v>9356710.92</v>
      </c>
      <c r="X55" s="2">
        <v>0</v>
      </c>
      <c r="Y55" s="168">
        <f t="shared" si="12"/>
        <v>9356710.92</v>
      </c>
    </row>
    <row r="56" spans="1:25" ht="12.75" hidden="1" outlineLevel="1">
      <c r="A56" s="2" t="s">
        <v>2391</v>
      </c>
      <c r="C56" s="2" t="s">
        <v>2392</v>
      </c>
      <c r="D56" s="1" t="s">
        <v>2393</v>
      </c>
      <c r="E56" s="2">
        <v>0</v>
      </c>
      <c r="F56" s="2">
        <v>0</v>
      </c>
      <c r="G56" s="166">
        <f t="shared" si="7"/>
        <v>0</v>
      </c>
      <c r="H56" s="166">
        <v>0</v>
      </c>
      <c r="I56" s="166">
        <v>0</v>
      </c>
      <c r="J56" s="166">
        <v>0</v>
      </c>
      <c r="K56" s="166">
        <v>-20000</v>
      </c>
      <c r="L56" s="166">
        <f t="shared" si="8"/>
        <v>-20000</v>
      </c>
      <c r="M56" s="166">
        <v>0</v>
      </c>
      <c r="N56" s="166">
        <v>0</v>
      </c>
      <c r="O56" s="166">
        <v>0</v>
      </c>
      <c r="P56" s="166">
        <f t="shared" si="9"/>
        <v>0</v>
      </c>
      <c r="Q56" s="166">
        <v>0</v>
      </c>
      <c r="R56" s="166">
        <v>0</v>
      </c>
      <c r="S56" s="166">
        <v>0</v>
      </c>
      <c r="T56" s="166">
        <v>0</v>
      </c>
      <c r="U56" s="166">
        <f t="shared" si="10"/>
        <v>0</v>
      </c>
      <c r="V56" s="166">
        <v>0</v>
      </c>
      <c r="W56" s="167">
        <f t="shared" si="11"/>
        <v>-20000</v>
      </c>
      <c r="X56" s="2">
        <v>0</v>
      </c>
      <c r="Y56" s="168">
        <f t="shared" si="12"/>
        <v>-20000</v>
      </c>
    </row>
    <row r="57" spans="1:25" ht="12.75" customHeight="1" collapsed="1">
      <c r="A57" s="162" t="s">
        <v>2394</v>
      </c>
      <c r="B57" s="30"/>
      <c r="C57" s="162" t="s">
        <v>2126</v>
      </c>
      <c r="D57" s="31"/>
      <c r="E57" s="32">
        <v>0</v>
      </c>
      <c r="F57" s="32">
        <v>0</v>
      </c>
      <c r="G57" s="36">
        <f t="shared" si="7"/>
        <v>0</v>
      </c>
      <c r="H57" s="36">
        <v>0</v>
      </c>
      <c r="I57" s="36">
        <v>7674.64</v>
      </c>
      <c r="J57" s="36">
        <v>0</v>
      </c>
      <c r="K57" s="36">
        <v>9515815.93</v>
      </c>
      <c r="L57" s="36">
        <f t="shared" si="8"/>
        <v>9523490.57</v>
      </c>
      <c r="M57" s="36">
        <v>0</v>
      </c>
      <c r="N57" s="36">
        <v>0</v>
      </c>
      <c r="O57" s="36">
        <v>0</v>
      </c>
      <c r="P57" s="36">
        <f t="shared" si="9"/>
        <v>0</v>
      </c>
      <c r="Q57" s="36">
        <v>0</v>
      </c>
      <c r="R57" s="36">
        <v>0</v>
      </c>
      <c r="S57" s="36">
        <v>0</v>
      </c>
      <c r="T57" s="36">
        <v>0</v>
      </c>
      <c r="U57" s="36">
        <f t="shared" si="10"/>
        <v>0</v>
      </c>
      <c r="V57" s="36">
        <v>0</v>
      </c>
      <c r="W57" s="169">
        <f t="shared" si="11"/>
        <v>9523490.57</v>
      </c>
      <c r="X57" s="32">
        <v>0</v>
      </c>
      <c r="Y57" s="165">
        <f t="shared" si="12"/>
        <v>9523490.57</v>
      </c>
    </row>
    <row r="58" spans="1:25" ht="12.75" hidden="1" outlineLevel="1">
      <c r="A58" s="2" t="s">
        <v>2395</v>
      </c>
      <c r="C58" s="2" t="s">
        <v>2396</v>
      </c>
      <c r="D58" s="1" t="s">
        <v>2397</v>
      </c>
      <c r="E58" s="2">
        <v>0</v>
      </c>
      <c r="F58" s="2">
        <v>0</v>
      </c>
      <c r="G58" s="166">
        <f t="shared" si="7"/>
        <v>0</v>
      </c>
      <c r="H58" s="166">
        <v>0</v>
      </c>
      <c r="I58" s="166">
        <v>0</v>
      </c>
      <c r="J58" s="166">
        <v>0</v>
      </c>
      <c r="K58" s="166">
        <v>0</v>
      </c>
      <c r="L58" s="166">
        <f t="shared" si="8"/>
        <v>0</v>
      </c>
      <c r="M58" s="166">
        <v>0</v>
      </c>
      <c r="N58" s="166">
        <v>0</v>
      </c>
      <c r="O58" s="166">
        <v>0</v>
      </c>
      <c r="P58" s="166">
        <f t="shared" si="9"/>
        <v>0</v>
      </c>
      <c r="Q58" s="166">
        <v>0</v>
      </c>
      <c r="R58" s="166">
        <v>0</v>
      </c>
      <c r="S58" s="166">
        <v>168033.19</v>
      </c>
      <c r="T58" s="166">
        <v>0</v>
      </c>
      <c r="U58" s="166">
        <f t="shared" si="10"/>
        <v>168033.19</v>
      </c>
      <c r="V58" s="166">
        <v>0</v>
      </c>
      <c r="W58" s="167">
        <f t="shared" si="11"/>
        <v>168033.19</v>
      </c>
      <c r="X58" s="2">
        <v>0</v>
      </c>
      <c r="Y58" s="168">
        <f t="shared" si="12"/>
        <v>168033.19</v>
      </c>
    </row>
    <row r="59" spans="1:25" ht="12.75" customHeight="1" collapsed="1">
      <c r="A59" s="162" t="s">
        <v>2398</v>
      </c>
      <c r="B59" s="30"/>
      <c r="C59" s="162" t="s">
        <v>2399</v>
      </c>
      <c r="D59" s="31"/>
      <c r="E59" s="32">
        <v>0</v>
      </c>
      <c r="F59" s="32">
        <v>0</v>
      </c>
      <c r="G59" s="36">
        <f t="shared" si="7"/>
        <v>0</v>
      </c>
      <c r="H59" s="36">
        <v>0</v>
      </c>
      <c r="I59" s="36">
        <v>0</v>
      </c>
      <c r="J59" s="36">
        <v>0</v>
      </c>
      <c r="K59" s="36">
        <v>0</v>
      </c>
      <c r="L59" s="36">
        <f t="shared" si="8"/>
        <v>0</v>
      </c>
      <c r="M59" s="36">
        <v>0</v>
      </c>
      <c r="N59" s="36">
        <v>0</v>
      </c>
      <c r="O59" s="36">
        <v>0</v>
      </c>
      <c r="P59" s="36">
        <f t="shared" si="9"/>
        <v>0</v>
      </c>
      <c r="Q59" s="36">
        <v>0</v>
      </c>
      <c r="R59" s="36">
        <v>0</v>
      </c>
      <c r="S59" s="36">
        <v>168033.19</v>
      </c>
      <c r="T59" s="36">
        <v>0</v>
      </c>
      <c r="U59" s="36">
        <f t="shared" si="10"/>
        <v>168033.19</v>
      </c>
      <c r="V59" s="36">
        <v>0</v>
      </c>
      <c r="W59" s="169">
        <f t="shared" si="11"/>
        <v>168033.19</v>
      </c>
      <c r="X59" s="32">
        <v>0</v>
      </c>
      <c r="Y59" s="165">
        <f t="shared" si="12"/>
        <v>168033.19</v>
      </c>
    </row>
    <row r="60" spans="1:25" ht="12.75" hidden="1" outlineLevel="1">
      <c r="A60" s="2" t="s">
        <v>2400</v>
      </c>
      <c r="C60" s="2" t="s">
        <v>2401</v>
      </c>
      <c r="D60" s="1" t="s">
        <v>2402</v>
      </c>
      <c r="E60" s="2">
        <v>0</v>
      </c>
      <c r="F60" s="2">
        <v>0</v>
      </c>
      <c r="G60" s="166">
        <f t="shared" si="7"/>
        <v>0</v>
      </c>
      <c r="H60" s="166">
        <v>0</v>
      </c>
      <c r="I60" s="166">
        <v>0</v>
      </c>
      <c r="J60" s="166">
        <v>0</v>
      </c>
      <c r="K60" s="166">
        <v>0</v>
      </c>
      <c r="L60" s="166">
        <f t="shared" si="8"/>
        <v>0</v>
      </c>
      <c r="M60" s="166">
        <v>0</v>
      </c>
      <c r="N60" s="166">
        <v>795650.81</v>
      </c>
      <c r="O60" s="166">
        <v>0</v>
      </c>
      <c r="P60" s="166">
        <f t="shared" si="9"/>
        <v>795650.81</v>
      </c>
      <c r="Q60" s="166">
        <v>0</v>
      </c>
      <c r="R60" s="166">
        <v>0</v>
      </c>
      <c r="S60" s="166">
        <v>0</v>
      </c>
      <c r="T60" s="166">
        <v>0</v>
      </c>
      <c r="U60" s="166">
        <f t="shared" si="10"/>
        <v>0</v>
      </c>
      <c r="V60" s="166">
        <v>0</v>
      </c>
      <c r="W60" s="167">
        <f t="shared" si="11"/>
        <v>795650.81</v>
      </c>
      <c r="X60" s="2">
        <v>0</v>
      </c>
      <c r="Y60" s="168">
        <f t="shared" si="12"/>
        <v>795650.81</v>
      </c>
    </row>
    <row r="61" spans="1:25" ht="12.75" hidden="1" outlineLevel="1">
      <c r="A61" s="2" t="s">
        <v>2403</v>
      </c>
      <c r="C61" s="2" t="s">
        <v>2404</v>
      </c>
      <c r="D61" s="1" t="s">
        <v>2405</v>
      </c>
      <c r="E61" s="2">
        <v>0</v>
      </c>
      <c r="F61" s="2">
        <v>0</v>
      </c>
      <c r="G61" s="166">
        <f t="shared" si="7"/>
        <v>0</v>
      </c>
      <c r="H61" s="166">
        <v>0</v>
      </c>
      <c r="I61" s="166">
        <v>0</v>
      </c>
      <c r="J61" s="166">
        <v>0</v>
      </c>
      <c r="K61" s="166">
        <v>0</v>
      </c>
      <c r="L61" s="166">
        <f t="shared" si="8"/>
        <v>0</v>
      </c>
      <c r="M61" s="166">
        <v>0</v>
      </c>
      <c r="N61" s="166">
        <v>1204203.55</v>
      </c>
      <c r="O61" s="166">
        <v>306603.46</v>
      </c>
      <c r="P61" s="166">
        <f t="shared" si="9"/>
        <v>1510807.01</v>
      </c>
      <c r="Q61" s="166">
        <v>0</v>
      </c>
      <c r="R61" s="166">
        <v>0</v>
      </c>
      <c r="S61" s="166">
        <v>0</v>
      </c>
      <c r="T61" s="166">
        <v>0</v>
      </c>
      <c r="U61" s="166">
        <f t="shared" si="10"/>
        <v>0</v>
      </c>
      <c r="V61" s="166">
        <v>0</v>
      </c>
      <c r="W61" s="167">
        <f t="shared" si="11"/>
        <v>1510807.01</v>
      </c>
      <c r="X61" s="2">
        <v>0</v>
      </c>
      <c r="Y61" s="168">
        <f t="shared" si="12"/>
        <v>1510807.01</v>
      </c>
    </row>
    <row r="62" spans="1:25" ht="12.75" hidden="1" outlineLevel="1">
      <c r="A62" s="2" t="s">
        <v>2406</v>
      </c>
      <c r="C62" s="2" t="s">
        <v>2407</v>
      </c>
      <c r="D62" s="1" t="s">
        <v>2408</v>
      </c>
      <c r="E62" s="2">
        <v>0</v>
      </c>
      <c r="F62" s="2">
        <v>10098.03</v>
      </c>
      <c r="G62" s="166">
        <f t="shared" si="7"/>
        <v>10098.03</v>
      </c>
      <c r="H62" s="166">
        <v>0</v>
      </c>
      <c r="I62" s="166">
        <v>0</v>
      </c>
      <c r="J62" s="166">
        <v>0</v>
      </c>
      <c r="K62" s="166">
        <v>0</v>
      </c>
      <c r="L62" s="166">
        <f t="shared" si="8"/>
        <v>0</v>
      </c>
      <c r="M62" s="166">
        <v>0</v>
      </c>
      <c r="N62" s="166">
        <v>47498925.98</v>
      </c>
      <c r="O62" s="166">
        <v>14332524.139999999</v>
      </c>
      <c r="P62" s="166">
        <f t="shared" si="9"/>
        <v>61831450.12</v>
      </c>
      <c r="Q62" s="166">
        <v>0</v>
      </c>
      <c r="R62" s="166">
        <v>0</v>
      </c>
      <c r="S62" s="166">
        <v>0</v>
      </c>
      <c r="T62" s="166">
        <v>0</v>
      </c>
      <c r="U62" s="166">
        <f t="shared" si="10"/>
        <v>0</v>
      </c>
      <c r="V62" s="166">
        <v>77974.89</v>
      </c>
      <c r="W62" s="167">
        <f t="shared" si="11"/>
        <v>61919523.04</v>
      </c>
      <c r="X62" s="2">
        <v>0</v>
      </c>
      <c r="Y62" s="168">
        <f t="shared" si="12"/>
        <v>61919523.04</v>
      </c>
    </row>
    <row r="63" spans="1:25" ht="12.75" hidden="1" outlineLevel="1">
      <c r="A63" s="2" t="s">
        <v>2409</v>
      </c>
      <c r="C63" s="2" t="s">
        <v>2410</v>
      </c>
      <c r="D63" s="1" t="s">
        <v>2411</v>
      </c>
      <c r="E63" s="2">
        <v>0</v>
      </c>
      <c r="F63" s="2">
        <v>0</v>
      </c>
      <c r="G63" s="166">
        <f t="shared" si="7"/>
        <v>0</v>
      </c>
      <c r="H63" s="166">
        <v>0</v>
      </c>
      <c r="I63" s="166">
        <v>0</v>
      </c>
      <c r="J63" s="166">
        <v>0</v>
      </c>
      <c r="K63" s="166">
        <v>0</v>
      </c>
      <c r="L63" s="166">
        <f t="shared" si="8"/>
        <v>0</v>
      </c>
      <c r="M63" s="166">
        <v>0</v>
      </c>
      <c r="N63" s="166">
        <v>1478937.23</v>
      </c>
      <c r="O63" s="166">
        <v>1246203.95</v>
      </c>
      <c r="P63" s="166">
        <f t="shared" si="9"/>
        <v>2725141.1799999997</v>
      </c>
      <c r="Q63" s="166">
        <v>0</v>
      </c>
      <c r="R63" s="166">
        <v>0</v>
      </c>
      <c r="S63" s="166">
        <v>0</v>
      </c>
      <c r="T63" s="166">
        <v>0</v>
      </c>
      <c r="U63" s="166">
        <f t="shared" si="10"/>
        <v>0</v>
      </c>
      <c r="V63" s="166">
        <v>118409.86</v>
      </c>
      <c r="W63" s="167">
        <f t="shared" si="11"/>
        <v>2843551.0399999996</v>
      </c>
      <c r="X63" s="2">
        <v>0</v>
      </c>
      <c r="Y63" s="168">
        <f t="shared" si="12"/>
        <v>2843551.0399999996</v>
      </c>
    </row>
    <row r="64" spans="1:25" ht="12.75" hidden="1" outlineLevel="1">
      <c r="A64" s="2" t="s">
        <v>2412</v>
      </c>
      <c r="C64" s="2" t="s">
        <v>2413</v>
      </c>
      <c r="D64" s="1" t="s">
        <v>2414</v>
      </c>
      <c r="E64" s="2">
        <v>0</v>
      </c>
      <c r="F64" s="2">
        <v>0</v>
      </c>
      <c r="G64" s="166">
        <f t="shared" si="7"/>
        <v>0</v>
      </c>
      <c r="H64" s="166">
        <v>0</v>
      </c>
      <c r="I64" s="166">
        <v>0</v>
      </c>
      <c r="J64" s="166">
        <v>0</v>
      </c>
      <c r="K64" s="166">
        <v>0</v>
      </c>
      <c r="L64" s="166">
        <f t="shared" si="8"/>
        <v>0</v>
      </c>
      <c r="M64" s="166">
        <v>0</v>
      </c>
      <c r="N64" s="166">
        <v>4701</v>
      </c>
      <c r="O64" s="166">
        <v>0</v>
      </c>
      <c r="P64" s="166">
        <f t="shared" si="9"/>
        <v>4701</v>
      </c>
      <c r="Q64" s="166">
        <v>0</v>
      </c>
      <c r="R64" s="166">
        <v>0</v>
      </c>
      <c r="S64" s="166">
        <v>0</v>
      </c>
      <c r="T64" s="166">
        <v>0</v>
      </c>
      <c r="U64" s="166">
        <f t="shared" si="10"/>
        <v>0</v>
      </c>
      <c r="V64" s="166">
        <v>0</v>
      </c>
      <c r="W64" s="167">
        <f t="shared" si="11"/>
        <v>4701</v>
      </c>
      <c r="X64" s="2">
        <v>0</v>
      </c>
      <c r="Y64" s="168">
        <f t="shared" si="12"/>
        <v>4701</v>
      </c>
    </row>
    <row r="65" spans="1:25" ht="12.75" hidden="1" outlineLevel="1">
      <c r="A65" s="2" t="s">
        <v>2415</v>
      </c>
      <c r="C65" s="2" t="s">
        <v>2416</v>
      </c>
      <c r="D65" s="1" t="s">
        <v>2417</v>
      </c>
      <c r="E65" s="2">
        <v>24388865.34</v>
      </c>
      <c r="F65" s="2">
        <v>0</v>
      </c>
      <c r="G65" s="166">
        <f t="shared" si="7"/>
        <v>24388865.34</v>
      </c>
      <c r="H65" s="166">
        <v>0</v>
      </c>
      <c r="I65" s="166">
        <v>0</v>
      </c>
      <c r="J65" s="166">
        <v>0</v>
      </c>
      <c r="K65" s="166">
        <v>1038044.33</v>
      </c>
      <c r="L65" s="166">
        <f t="shared" si="8"/>
        <v>1038044.33</v>
      </c>
      <c r="M65" s="166">
        <v>0</v>
      </c>
      <c r="N65" s="166">
        <v>177310.44</v>
      </c>
      <c r="O65" s="166">
        <v>0</v>
      </c>
      <c r="P65" s="166">
        <f t="shared" si="9"/>
        <v>177310.44</v>
      </c>
      <c r="Q65" s="166">
        <v>2812360.91</v>
      </c>
      <c r="R65" s="166">
        <v>11271793.76</v>
      </c>
      <c r="S65" s="166">
        <v>156058.45</v>
      </c>
      <c r="T65" s="166">
        <v>0</v>
      </c>
      <c r="U65" s="166">
        <f t="shared" si="10"/>
        <v>14240213.12</v>
      </c>
      <c r="V65" s="166">
        <v>122027.51</v>
      </c>
      <c r="W65" s="167">
        <f t="shared" si="11"/>
        <v>39966460.739999995</v>
      </c>
      <c r="X65" s="2">
        <v>0</v>
      </c>
      <c r="Y65" s="168">
        <f t="shared" si="12"/>
        <v>39966460.739999995</v>
      </c>
    </row>
    <row r="66" spans="1:25" ht="12.75" hidden="1" outlineLevel="1">
      <c r="A66" s="2" t="s">
        <v>2418</v>
      </c>
      <c r="C66" s="2" t="s">
        <v>2419</v>
      </c>
      <c r="D66" s="1" t="s">
        <v>2420</v>
      </c>
      <c r="E66" s="2">
        <v>296466.78</v>
      </c>
      <c r="F66" s="2">
        <v>0</v>
      </c>
      <c r="G66" s="166">
        <f t="shared" si="7"/>
        <v>296466.78</v>
      </c>
      <c r="H66" s="166">
        <v>12747.33</v>
      </c>
      <c r="I66" s="166">
        <v>0</v>
      </c>
      <c r="J66" s="166">
        <v>0</v>
      </c>
      <c r="K66" s="166">
        <v>12314.66</v>
      </c>
      <c r="L66" s="166">
        <f t="shared" si="8"/>
        <v>12314.66</v>
      </c>
      <c r="M66" s="166">
        <v>0</v>
      </c>
      <c r="N66" s="166">
        <v>20418.27</v>
      </c>
      <c r="O66" s="166">
        <v>12652.96</v>
      </c>
      <c r="P66" s="166">
        <f t="shared" si="9"/>
        <v>33071.229999999996</v>
      </c>
      <c r="Q66" s="166">
        <v>33363.95</v>
      </c>
      <c r="R66" s="166">
        <v>133720.96</v>
      </c>
      <c r="S66" s="166">
        <v>1851.37</v>
      </c>
      <c r="T66" s="166">
        <v>0</v>
      </c>
      <c r="U66" s="166">
        <f t="shared" si="10"/>
        <v>168936.27999999997</v>
      </c>
      <c r="V66" s="166">
        <v>2054.17</v>
      </c>
      <c r="W66" s="167">
        <f t="shared" si="11"/>
        <v>525590.45</v>
      </c>
      <c r="X66" s="2">
        <v>0</v>
      </c>
      <c r="Y66" s="168">
        <f t="shared" si="12"/>
        <v>525590.45</v>
      </c>
    </row>
    <row r="67" spans="1:25" ht="12.75" customHeight="1" collapsed="1">
      <c r="A67" s="162" t="s">
        <v>2421</v>
      </c>
      <c r="B67" s="30"/>
      <c r="C67" s="162" t="s">
        <v>2128</v>
      </c>
      <c r="D67" s="31"/>
      <c r="E67" s="32">
        <v>24685332.12</v>
      </c>
      <c r="F67" s="32">
        <v>10098.03</v>
      </c>
      <c r="G67" s="36">
        <f t="shared" si="7"/>
        <v>24695430.150000002</v>
      </c>
      <c r="H67" s="36">
        <v>12747.33</v>
      </c>
      <c r="I67" s="36">
        <v>0</v>
      </c>
      <c r="J67" s="36">
        <v>0</v>
      </c>
      <c r="K67" s="36">
        <v>1050358.99</v>
      </c>
      <c r="L67" s="36">
        <f t="shared" si="8"/>
        <v>1050358.99</v>
      </c>
      <c r="M67" s="36">
        <v>0</v>
      </c>
      <c r="N67" s="36">
        <v>51180147.279999994</v>
      </c>
      <c r="O67" s="36">
        <v>15897984.51</v>
      </c>
      <c r="P67" s="36">
        <f t="shared" si="9"/>
        <v>67078131.78999999</v>
      </c>
      <c r="Q67" s="36">
        <v>2845724.86</v>
      </c>
      <c r="R67" s="36">
        <v>11405514.72</v>
      </c>
      <c r="S67" s="36">
        <v>157909.82</v>
      </c>
      <c r="T67" s="36">
        <v>0</v>
      </c>
      <c r="U67" s="36">
        <f t="shared" si="10"/>
        <v>14409149.4</v>
      </c>
      <c r="V67" s="36">
        <v>320466.43</v>
      </c>
      <c r="W67" s="169">
        <f t="shared" si="11"/>
        <v>107566284.09</v>
      </c>
      <c r="X67" s="32">
        <v>0</v>
      </c>
      <c r="Y67" s="165">
        <f t="shared" si="12"/>
        <v>107566284.09</v>
      </c>
    </row>
    <row r="68" spans="1:25" ht="12.75" hidden="1" outlineLevel="1">
      <c r="A68" s="2" t="s">
        <v>2422</v>
      </c>
      <c r="C68" s="2" t="s">
        <v>2423</v>
      </c>
      <c r="D68" s="1" t="s">
        <v>2424</v>
      </c>
      <c r="E68" s="2">
        <v>0</v>
      </c>
      <c r="F68" s="2">
        <v>0</v>
      </c>
      <c r="G68" s="166">
        <f t="shared" si="7"/>
        <v>0</v>
      </c>
      <c r="H68" s="166">
        <v>0</v>
      </c>
      <c r="I68" s="166">
        <v>0</v>
      </c>
      <c r="J68" s="166">
        <v>0</v>
      </c>
      <c r="K68" s="166">
        <v>0</v>
      </c>
      <c r="L68" s="166">
        <f t="shared" si="8"/>
        <v>0</v>
      </c>
      <c r="M68" s="166">
        <v>0</v>
      </c>
      <c r="N68" s="166">
        <v>0</v>
      </c>
      <c r="O68" s="166">
        <v>0</v>
      </c>
      <c r="P68" s="166">
        <f t="shared" si="9"/>
        <v>0</v>
      </c>
      <c r="Q68" s="166">
        <v>0</v>
      </c>
      <c r="R68" s="166">
        <v>0</v>
      </c>
      <c r="S68" s="166">
        <v>0</v>
      </c>
      <c r="T68" s="166">
        <v>4845109.2</v>
      </c>
      <c r="U68" s="166">
        <f t="shared" si="10"/>
        <v>4845109.2</v>
      </c>
      <c r="V68" s="166">
        <v>0</v>
      </c>
      <c r="W68" s="167">
        <f t="shared" si="11"/>
        <v>4845109.2</v>
      </c>
      <c r="X68" s="2">
        <v>0</v>
      </c>
      <c r="Y68" s="168">
        <f t="shared" si="12"/>
        <v>4845109.2</v>
      </c>
    </row>
    <row r="69" spans="1:25" ht="12.75" hidden="1" outlineLevel="1">
      <c r="A69" s="2" t="s">
        <v>2425</v>
      </c>
      <c r="C69" s="2" t="s">
        <v>2426</v>
      </c>
      <c r="D69" s="1" t="s">
        <v>2427</v>
      </c>
      <c r="E69" s="2">
        <v>0</v>
      </c>
      <c r="F69" s="2">
        <v>0</v>
      </c>
      <c r="G69" s="166">
        <f t="shared" si="7"/>
        <v>0</v>
      </c>
      <c r="H69" s="166">
        <v>0</v>
      </c>
      <c r="I69" s="166">
        <v>0</v>
      </c>
      <c r="J69" s="166">
        <v>0</v>
      </c>
      <c r="K69" s="166">
        <v>0</v>
      </c>
      <c r="L69" s="166">
        <f t="shared" si="8"/>
        <v>0</v>
      </c>
      <c r="M69" s="166">
        <v>0</v>
      </c>
      <c r="N69" s="166">
        <v>0</v>
      </c>
      <c r="O69" s="166">
        <v>0</v>
      </c>
      <c r="P69" s="166">
        <f t="shared" si="9"/>
        <v>0</v>
      </c>
      <c r="Q69" s="166">
        <v>0</v>
      </c>
      <c r="R69" s="166">
        <v>0</v>
      </c>
      <c r="S69" s="166">
        <v>0</v>
      </c>
      <c r="T69" s="166">
        <v>10288986.79</v>
      </c>
      <c r="U69" s="166">
        <f t="shared" si="10"/>
        <v>10288986.79</v>
      </c>
      <c r="V69" s="166">
        <v>0</v>
      </c>
      <c r="W69" s="167">
        <f t="shared" si="11"/>
        <v>10288986.79</v>
      </c>
      <c r="X69" s="2">
        <v>0</v>
      </c>
      <c r="Y69" s="168">
        <f t="shared" si="12"/>
        <v>10288986.79</v>
      </c>
    </row>
    <row r="70" spans="1:25" ht="12.75" hidden="1" outlineLevel="1">
      <c r="A70" s="2" t="s">
        <v>2428</v>
      </c>
      <c r="C70" s="2" t="s">
        <v>2429</v>
      </c>
      <c r="D70" s="1" t="s">
        <v>2430</v>
      </c>
      <c r="E70" s="2">
        <v>0</v>
      </c>
      <c r="F70" s="2">
        <v>0</v>
      </c>
      <c r="G70" s="166">
        <f t="shared" si="7"/>
        <v>0</v>
      </c>
      <c r="H70" s="166">
        <v>0</v>
      </c>
      <c r="I70" s="166">
        <v>0</v>
      </c>
      <c r="J70" s="166">
        <v>0</v>
      </c>
      <c r="K70" s="166">
        <v>0</v>
      </c>
      <c r="L70" s="166">
        <f t="shared" si="8"/>
        <v>0</v>
      </c>
      <c r="M70" s="166">
        <v>0</v>
      </c>
      <c r="N70" s="166">
        <v>0</v>
      </c>
      <c r="O70" s="166">
        <v>0</v>
      </c>
      <c r="P70" s="166">
        <f t="shared" si="9"/>
        <v>0</v>
      </c>
      <c r="Q70" s="166">
        <v>0</v>
      </c>
      <c r="R70" s="166">
        <v>0</v>
      </c>
      <c r="S70" s="166">
        <v>0</v>
      </c>
      <c r="T70" s="166">
        <v>-7213882.52</v>
      </c>
      <c r="U70" s="166">
        <f t="shared" si="10"/>
        <v>-7213882.52</v>
      </c>
      <c r="V70" s="166">
        <v>0</v>
      </c>
      <c r="W70" s="167">
        <f t="shared" si="11"/>
        <v>-7213882.52</v>
      </c>
      <c r="X70" s="2">
        <v>0</v>
      </c>
      <c r="Y70" s="168">
        <f t="shared" si="12"/>
        <v>-7213882.52</v>
      </c>
    </row>
    <row r="71" spans="1:25" ht="12.75" hidden="1" outlineLevel="1">
      <c r="A71" s="2" t="s">
        <v>2431</v>
      </c>
      <c r="C71" s="2" t="s">
        <v>2432</v>
      </c>
      <c r="D71" s="1" t="s">
        <v>2433</v>
      </c>
      <c r="E71" s="2">
        <v>0</v>
      </c>
      <c r="F71" s="2">
        <v>0</v>
      </c>
      <c r="G71" s="166">
        <f t="shared" si="7"/>
        <v>0</v>
      </c>
      <c r="H71" s="166">
        <v>0</v>
      </c>
      <c r="I71" s="166">
        <v>0</v>
      </c>
      <c r="J71" s="166">
        <v>0</v>
      </c>
      <c r="K71" s="166">
        <v>0</v>
      </c>
      <c r="L71" s="166">
        <f t="shared" si="8"/>
        <v>0</v>
      </c>
      <c r="M71" s="166">
        <v>0</v>
      </c>
      <c r="N71" s="166">
        <v>0</v>
      </c>
      <c r="O71" s="166">
        <v>0</v>
      </c>
      <c r="P71" s="166">
        <f t="shared" si="9"/>
        <v>0</v>
      </c>
      <c r="Q71" s="166">
        <v>0</v>
      </c>
      <c r="R71" s="166">
        <v>0</v>
      </c>
      <c r="S71" s="166">
        <v>0</v>
      </c>
      <c r="T71" s="166">
        <v>148853522.14</v>
      </c>
      <c r="U71" s="166">
        <f t="shared" si="10"/>
        <v>148853522.14</v>
      </c>
      <c r="V71" s="166">
        <v>0</v>
      </c>
      <c r="W71" s="167">
        <f t="shared" si="11"/>
        <v>148853522.14</v>
      </c>
      <c r="X71" s="2">
        <v>0</v>
      </c>
      <c r="Y71" s="168">
        <f t="shared" si="12"/>
        <v>148853522.14</v>
      </c>
    </row>
    <row r="72" spans="1:25" ht="12.75" hidden="1" outlineLevel="1">
      <c r="A72" s="2" t="s">
        <v>2434</v>
      </c>
      <c r="C72" s="2" t="s">
        <v>2435</v>
      </c>
      <c r="D72" s="1" t="s">
        <v>2436</v>
      </c>
      <c r="E72" s="2">
        <v>0</v>
      </c>
      <c r="F72" s="2">
        <v>0</v>
      </c>
      <c r="G72" s="166">
        <f t="shared" si="7"/>
        <v>0</v>
      </c>
      <c r="H72" s="166">
        <v>0</v>
      </c>
      <c r="I72" s="166">
        <v>0</v>
      </c>
      <c r="J72" s="166">
        <v>0</v>
      </c>
      <c r="K72" s="166">
        <v>0</v>
      </c>
      <c r="L72" s="166">
        <f t="shared" si="8"/>
        <v>0</v>
      </c>
      <c r="M72" s="166">
        <v>0</v>
      </c>
      <c r="N72" s="166">
        <v>0</v>
      </c>
      <c r="O72" s="166">
        <v>0</v>
      </c>
      <c r="P72" s="166">
        <f t="shared" si="9"/>
        <v>0</v>
      </c>
      <c r="Q72" s="166">
        <v>0</v>
      </c>
      <c r="R72" s="166">
        <v>0</v>
      </c>
      <c r="S72" s="166">
        <v>0</v>
      </c>
      <c r="T72" s="166">
        <v>-56629317.19</v>
      </c>
      <c r="U72" s="166">
        <f t="shared" si="10"/>
        <v>-56629317.19</v>
      </c>
      <c r="V72" s="166">
        <v>0</v>
      </c>
      <c r="W72" s="167">
        <f t="shared" si="11"/>
        <v>-56629317.19</v>
      </c>
      <c r="X72" s="2">
        <v>0</v>
      </c>
      <c r="Y72" s="168">
        <f t="shared" si="12"/>
        <v>-56629317.19</v>
      </c>
    </row>
    <row r="73" spans="1:25" ht="12.75" hidden="1" outlineLevel="1">
      <c r="A73" s="2" t="s">
        <v>2437</v>
      </c>
      <c r="C73" s="2" t="s">
        <v>2438</v>
      </c>
      <c r="D73" s="1" t="s">
        <v>2439</v>
      </c>
      <c r="E73" s="2">
        <v>0</v>
      </c>
      <c r="F73" s="2">
        <v>0</v>
      </c>
      <c r="G73" s="166">
        <f t="shared" si="7"/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f t="shared" si="8"/>
        <v>0</v>
      </c>
      <c r="M73" s="166">
        <v>0</v>
      </c>
      <c r="N73" s="166">
        <v>0</v>
      </c>
      <c r="O73" s="166">
        <v>0</v>
      </c>
      <c r="P73" s="166">
        <f t="shared" si="9"/>
        <v>0</v>
      </c>
      <c r="Q73" s="166">
        <v>0</v>
      </c>
      <c r="R73" s="166">
        <v>0</v>
      </c>
      <c r="S73" s="166">
        <v>0</v>
      </c>
      <c r="T73" s="166">
        <v>33392742.09</v>
      </c>
      <c r="U73" s="166">
        <f t="shared" si="10"/>
        <v>33392742.09</v>
      </c>
      <c r="V73" s="166">
        <v>0</v>
      </c>
      <c r="W73" s="167">
        <f t="shared" si="11"/>
        <v>33392742.09</v>
      </c>
      <c r="X73" s="2">
        <v>0</v>
      </c>
      <c r="Y73" s="168">
        <f t="shared" si="12"/>
        <v>33392742.09</v>
      </c>
    </row>
    <row r="74" spans="1:25" ht="12.75" hidden="1" outlineLevel="1">
      <c r="A74" s="2" t="s">
        <v>2440</v>
      </c>
      <c r="C74" s="2" t="s">
        <v>2441</v>
      </c>
      <c r="D74" s="1" t="s">
        <v>2442</v>
      </c>
      <c r="E74" s="2">
        <v>0</v>
      </c>
      <c r="F74" s="2">
        <v>0</v>
      </c>
      <c r="G74" s="166">
        <f t="shared" si="7"/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f t="shared" si="8"/>
        <v>0</v>
      </c>
      <c r="M74" s="166">
        <v>0</v>
      </c>
      <c r="N74" s="166">
        <v>0</v>
      </c>
      <c r="O74" s="166">
        <v>0</v>
      </c>
      <c r="P74" s="166">
        <f t="shared" si="9"/>
        <v>0</v>
      </c>
      <c r="Q74" s="166">
        <v>0</v>
      </c>
      <c r="R74" s="166">
        <v>0</v>
      </c>
      <c r="S74" s="166">
        <v>0</v>
      </c>
      <c r="T74" s="166">
        <v>39122.1</v>
      </c>
      <c r="U74" s="166">
        <f t="shared" si="10"/>
        <v>39122.1</v>
      </c>
      <c r="V74" s="166">
        <v>0</v>
      </c>
      <c r="W74" s="167">
        <f t="shared" si="11"/>
        <v>39122.1</v>
      </c>
      <c r="X74" s="2">
        <v>0</v>
      </c>
      <c r="Y74" s="168">
        <f t="shared" si="12"/>
        <v>39122.1</v>
      </c>
    </row>
    <row r="75" spans="1:25" ht="12.75" hidden="1" outlineLevel="1">
      <c r="A75" s="2" t="s">
        <v>2443</v>
      </c>
      <c r="C75" s="2" t="s">
        <v>2444</v>
      </c>
      <c r="D75" s="1" t="s">
        <v>2445</v>
      </c>
      <c r="E75" s="2">
        <v>0</v>
      </c>
      <c r="F75" s="2">
        <v>0</v>
      </c>
      <c r="G75" s="166">
        <f t="shared" si="7"/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f t="shared" si="8"/>
        <v>0</v>
      </c>
      <c r="M75" s="166">
        <v>0</v>
      </c>
      <c r="N75" s="166">
        <v>0</v>
      </c>
      <c r="O75" s="166">
        <v>0</v>
      </c>
      <c r="P75" s="166">
        <f t="shared" si="9"/>
        <v>0</v>
      </c>
      <c r="Q75" s="166">
        <v>0</v>
      </c>
      <c r="R75" s="166">
        <v>0</v>
      </c>
      <c r="S75" s="166">
        <v>0</v>
      </c>
      <c r="T75" s="166">
        <v>-23605965.15</v>
      </c>
      <c r="U75" s="166">
        <f t="shared" si="10"/>
        <v>-23605965.15</v>
      </c>
      <c r="V75" s="166">
        <v>0</v>
      </c>
      <c r="W75" s="167">
        <f t="shared" si="11"/>
        <v>-23605965.15</v>
      </c>
      <c r="X75" s="2">
        <v>0</v>
      </c>
      <c r="Y75" s="168">
        <f t="shared" si="12"/>
        <v>-23605965.15</v>
      </c>
    </row>
    <row r="76" spans="1:25" ht="12.75" hidden="1" outlineLevel="1">
      <c r="A76" s="2" t="s">
        <v>2446</v>
      </c>
      <c r="C76" s="2" t="s">
        <v>2447</v>
      </c>
      <c r="D76" s="1" t="s">
        <v>2448</v>
      </c>
      <c r="E76" s="2">
        <v>0</v>
      </c>
      <c r="F76" s="2">
        <v>0</v>
      </c>
      <c r="G76" s="166">
        <f t="shared" si="7"/>
        <v>0</v>
      </c>
      <c r="H76" s="166">
        <v>0</v>
      </c>
      <c r="I76" s="166">
        <v>0</v>
      </c>
      <c r="J76" s="166">
        <v>0</v>
      </c>
      <c r="K76" s="166">
        <v>0</v>
      </c>
      <c r="L76" s="166">
        <f t="shared" si="8"/>
        <v>0</v>
      </c>
      <c r="M76" s="166">
        <v>0</v>
      </c>
      <c r="N76" s="166">
        <v>0</v>
      </c>
      <c r="O76" s="166">
        <v>0</v>
      </c>
      <c r="P76" s="166">
        <f t="shared" si="9"/>
        <v>0</v>
      </c>
      <c r="Q76" s="166">
        <v>0</v>
      </c>
      <c r="R76" s="166">
        <v>0</v>
      </c>
      <c r="S76" s="166">
        <v>0</v>
      </c>
      <c r="T76" s="166">
        <v>18517936.91</v>
      </c>
      <c r="U76" s="166">
        <f t="shared" si="10"/>
        <v>18517936.91</v>
      </c>
      <c r="V76" s="166">
        <v>0</v>
      </c>
      <c r="W76" s="167">
        <f t="shared" si="11"/>
        <v>18517936.91</v>
      </c>
      <c r="X76" s="2">
        <v>0</v>
      </c>
      <c r="Y76" s="168">
        <f t="shared" si="12"/>
        <v>18517936.91</v>
      </c>
    </row>
    <row r="77" spans="1:25" ht="12.75" hidden="1" outlineLevel="1">
      <c r="A77" s="2" t="s">
        <v>2449</v>
      </c>
      <c r="C77" s="2" t="s">
        <v>2450</v>
      </c>
      <c r="D77" s="1" t="s">
        <v>2451</v>
      </c>
      <c r="E77" s="2">
        <v>0</v>
      </c>
      <c r="F77" s="2">
        <v>0</v>
      </c>
      <c r="G77" s="166">
        <f t="shared" si="7"/>
        <v>0</v>
      </c>
      <c r="H77" s="166">
        <v>0</v>
      </c>
      <c r="I77" s="166">
        <v>0</v>
      </c>
      <c r="J77" s="166">
        <v>0</v>
      </c>
      <c r="K77" s="166">
        <v>0</v>
      </c>
      <c r="L77" s="166">
        <f t="shared" si="8"/>
        <v>0</v>
      </c>
      <c r="M77" s="166">
        <v>0</v>
      </c>
      <c r="N77" s="166">
        <v>0</v>
      </c>
      <c r="O77" s="166">
        <v>0</v>
      </c>
      <c r="P77" s="166">
        <f t="shared" si="9"/>
        <v>0</v>
      </c>
      <c r="Q77" s="166">
        <v>0</v>
      </c>
      <c r="R77" s="166">
        <v>0</v>
      </c>
      <c r="S77" s="166">
        <v>0</v>
      </c>
      <c r="T77" s="166">
        <v>19842159.25</v>
      </c>
      <c r="U77" s="166">
        <f t="shared" si="10"/>
        <v>19842159.25</v>
      </c>
      <c r="V77" s="166">
        <v>0</v>
      </c>
      <c r="W77" s="167">
        <f t="shared" si="11"/>
        <v>19842159.25</v>
      </c>
      <c r="X77" s="2">
        <v>0</v>
      </c>
      <c r="Y77" s="168">
        <f t="shared" si="12"/>
        <v>19842159.25</v>
      </c>
    </row>
    <row r="78" spans="1:25" ht="12.75" hidden="1" outlineLevel="1">
      <c r="A78" s="2" t="s">
        <v>2452</v>
      </c>
      <c r="C78" s="2" t="s">
        <v>2453</v>
      </c>
      <c r="D78" s="1" t="s">
        <v>2454</v>
      </c>
      <c r="E78" s="2">
        <v>0</v>
      </c>
      <c r="F78" s="2">
        <v>0</v>
      </c>
      <c r="G78" s="166">
        <f t="shared" si="7"/>
        <v>0</v>
      </c>
      <c r="H78" s="166">
        <v>0</v>
      </c>
      <c r="I78" s="166">
        <v>0</v>
      </c>
      <c r="J78" s="166">
        <v>0</v>
      </c>
      <c r="K78" s="166">
        <v>0</v>
      </c>
      <c r="L78" s="166">
        <f t="shared" si="8"/>
        <v>0</v>
      </c>
      <c r="M78" s="166">
        <v>0</v>
      </c>
      <c r="N78" s="166">
        <v>0</v>
      </c>
      <c r="O78" s="166">
        <v>0</v>
      </c>
      <c r="P78" s="166">
        <f t="shared" si="9"/>
        <v>0</v>
      </c>
      <c r="Q78" s="166">
        <v>0</v>
      </c>
      <c r="R78" s="166">
        <v>0</v>
      </c>
      <c r="S78" s="166">
        <v>0</v>
      </c>
      <c r="T78" s="166">
        <v>106093</v>
      </c>
      <c r="U78" s="166">
        <f t="shared" si="10"/>
        <v>106093</v>
      </c>
      <c r="V78" s="166">
        <v>0</v>
      </c>
      <c r="W78" s="167">
        <f t="shared" si="11"/>
        <v>106093</v>
      </c>
      <c r="X78" s="2">
        <v>0</v>
      </c>
      <c r="Y78" s="168">
        <f t="shared" si="12"/>
        <v>106093</v>
      </c>
    </row>
    <row r="79" spans="1:25" ht="12.75" customHeight="1" collapsed="1">
      <c r="A79" s="162" t="s">
        <v>2455</v>
      </c>
      <c r="B79" s="30"/>
      <c r="C79" s="162" t="s">
        <v>2129</v>
      </c>
      <c r="D79" s="31"/>
      <c r="E79" s="32">
        <v>0</v>
      </c>
      <c r="F79" s="32">
        <v>0</v>
      </c>
      <c r="G79" s="36">
        <f t="shared" si="7"/>
        <v>0</v>
      </c>
      <c r="H79" s="36">
        <v>0</v>
      </c>
      <c r="I79" s="36">
        <v>0</v>
      </c>
      <c r="J79" s="36">
        <v>0</v>
      </c>
      <c r="K79" s="36">
        <v>0</v>
      </c>
      <c r="L79" s="36">
        <f t="shared" si="8"/>
        <v>0</v>
      </c>
      <c r="M79" s="36">
        <v>0</v>
      </c>
      <c r="N79" s="36">
        <v>0</v>
      </c>
      <c r="O79" s="36">
        <v>0</v>
      </c>
      <c r="P79" s="36">
        <f t="shared" si="9"/>
        <v>0</v>
      </c>
      <c r="Q79" s="36">
        <v>0</v>
      </c>
      <c r="R79" s="36">
        <v>0</v>
      </c>
      <c r="S79" s="36">
        <v>0</v>
      </c>
      <c r="T79" s="36">
        <v>148436506.61999997</v>
      </c>
      <c r="U79" s="36">
        <f t="shared" si="10"/>
        <v>148436506.61999997</v>
      </c>
      <c r="V79" s="36">
        <v>0</v>
      </c>
      <c r="W79" s="169">
        <f t="shared" si="11"/>
        <v>148436506.61999997</v>
      </c>
      <c r="X79" s="32">
        <v>0</v>
      </c>
      <c r="Y79" s="165">
        <f t="shared" si="12"/>
        <v>148436506.61999997</v>
      </c>
    </row>
    <row r="80" spans="1:25" ht="12.75" customHeight="1">
      <c r="A80" s="1"/>
      <c r="B80" s="30"/>
      <c r="C80" s="162"/>
      <c r="D80" s="31"/>
      <c r="E80" s="32"/>
      <c r="F80" s="32"/>
      <c r="G80" s="36"/>
      <c r="H80" s="36"/>
      <c r="I80" s="36"/>
      <c r="J80" s="36"/>
      <c r="K80" s="36"/>
      <c r="L80" s="39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169"/>
      <c r="X80" s="32"/>
      <c r="Y80" s="155"/>
    </row>
    <row r="81" spans="1:25" s="170" customFormat="1" ht="12.75" customHeight="1">
      <c r="A81" s="29"/>
      <c r="B81" s="23" t="s">
        <v>2130</v>
      </c>
      <c r="C81" s="161"/>
      <c r="D81" s="24"/>
      <c r="E81" s="27">
        <f aca="true" t="shared" si="13" ref="E81:Y81">+E52+E57+E59+E67+E79+E50</f>
        <v>24685332.12</v>
      </c>
      <c r="F81" s="27">
        <f t="shared" si="13"/>
        <v>10098.03</v>
      </c>
      <c r="G81" s="39">
        <f t="shared" si="13"/>
        <v>24695430.150000002</v>
      </c>
      <c r="H81" s="39">
        <f t="shared" si="13"/>
        <v>1223892.35</v>
      </c>
      <c r="I81" s="39">
        <f t="shared" si="13"/>
        <v>7674.64</v>
      </c>
      <c r="J81" s="39">
        <f t="shared" si="13"/>
        <v>0</v>
      </c>
      <c r="K81" s="39">
        <f t="shared" si="13"/>
        <v>10566174.92</v>
      </c>
      <c r="L81" s="39">
        <f t="shared" si="13"/>
        <v>10573849.56</v>
      </c>
      <c r="M81" s="39">
        <f t="shared" si="13"/>
        <v>0</v>
      </c>
      <c r="N81" s="39">
        <f t="shared" si="13"/>
        <v>51180147.279999994</v>
      </c>
      <c r="O81" s="39">
        <f t="shared" si="13"/>
        <v>15897984.51</v>
      </c>
      <c r="P81" s="39">
        <f t="shared" si="13"/>
        <v>67078131.78999999</v>
      </c>
      <c r="Q81" s="39">
        <f t="shared" si="13"/>
        <v>2845724.86</v>
      </c>
      <c r="R81" s="39">
        <f t="shared" si="13"/>
        <v>11405514.72</v>
      </c>
      <c r="S81" s="39">
        <f t="shared" si="13"/>
        <v>325943.01</v>
      </c>
      <c r="T81" s="39">
        <f t="shared" si="13"/>
        <v>148436506.61999997</v>
      </c>
      <c r="U81" s="39">
        <f t="shared" si="13"/>
        <v>163013689.20999998</v>
      </c>
      <c r="V81" s="39">
        <f t="shared" si="13"/>
        <v>320466.43</v>
      </c>
      <c r="W81" s="171">
        <f t="shared" si="13"/>
        <v>266905459.48999998</v>
      </c>
      <c r="X81" s="27">
        <f t="shared" si="13"/>
        <v>0</v>
      </c>
      <c r="Y81" s="27">
        <f t="shared" si="13"/>
        <v>266905459.48999998</v>
      </c>
    </row>
    <row r="82" spans="1:25" ht="12.75" customHeight="1">
      <c r="A82" s="1"/>
      <c r="B82" s="30"/>
      <c r="C82" s="162"/>
      <c r="D82" s="31"/>
      <c r="E82" s="32"/>
      <c r="F82" s="32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169"/>
      <c r="X82" s="32"/>
      <c r="Y82" s="32"/>
    </row>
    <row r="83" spans="1:25" s="170" customFormat="1" ht="12.75" customHeight="1">
      <c r="A83" s="29"/>
      <c r="B83" s="23" t="s">
        <v>2131</v>
      </c>
      <c r="C83" s="161"/>
      <c r="D83" s="24"/>
      <c r="E83" s="27">
        <f aca="true" t="shared" si="14" ref="E83:K83">+E47+E81</f>
        <v>27289031.82</v>
      </c>
      <c r="F83" s="27">
        <f t="shared" si="14"/>
        <v>718016.14</v>
      </c>
      <c r="G83" s="41">
        <f t="shared" si="14"/>
        <v>28007047.96</v>
      </c>
      <c r="H83" s="41">
        <f t="shared" si="14"/>
        <v>14018218.969999999</v>
      </c>
      <c r="I83" s="41">
        <f t="shared" si="14"/>
        <v>67160.65</v>
      </c>
      <c r="J83" s="41">
        <f t="shared" si="14"/>
        <v>0</v>
      </c>
      <c r="K83" s="41">
        <f t="shared" si="14"/>
        <v>12629504.01</v>
      </c>
      <c r="L83" s="41">
        <f>I83+J83+K83</f>
        <v>12696664.66</v>
      </c>
      <c r="M83" s="41">
        <f>+M47+M81</f>
        <v>0</v>
      </c>
      <c r="N83" s="41">
        <f>+N47+N81</f>
        <v>59012330.489999995</v>
      </c>
      <c r="O83" s="41">
        <f>+O47+O81</f>
        <v>16115367.69</v>
      </c>
      <c r="P83" s="41">
        <f>M83+N83+O83</f>
        <v>75127698.17999999</v>
      </c>
      <c r="Q83" s="41">
        <f aca="true" t="shared" si="15" ref="Q83:Y83">+Q47+Q81</f>
        <v>3348592.83</v>
      </c>
      <c r="R83" s="41">
        <f t="shared" si="15"/>
        <v>13420982.92</v>
      </c>
      <c r="S83" s="41">
        <f t="shared" si="15"/>
        <v>107263.39000000001</v>
      </c>
      <c r="T83" s="41">
        <f t="shared" si="15"/>
        <v>148683087.18999997</v>
      </c>
      <c r="U83" s="41">
        <f t="shared" si="15"/>
        <v>165559926.32999998</v>
      </c>
      <c r="V83" s="41">
        <f t="shared" si="15"/>
        <v>541203.64</v>
      </c>
      <c r="W83" s="172">
        <f t="shared" si="15"/>
        <v>295950759.74</v>
      </c>
      <c r="X83" s="27">
        <f t="shared" si="15"/>
        <v>0</v>
      </c>
      <c r="Y83" s="27">
        <f t="shared" si="15"/>
        <v>295950759.74</v>
      </c>
    </row>
    <row r="84" spans="1:25" ht="12.75" customHeight="1">
      <c r="A84" s="1"/>
      <c r="B84" s="30"/>
      <c r="C84" s="162"/>
      <c r="D84" s="31"/>
      <c r="E84" s="32"/>
      <c r="F84" s="32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69"/>
      <c r="X84" s="32"/>
      <c r="Y84" s="155"/>
    </row>
    <row r="85" spans="1:25" ht="12.75" customHeight="1">
      <c r="A85" s="29"/>
      <c r="B85" s="23" t="s">
        <v>2132</v>
      </c>
      <c r="C85" s="161"/>
      <c r="D85" s="24"/>
      <c r="E85" s="27"/>
      <c r="F85" s="27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171"/>
      <c r="X85" s="27"/>
      <c r="Y85" s="155"/>
    </row>
    <row r="86" spans="1:25" ht="12.75" customHeight="1">
      <c r="A86" s="1"/>
      <c r="B86" s="23"/>
      <c r="C86" s="161"/>
      <c r="D86" s="24"/>
      <c r="E86" s="32"/>
      <c r="F86" s="32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169"/>
      <c r="X86" s="32"/>
      <c r="Y86" s="155"/>
    </row>
    <row r="87" spans="1:25" ht="12.75" customHeight="1">
      <c r="A87" s="29"/>
      <c r="B87" s="23" t="s">
        <v>2133</v>
      </c>
      <c r="C87" s="161"/>
      <c r="D87" s="24"/>
      <c r="E87" s="27"/>
      <c r="F87" s="27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171"/>
      <c r="X87" s="27"/>
      <c r="Y87" s="155"/>
    </row>
    <row r="88" spans="1:25" ht="12.75" hidden="1" outlineLevel="1">
      <c r="A88" s="2" t="s">
        <v>2456</v>
      </c>
      <c r="C88" s="2" t="s">
        <v>2457</v>
      </c>
      <c r="D88" s="1" t="s">
        <v>2458</v>
      </c>
      <c r="E88" s="2">
        <v>260720.46</v>
      </c>
      <c r="F88" s="2">
        <v>896.83</v>
      </c>
      <c r="G88" s="166">
        <f aca="true" t="shared" si="16" ref="G88:G104">E88+F88</f>
        <v>261617.28999999998</v>
      </c>
      <c r="H88" s="166">
        <v>67534.14</v>
      </c>
      <c r="I88" s="166">
        <v>12.39</v>
      </c>
      <c r="J88" s="166">
        <v>0</v>
      </c>
      <c r="K88" s="166">
        <v>0</v>
      </c>
      <c r="L88" s="166">
        <f aca="true" t="shared" si="17" ref="L88:L104">I88+J88+K88</f>
        <v>12.39</v>
      </c>
      <c r="M88" s="166">
        <v>0</v>
      </c>
      <c r="N88" s="166">
        <v>0</v>
      </c>
      <c r="O88" s="166">
        <v>0</v>
      </c>
      <c r="P88" s="166">
        <f aca="true" t="shared" si="18" ref="P88:P112">M88+N88+O88</f>
        <v>0</v>
      </c>
      <c r="Q88" s="166">
        <v>0</v>
      </c>
      <c r="R88" s="166">
        <v>0</v>
      </c>
      <c r="S88" s="166">
        <v>0</v>
      </c>
      <c r="T88" s="166">
        <v>0</v>
      </c>
      <c r="U88" s="166">
        <f aca="true" t="shared" si="19" ref="U88:U104">Q88+R88+S88+T88</f>
        <v>0</v>
      </c>
      <c r="V88" s="166">
        <v>240</v>
      </c>
      <c r="W88" s="167">
        <f aca="true" t="shared" si="20" ref="W88:W112">G88+H88+L88+P88+U88+V88</f>
        <v>329403.82</v>
      </c>
      <c r="X88" s="2">
        <v>0</v>
      </c>
      <c r="Y88" s="168">
        <f aca="true" t="shared" si="21" ref="Y88:Y112">W88+X88</f>
        <v>329403.82</v>
      </c>
    </row>
    <row r="89" spans="1:25" ht="12.75" hidden="1" outlineLevel="1">
      <c r="A89" s="2" t="s">
        <v>2459</v>
      </c>
      <c r="C89" s="2" t="s">
        <v>2460</v>
      </c>
      <c r="D89" s="1" t="s">
        <v>2461</v>
      </c>
      <c r="E89" s="2">
        <v>266380.26</v>
      </c>
      <c r="F89" s="2">
        <v>0</v>
      </c>
      <c r="G89" s="166">
        <f t="shared" si="16"/>
        <v>266380.26</v>
      </c>
      <c r="H89" s="166">
        <v>396758.48</v>
      </c>
      <c r="I89" s="166">
        <v>0</v>
      </c>
      <c r="J89" s="166">
        <v>0</v>
      </c>
      <c r="K89" s="166">
        <v>0</v>
      </c>
      <c r="L89" s="166">
        <f t="shared" si="17"/>
        <v>0</v>
      </c>
      <c r="M89" s="166">
        <v>0</v>
      </c>
      <c r="N89" s="166">
        <v>0</v>
      </c>
      <c r="O89" s="166">
        <v>0</v>
      </c>
      <c r="P89" s="166">
        <f t="shared" si="18"/>
        <v>0</v>
      </c>
      <c r="Q89" s="166">
        <v>0</v>
      </c>
      <c r="R89" s="166">
        <v>93506.37</v>
      </c>
      <c r="S89" s="166">
        <v>0</v>
      </c>
      <c r="T89" s="166">
        <v>0</v>
      </c>
      <c r="U89" s="166">
        <f t="shared" si="19"/>
        <v>93506.37</v>
      </c>
      <c r="V89" s="166">
        <v>476.5</v>
      </c>
      <c r="W89" s="167">
        <f t="shared" si="20"/>
        <v>757121.61</v>
      </c>
      <c r="X89" s="2">
        <v>0</v>
      </c>
      <c r="Y89" s="168">
        <f t="shared" si="21"/>
        <v>757121.61</v>
      </c>
    </row>
    <row r="90" spans="1:25" ht="12.75" hidden="1" outlineLevel="1">
      <c r="A90" s="2" t="s">
        <v>2462</v>
      </c>
      <c r="C90" s="2" t="s">
        <v>2463</v>
      </c>
      <c r="D90" s="1" t="s">
        <v>2464</v>
      </c>
      <c r="E90" s="2">
        <v>6388.15</v>
      </c>
      <c r="F90" s="2">
        <v>0</v>
      </c>
      <c r="G90" s="166">
        <f t="shared" si="16"/>
        <v>6388.15</v>
      </c>
      <c r="H90" s="166">
        <v>0</v>
      </c>
      <c r="I90" s="166">
        <v>0</v>
      </c>
      <c r="J90" s="166">
        <v>0</v>
      </c>
      <c r="K90" s="166">
        <v>0</v>
      </c>
      <c r="L90" s="166">
        <f t="shared" si="17"/>
        <v>0</v>
      </c>
      <c r="M90" s="166">
        <v>0</v>
      </c>
      <c r="N90" s="166">
        <v>0</v>
      </c>
      <c r="O90" s="166">
        <v>0</v>
      </c>
      <c r="P90" s="166">
        <f t="shared" si="18"/>
        <v>0</v>
      </c>
      <c r="Q90" s="166">
        <v>0</v>
      </c>
      <c r="R90" s="166">
        <v>700377.31</v>
      </c>
      <c r="S90" s="166">
        <v>0</v>
      </c>
      <c r="T90" s="166">
        <v>0</v>
      </c>
      <c r="U90" s="166">
        <f t="shared" si="19"/>
        <v>700377.31</v>
      </c>
      <c r="V90" s="166">
        <v>0</v>
      </c>
      <c r="W90" s="167">
        <f t="shared" si="20"/>
        <v>706765.4600000001</v>
      </c>
      <c r="X90" s="2">
        <v>0</v>
      </c>
      <c r="Y90" s="168">
        <f t="shared" si="21"/>
        <v>706765.4600000001</v>
      </c>
    </row>
    <row r="91" spans="1:25" ht="12.75" hidden="1" outlineLevel="1">
      <c r="A91" s="2" t="s">
        <v>2465</v>
      </c>
      <c r="C91" s="2" t="s">
        <v>2466</v>
      </c>
      <c r="D91" s="1" t="s">
        <v>2467</v>
      </c>
      <c r="E91" s="2">
        <v>307.15</v>
      </c>
      <c r="F91" s="2">
        <v>0</v>
      </c>
      <c r="G91" s="166">
        <f t="shared" si="16"/>
        <v>307.15</v>
      </c>
      <c r="H91" s="166">
        <v>0</v>
      </c>
      <c r="I91" s="166">
        <v>0</v>
      </c>
      <c r="J91" s="166">
        <v>0</v>
      </c>
      <c r="K91" s="166">
        <v>0</v>
      </c>
      <c r="L91" s="166">
        <f t="shared" si="17"/>
        <v>0</v>
      </c>
      <c r="M91" s="166">
        <v>0</v>
      </c>
      <c r="N91" s="166">
        <v>0</v>
      </c>
      <c r="O91" s="166">
        <v>0</v>
      </c>
      <c r="P91" s="166">
        <f t="shared" si="18"/>
        <v>0</v>
      </c>
      <c r="Q91" s="166">
        <v>0</v>
      </c>
      <c r="R91" s="166">
        <v>0</v>
      </c>
      <c r="S91" s="166">
        <v>0</v>
      </c>
      <c r="T91" s="166">
        <v>0</v>
      </c>
      <c r="U91" s="166">
        <f t="shared" si="19"/>
        <v>0</v>
      </c>
      <c r="V91" s="166">
        <v>0</v>
      </c>
      <c r="W91" s="167">
        <f t="shared" si="20"/>
        <v>307.15</v>
      </c>
      <c r="X91" s="2">
        <v>0</v>
      </c>
      <c r="Y91" s="168">
        <f t="shared" si="21"/>
        <v>307.15</v>
      </c>
    </row>
    <row r="92" spans="1:25" ht="12.75" customHeight="1" collapsed="1">
      <c r="A92" s="162" t="s">
        <v>2468</v>
      </c>
      <c r="B92" s="30"/>
      <c r="C92" s="162" t="s">
        <v>2134</v>
      </c>
      <c r="D92" s="31"/>
      <c r="E92" s="32">
        <v>533796.02</v>
      </c>
      <c r="F92" s="32">
        <v>896.83</v>
      </c>
      <c r="G92" s="34">
        <f t="shared" si="16"/>
        <v>534692.85</v>
      </c>
      <c r="H92" s="34">
        <v>464292.62</v>
      </c>
      <c r="I92" s="34">
        <v>12.39</v>
      </c>
      <c r="J92" s="34">
        <v>0</v>
      </c>
      <c r="K92" s="34">
        <v>0</v>
      </c>
      <c r="L92" s="34">
        <f t="shared" si="17"/>
        <v>12.39</v>
      </c>
      <c r="M92" s="34">
        <v>0</v>
      </c>
      <c r="N92" s="34">
        <v>0</v>
      </c>
      <c r="O92" s="34">
        <v>0</v>
      </c>
      <c r="P92" s="34">
        <f t="shared" si="18"/>
        <v>0</v>
      </c>
      <c r="Q92" s="34">
        <v>0</v>
      </c>
      <c r="R92" s="34">
        <v>793883.68</v>
      </c>
      <c r="S92" s="34">
        <v>0</v>
      </c>
      <c r="T92" s="34">
        <v>0</v>
      </c>
      <c r="U92" s="34">
        <f t="shared" si="19"/>
        <v>793883.68</v>
      </c>
      <c r="V92" s="34">
        <v>716.5</v>
      </c>
      <c r="W92" s="164">
        <f t="shared" si="20"/>
        <v>1793598.04</v>
      </c>
      <c r="X92" s="32">
        <v>0</v>
      </c>
      <c r="Y92" s="165">
        <f t="shared" si="21"/>
        <v>1793598.04</v>
      </c>
    </row>
    <row r="93" spans="1:25" ht="12.75" hidden="1" outlineLevel="1">
      <c r="A93" s="2" t="s">
        <v>2469</v>
      </c>
      <c r="C93" s="2" t="s">
        <v>2470</v>
      </c>
      <c r="D93" s="1" t="s">
        <v>2471</v>
      </c>
      <c r="E93" s="2">
        <v>2519526.63</v>
      </c>
      <c r="F93" s="2">
        <v>0</v>
      </c>
      <c r="G93" s="166">
        <f t="shared" si="16"/>
        <v>2519526.63</v>
      </c>
      <c r="H93" s="166">
        <v>49143.8</v>
      </c>
      <c r="I93" s="166">
        <v>0</v>
      </c>
      <c r="J93" s="166">
        <v>0</v>
      </c>
      <c r="K93" s="166">
        <v>0</v>
      </c>
      <c r="L93" s="166">
        <f t="shared" si="17"/>
        <v>0</v>
      </c>
      <c r="M93" s="166">
        <v>0</v>
      </c>
      <c r="N93" s="166">
        <v>0</v>
      </c>
      <c r="O93" s="166">
        <v>0</v>
      </c>
      <c r="P93" s="166">
        <f t="shared" si="18"/>
        <v>0</v>
      </c>
      <c r="Q93" s="166">
        <v>0</v>
      </c>
      <c r="R93" s="166">
        <v>0</v>
      </c>
      <c r="S93" s="166">
        <v>0</v>
      </c>
      <c r="T93" s="166">
        <v>0</v>
      </c>
      <c r="U93" s="166">
        <f t="shared" si="19"/>
        <v>0</v>
      </c>
      <c r="V93" s="166">
        <v>0</v>
      </c>
      <c r="W93" s="167">
        <f t="shared" si="20"/>
        <v>2568670.4299999997</v>
      </c>
      <c r="X93" s="2">
        <v>0</v>
      </c>
      <c r="Y93" s="168">
        <f t="shared" si="21"/>
        <v>2568670.4299999997</v>
      </c>
    </row>
    <row r="94" spans="1:25" ht="12.75" customHeight="1" collapsed="1">
      <c r="A94" s="162" t="s">
        <v>2472</v>
      </c>
      <c r="B94" s="30"/>
      <c r="C94" s="162" t="s">
        <v>2473</v>
      </c>
      <c r="D94" s="31"/>
      <c r="E94" s="32">
        <v>2519526.63</v>
      </c>
      <c r="F94" s="32">
        <v>0</v>
      </c>
      <c r="G94" s="36">
        <f t="shared" si="16"/>
        <v>2519526.63</v>
      </c>
      <c r="H94" s="36">
        <v>49143.8</v>
      </c>
      <c r="I94" s="36">
        <v>0</v>
      </c>
      <c r="J94" s="36">
        <v>0</v>
      </c>
      <c r="K94" s="36">
        <v>0</v>
      </c>
      <c r="L94" s="36">
        <f t="shared" si="17"/>
        <v>0</v>
      </c>
      <c r="M94" s="36">
        <v>0</v>
      </c>
      <c r="N94" s="36">
        <v>0</v>
      </c>
      <c r="O94" s="36">
        <v>0</v>
      </c>
      <c r="P94" s="36">
        <f t="shared" si="18"/>
        <v>0</v>
      </c>
      <c r="Q94" s="36">
        <v>0</v>
      </c>
      <c r="R94" s="36">
        <v>0</v>
      </c>
      <c r="S94" s="36">
        <v>0</v>
      </c>
      <c r="T94" s="36">
        <v>0</v>
      </c>
      <c r="U94" s="36">
        <f t="shared" si="19"/>
        <v>0</v>
      </c>
      <c r="V94" s="36">
        <v>0</v>
      </c>
      <c r="W94" s="169">
        <f t="shared" si="20"/>
        <v>2568670.4299999997</v>
      </c>
      <c r="X94" s="32">
        <v>0</v>
      </c>
      <c r="Y94" s="165">
        <f t="shared" si="21"/>
        <v>2568670.4299999997</v>
      </c>
    </row>
    <row r="95" spans="1:25" ht="12.75" hidden="1" outlineLevel="1">
      <c r="A95" s="2" t="s">
        <v>2474</v>
      </c>
      <c r="C95" s="2" t="s">
        <v>2475</v>
      </c>
      <c r="D95" s="1" t="s">
        <v>2476</v>
      </c>
      <c r="E95" s="2">
        <v>1929425.1</v>
      </c>
      <c r="F95" s="2">
        <v>0</v>
      </c>
      <c r="G95" s="166">
        <f t="shared" si="16"/>
        <v>1929425.1</v>
      </c>
      <c r="H95" s="166">
        <v>184226.48</v>
      </c>
      <c r="I95" s="166">
        <v>0</v>
      </c>
      <c r="J95" s="166">
        <v>0</v>
      </c>
      <c r="K95" s="166">
        <v>0</v>
      </c>
      <c r="L95" s="166">
        <f t="shared" si="17"/>
        <v>0</v>
      </c>
      <c r="M95" s="166">
        <v>0</v>
      </c>
      <c r="N95" s="166">
        <v>0</v>
      </c>
      <c r="O95" s="166">
        <v>0</v>
      </c>
      <c r="P95" s="166">
        <f t="shared" si="18"/>
        <v>0</v>
      </c>
      <c r="Q95" s="166">
        <v>0</v>
      </c>
      <c r="R95" s="166">
        <v>0</v>
      </c>
      <c r="S95" s="166">
        <v>0</v>
      </c>
      <c r="T95" s="166">
        <v>0</v>
      </c>
      <c r="U95" s="166">
        <f t="shared" si="19"/>
        <v>0</v>
      </c>
      <c r="V95" s="166">
        <v>0</v>
      </c>
      <c r="W95" s="167">
        <f t="shared" si="20"/>
        <v>2113651.58</v>
      </c>
      <c r="X95" s="2">
        <v>0</v>
      </c>
      <c r="Y95" s="168">
        <f t="shared" si="21"/>
        <v>2113651.58</v>
      </c>
    </row>
    <row r="96" spans="1:25" ht="12.75" customHeight="1" collapsed="1">
      <c r="A96" s="162" t="s">
        <v>2477</v>
      </c>
      <c r="B96" s="30"/>
      <c r="C96" s="162" t="s">
        <v>2478</v>
      </c>
      <c r="D96" s="31"/>
      <c r="E96" s="32">
        <v>1929425.1</v>
      </c>
      <c r="F96" s="32">
        <v>0</v>
      </c>
      <c r="G96" s="36">
        <f t="shared" si="16"/>
        <v>1929425.1</v>
      </c>
      <c r="H96" s="36">
        <v>184226.48</v>
      </c>
      <c r="I96" s="36">
        <v>0</v>
      </c>
      <c r="J96" s="36">
        <v>0</v>
      </c>
      <c r="K96" s="36">
        <v>0</v>
      </c>
      <c r="L96" s="36">
        <f t="shared" si="17"/>
        <v>0</v>
      </c>
      <c r="M96" s="36">
        <v>0</v>
      </c>
      <c r="N96" s="36">
        <v>0</v>
      </c>
      <c r="O96" s="36">
        <v>0</v>
      </c>
      <c r="P96" s="36">
        <f t="shared" si="18"/>
        <v>0</v>
      </c>
      <c r="Q96" s="36">
        <v>0</v>
      </c>
      <c r="R96" s="36">
        <v>0</v>
      </c>
      <c r="S96" s="36">
        <v>0</v>
      </c>
      <c r="T96" s="36">
        <v>0</v>
      </c>
      <c r="U96" s="36">
        <f t="shared" si="19"/>
        <v>0</v>
      </c>
      <c r="V96" s="36">
        <v>0</v>
      </c>
      <c r="W96" s="169">
        <f t="shared" si="20"/>
        <v>2113651.58</v>
      </c>
      <c r="X96" s="32">
        <v>0</v>
      </c>
      <c r="Y96" s="165">
        <f t="shared" si="21"/>
        <v>2113651.58</v>
      </c>
    </row>
    <row r="97" spans="1:25" ht="12.75" customHeight="1">
      <c r="A97" s="162" t="s">
        <v>2479</v>
      </c>
      <c r="B97" s="30"/>
      <c r="C97" s="162" t="s">
        <v>2480</v>
      </c>
      <c r="D97" s="31"/>
      <c r="E97" s="32">
        <v>0</v>
      </c>
      <c r="F97" s="32">
        <v>0</v>
      </c>
      <c r="G97" s="36">
        <f t="shared" si="16"/>
        <v>0</v>
      </c>
      <c r="H97" s="36">
        <v>0</v>
      </c>
      <c r="I97" s="36">
        <v>0</v>
      </c>
      <c r="J97" s="36">
        <v>0</v>
      </c>
      <c r="K97" s="36">
        <v>0</v>
      </c>
      <c r="L97" s="36">
        <f t="shared" si="17"/>
        <v>0</v>
      </c>
      <c r="M97" s="36">
        <v>0</v>
      </c>
      <c r="N97" s="36">
        <v>0</v>
      </c>
      <c r="O97" s="36">
        <v>0</v>
      </c>
      <c r="P97" s="36">
        <f t="shared" si="18"/>
        <v>0</v>
      </c>
      <c r="Q97" s="36">
        <v>0</v>
      </c>
      <c r="R97" s="36">
        <v>0</v>
      </c>
      <c r="S97" s="36">
        <v>0</v>
      </c>
      <c r="T97" s="36">
        <v>0</v>
      </c>
      <c r="U97" s="36">
        <f t="shared" si="19"/>
        <v>0</v>
      </c>
      <c r="V97" s="36">
        <v>0</v>
      </c>
      <c r="W97" s="169">
        <f t="shared" si="20"/>
        <v>0</v>
      </c>
      <c r="X97" s="32">
        <v>0</v>
      </c>
      <c r="Y97" s="165">
        <f t="shared" si="21"/>
        <v>0</v>
      </c>
    </row>
    <row r="98" spans="1:25" ht="12.75" customHeight="1">
      <c r="A98" s="162" t="s">
        <v>2481</v>
      </c>
      <c r="B98" s="30"/>
      <c r="C98" s="162" t="s">
        <v>2482</v>
      </c>
      <c r="D98" s="31"/>
      <c r="E98" s="32">
        <v>0</v>
      </c>
      <c r="F98" s="32">
        <v>0</v>
      </c>
      <c r="G98" s="36">
        <f t="shared" si="16"/>
        <v>0</v>
      </c>
      <c r="H98" s="36">
        <v>0</v>
      </c>
      <c r="I98" s="36">
        <v>0</v>
      </c>
      <c r="J98" s="36">
        <v>0</v>
      </c>
      <c r="K98" s="36">
        <v>0</v>
      </c>
      <c r="L98" s="36">
        <f t="shared" si="17"/>
        <v>0</v>
      </c>
      <c r="M98" s="36">
        <v>0</v>
      </c>
      <c r="N98" s="36">
        <v>0</v>
      </c>
      <c r="O98" s="36">
        <v>0</v>
      </c>
      <c r="P98" s="36">
        <f t="shared" si="18"/>
        <v>0</v>
      </c>
      <c r="Q98" s="36">
        <v>0</v>
      </c>
      <c r="R98" s="36">
        <v>0</v>
      </c>
      <c r="S98" s="36">
        <v>0</v>
      </c>
      <c r="T98" s="36">
        <v>0</v>
      </c>
      <c r="U98" s="36">
        <f t="shared" si="19"/>
        <v>0</v>
      </c>
      <c r="V98" s="36">
        <v>0</v>
      </c>
      <c r="W98" s="169">
        <f t="shared" si="20"/>
        <v>0</v>
      </c>
      <c r="X98" s="32">
        <v>0</v>
      </c>
      <c r="Y98" s="165">
        <f t="shared" si="21"/>
        <v>0</v>
      </c>
    </row>
    <row r="99" spans="1:25" ht="12.75" hidden="1" outlineLevel="1">
      <c r="A99" s="2" t="s">
        <v>2483</v>
      </c>
      <c r="C99" s="2" t="s">
        <v>2484</v>
      </c>
      <c r="D99" s="1" t="s">
        <v>2485</v>
      </c>
      <c r="E99" s="2">
        <v>2657363.52</v>
      </c>
      <c r="F99" s="2">
        <v>0</v>
      </c>
      <c r="G99" s="166">
        <f t="shared" si="16"/>
        <v>2657363.52</v>
      </c>
      <c r="H99" s="166">
        <v>0</v>
      </c>
      <c r="I99" s="166">
        <v>0</v>
      </c>
      <c r="J99" s="166">
        <v>0</v>
      </c>
      <c r="K99" s="166">
        <v>0</v>
      </c>
      <c r="L99" s="166">
        <f t="shared" si="17"/>
        <v>0</v>
      </c>
      <c r="M99" s="166">
        <v>0</v>
      </c>
      <c r="N99" s="166">
        <v>0</v>
      </c>
      <c r="O99" s="166">
        <v>0</v>
      </c>
      <c r="P99" s="166">
        <f t="shared" si="18"/>
        <v>0</v>
      </c>
      <c r="Q99" s="166">
        <v>0</v>
      </c>
      <c r="R99" s="166">
        <v>0</v>
      </c>
      <c r="S99" s="166">
        <v>0</v>
      </c>
      <c r="T99" s="166">
        <v>0</v>
      </c>
      <c r="U99" s="166">
        <f t="shared" si="19"/>
        <v>0</v>
      </c>
      <c r="V99" s="166">
        <v>4052.72</v>
      </c>
      <c r="W99" s="167">
        <f t="shared" si="20"/>
        <v>2661416.24</v>
      </c>
      <c r="X99" s="2">
        <v>0</v>
      </c>
      <c r="Y99" s="168">
        <f t="shared" si="21"/>
        <v>2661416.24</v>
      </c>
    </row>
    <row r="100" spans="1:25" ht="12.75" hidden="1" outlineLevel="1">
      <c r="A100" s="2" t="s">
        <v>2486</v>
      </c>
      <c r="C100" s="2" t="s">
        <v>2487</v>
      </c>
      <c r="D100" s="1" t="s">
        <v>2488</v>
      </c>
      <c r="E100" s="2">
        <v>20</v>
      </c>
      <c r="F100" s="2">
        <v>0</v>
      </c>
      <c r="G100" s="166">
        <f t="shared" si="16"/>
        <v>20</v>
      </c>
      <c r="H100" s="166">
        <v>0</v>
      </c>
      <c r="I100" s="166">
        <v>0</v>
      </c>
      <c r="J100" s="166">
        <v>0</v>
      </c>
      <c r="K100" s="166">
        <v>0</v>
      </c>
      <c r="L100" s="166">
        <f t="shared" si="17"/>
        <v>0</v>
      </c>
      <c r="M100" s="166">
        <v>0</v>
      </c>
      <c r="N100" s="166">
        <v>0</v>
      </c>
      <c r="O100" s="166">
        <v>0</v>
      </c>
      <c r="P100" s="166">
        <f t="shared" si="18"/>
        <v>0</v>
      </c>
      <c r="Q100" s="166">
        <v>0</v>
      </c>
      <c r="R100" s="166">
        <v>0</v>
      </c>
      <c r="S100" s="166">
        <v>0</v>
      </c>
      <c r="T100" s="166">
        <v>0</v>
      </c>
      <c r="U100" s="166">
        <f t="shared" si="19"/>
        <v>0</v>
      </c>
      <c r="V100" s="166">
        <v>0</v>
      </c>
      <c r="W100" s="167">
        <f t="shared" si="20"/>
        <v>20</v>
      </c>
      <c r="X100" s="2">
        <v>0</v>
      </c>
      <c r="Y100" s="168">
        <f t="shared" si="21"/>
        <v>20</v>
      </c>
    </row>
    <row r="101" spans="1:25" ht="12.75" hidden="1" outlineLevel="1">
      <c r="A101" s="2" t="s">
        <v>2489</v>
      </c>
      <c r="C101" s="2" t="s">
        <v>2490</v>
      </c>
      <c r="D101" s="1" t="s">
        <v>2491</v>
      </c>
      <c r="E101" s="2">
        <v>180053</v>
      </c>
      <c r="F101" s="2">
        <v>744619.31</v>
      </c>
      <c r="G101" s="166">
        <f t="shared" si="16"/>
        <v>924672.31</v>
      </c>
      <c r="H101" s="166">
        <v>0</v>
      </c>
      <c r="I101" s="166">
        <v>0</v>
      </c>
      <c r="J101" s="166">
        <v>0</v>
      </c>
      <c r="K101" s="166">
        <v>0</v>
      </c>
      <c r="L101" s="166">
        <f t="shared" si="17"/>
        <v>0</v>
      </c>
      <c r="M101" s="166">
        <v>0</v>
      </c>
      <c r="N101" s="166">
        <v>0</v>
      </c>
      <c r="O101" s="166">
        <v>0</v>
      </c>
      <c r="P101" s="166">
        <f t="shared" si="18"/>
        <v>0</v>
      </c>
      <c r="Q101" s="166">
        <v>0</v>
      </c>
      <c r="R101" s="166">
        <v>0</v>
      </c>
      <c r="S101" s="166">
        <v>0</v>
      </c>
      <c r="T101" s="166">
        <v>0</v>
      </c>
      <c r="U101" s="166">
        <f t="shared" si="19"/>
        <v>0</v>
      </c>
      <c r="V101" s="166">
        <v>-5.65</v>
      </c>
      <c r="W101" s="167">
        <f t="shared" si="20"/>
        <v>924666.66</v>
      </c>
      <c r="X101" s="2">
        <v>0</v>
      </c>
      <c r="Y101" s="168">
        <f t="shared" si="21"/>
        <v>924666.66</v>
      </c>
    </row>
    <row r="102" spans="1:25" ht="12.75" customHeight="1" collapsed="1">
      <c r="A102" s="162" t="s">
        <v>2492</v>
      </c>
      <c r="B102" s="30"/>
      <c r="C102" s="162" t="s">
        <v>2493</v>
      </c>
      <c r="D102" s="31"/>
      <c r="E102" s="32">
        <v>2837436.52</v>
      </c>
      <c r="F102" s="32">
        <v>744619.31</v>
      </c>
      <c r="G102" s="36">
        <f t="shared" si="16"/>
        <v>3582055.83</v>
      </c>
      <c r="H102" s="36">
        <v>0</v>
      </c>
      <c r="I102" s="36">
        <v>0</v>
      </c>
      <c r="J102" s="36">
        <v>0</v>
      </c>
      <c r="K102" s="36">
        <v>0</v>
      </c>
      <c r="L102" s="36">
        <f t="shared" si="17"/>
        <v>0</v>
      </c>
      <c r="M102" s="36">
        <v>0</v>
      </c>
      <c r="N102" s="36">
        <v>0</v>
      </c>
      <c r="O102" s="36">
        <v>0</v>
      </c>
      <c r="P102" s="36">
        <f t="shared" si="18"/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f t="shared" si="19"/>
        <v>0</v>
      </c>
      <c r="V102" s="36">
        <v>4047.07</v>
      </c>
      <c r="W102" s="169">
        <f t="shared" si="20"/>
        <v>3586102.9</v>
      </c>
      <c r="X102" s="32">
        <v>0</v>
      </c>
      <c r="Y102" s="165">
        <f t="shared" si="21"/>
        <v>3586102.9</v>
      </c>
    </row>
    <row r="103" spans="1:25" ht="12.75" hidden="1" outlineLevel="1">
      <c r="A103" s="2" t="s">
        <v>2494</v>
      </c>
      <c r="C103" s="2" t="s">
        <v>2495</v>
      </c>
      <c r="D103" s="1" t="s">
        <v>2496</v>
      </c>
      <c r="E103" s="2">
        <v>0</v>
      </c>
      <c r="F103" s="2">
        <v>0</v>
      </c>
      <c r="G103" s="166">
        <f t="shared" si="16"/>
        <v>0</v>
      </c>
      <c r="H103" s="166">
        <v>0</v>
      </c>
      <c r="I103" s="166">
        <v>0</v>
      </c>
      <c r="J103" s="166">
        <v>0</v>
      </c>
      <c r="K103" s="166">
        <v>0</v>
      </c>
      <c r="L103" s="166">
        <f t="shared" si="17"/>
        <v>0</v>
      </c>
      <c r="M103" s="166">
        <v>0</v>
      </c>
      <c r="N103" s="166">
        <v>0</v>
      </c>
      <c r="O103" s="166">
        <v>0</v>
      </c>
      <c r="P103" s="166">
        <f t="shared" si="18"/>
        <v>0</v>
      </c>
      <c r="Q103" s="166">
        <v>0</v>
      </c>
      <c r="R103" s="166">
        <v>0</v>
      </c>
      <c r="S103" s="166">
        <v>0</v>
      </c>
      <c r="T103" s="166">
        <v>0</v>
      </c>
      <c r="U103" s="166">
        <f t="shared" si="19"/>
        <v>0</v>
      </c>
      <c r="V103" s="166">
        <v>1183.24</v>
      </c>
      <c r="W103" s="167">
        <f t="shared" si="20"/>
        <v>1183.24</v>
      </c>
      <c r="X103" s="2">
        <v>0</v>
      </c>
      <c r="Y103" s="168">
        <f t="shared" si="21"/>
        <v>1183.24</v>
      </c>
    </row>
    <row r="104" spans="1:25" ht="12.75" customHeight="1" collapsed="1">
      <c r="A104" s="162" t="s">
        <v>2497</v>
      </c>
      <c r="B104" s="30"/>
      <c r="C104" s="162" t="s">
        <v>2498</v>
      </c>
      <c r="D104" s="31"/>
      <c r="E104" s="32">
        <v>0</v>
      </c>
      <c r="F104" s="32">
        <v>0</v>
      </c>
      <c r="G104" s="36">
        <f t="shared" si="16"/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f t="shared" si="17"/>
        <v>0</v>
      </c>
      <c r="M104" s="36">
        <v>0</v>
      </c>
      <c r="N104" s="36">
        <v>0</v>
      </c>
      <c r="O104" s="36">
        <v>0</v>
      </c>
      <c r="P104" s="36">
        <f t="shared" si="18"/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f t="shared" si="19"/>
        <v>0</v>
      </c>
      <c r="V104" s="36">
        <v>1183.24</v>
      </c>
      <c r="W104" s="169">
        <f t="shared" si="20"/>
        <v>1183.24</v>
      </c>
      <c r="X104" s="32">
        <v>0</v>
      </c>
      <c r="Y104" s="165">
        <f t="shared" si="21"/>
        <v>1183.24</v>
      </c>
    </row>
    <row r="105" spans="1:25" ht="12.75" customHeight="1">
      <c r="A105" s="162" t="s">
        <v>2106</v>
      </c>
      <c r="B105" s="30"/>
      <c r="C105" s="162" t="s">
        <v>2138</v>
      </c>
      <c r="D105" s="31"/>
      <c r="E105" s="32">
        <v>0</v>
      </c>
      <c r="F105" s="32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f t="shared" si="18"/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f>V83-V92-V94-V96-V97-V98-V102-V104-V108-V109-V111-V112</f>
        <v>535256.8300000001</v>
      </c>
      <c r="W105" s="169">
        <f t="shared" si="20"/>
        <v>535256.8300000001</v>
      </c>
      <c r="X105" s="32">
        <v>0</v>
      </c>
      <c r="Y105" s="165">
        <f t="shared" si="21"/>
        <v>535256.8300000001</v>
      </c>
    </row>
    <row r="106" spans="1:25" ht="12.75" customHeight="1">
      <c r="A106" s="162" t="s">
        <v>2499</v>
      </c>
      <c r="B106" s="30"/>
      <c r="C106" s="162" t="s">
        <v>2500</v>
      </c>
      <c r="D106" s="31"/>
      <c r="E106" s="32">
        <v>0</v>
      </c>
      <c r="F106" s="32">
        <v>0</v>
      </c>
      <c r="G106" s="36">
        <f aca="true" t="shared" si="22" ref="G106:G112">E106+F106</f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f aca="true" t="shared" si="23" ref="L106:L112">I106+J106+K106</f>
        <v>0</v>
      </c>
      <c r="M106" s="36">
        <v>0</v>
      </c>
      <c r="N106" s="36">
        <v>0</v>
      </c>
      <c r="O106" s="36">
        <v>0</v>
      </c>
      <c r="P106" s="36">
        <f t="shared" si="18"/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f aca="true" t="shared" si="24" ref="U106:U112">Q106+R106+S106+T106</f>
        <v>0</v>
      </c>
      <c r="V106" s="36">
        <v>0</v>
      </c>
      <c r="W106" s="169">
        <f t="shared" si="20"/>
        <v>0</v>
      </c>
      <c r="X106" s="32">
        <v>0</v>
      </c>
      <c r="Y106" s="165">
        <f t="shared" si="21"/>
        <v>0</v>
      </c>
    </row>
    <row r="107" spans="1:25" ht="12.75" hidden="1" outlineLevel="1">
      <c r="A107" s="2" t="s">
        <v>2501</v>
      </c>
      <c r="C107" s="2" t="s">
        <v>2502</v>
      </c>
      <c r="D107" s="1" t="s">
        <v>2503</v>
      </c>
      <c r="E107" s="2">
        <v>0</v>
      </c>
      <c r="F107" s="2">
        <v>0</v>
      </c>
      <c r="G107" s="166">
        <f t="shared" si="22"/>
        <v>0</v>
      </c>
      <c r="H107" s="166">
        <v>0</v>
      </c>
      <c r="I107" s="166">
        <v>0</v>
      </c>
      <c r="J107" s="166">
        <v>0</v>
      </c>
      <c r="K107" s="166">
        <v>0</v>
      </c>
      <c r="L107" s="166">
        <f t="shared" si="23"/>
        <v>0</v>
      </c>
      <c r="M107" s="166">
        <v>0</v>
      </c>
      <c r="N107" s="166">
        <v>5924502.49</v>
      </c>
      <c r="O107" s="166">
        <v>0</v>
      </c>
      <c r="P107" s="166">
        <f t="shared" si="18"/>
        <v>5924502.49</v>
      </c>
      <c r="Q107" s="166">
        <v>0</v>
      </c>
      <c r="R107" s="166">
        <v>0</v>
      </c>
      <c r="S107" s="166">
        <v>0</v>
      </c>
      <c r="T107" s="166">
        <v>0</v>
      </c>
      <c r="U107" s="166">
        <f t="shared" si="24"/>
        <v>0</v>
      </c>
      <c r="V107" s="166">
        <v>0</v>
      </c>
      <c r="W107" s="167">
        <f t="shared" si="20"/>
        <v>5924502.49</v>
      </c>
      <c r="X107" s="2">
        <v>0</v>
      </c>
      <c r="Y107" s="168">
        <f t="shared" si="21"/>
        <v>5924502.49</v>
      </c>
    </row>
    <row r="108" spans="1:25" ht="12.75" customHeight="1" collapsed="1">
      <c r="A108" s="162" t="s">
        <v>2504</v>
      </c>
      <c r="B108" s="30"/>
      <c r="C108" s="162" t="s">
        <v>2140</v>
      </c>
      <c r="D108" s="31"/>
      <c r="E108" s="32">
        <v>0</v>
      </c>
      <c r="F108" s="32">
        <v>0</v>
      </c>
      <c r="G108" s="36">
        <f t="shared" si="22"/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f t="shared" si="23"/>
        <v>0</v>
      </c>
      <c r="M108" s="36">
        <v>0</v>
      </c>
      <c r="N108" s="36">
        <v>5924502.49</v>
      </c>
      <c r="O108" s="36">
        <v>0</v>
      </c>
      <c r="P108" s="36">
        <f t="shared" si="18"/>
        <v>5924502.49</v>
      </c>
      <c r="Q108" s="36">
        <v>0</v>
      </c>
      <c r="R108" s="36">
        <v>0</v>
      </c>
      <c r="S108" s="36">
        <v>0</v>
      </c>
      <c r="T108" s="36">
        <v>0</v>
      </c>
      <c r="U108" s="36">
        <f t="shared" si="24"/>
        <v>0</v>
      </c>
      <c r="V108" s="36">
        <v>0</v>
      </c>
      <c r="W108" s="169">
        <f t="shared" si="20"/>
        <v>5924502.49</v>
      </c>
      <c r="X108" s="32">
        <v>0</v>
      </c>
      <c r="Y108" s="165">
        <f t="shared" si="21"/>
        <v>5924502.49</v>
      </c>
    </row>
    <row r="109" spans="1:25" ht="12.75" customHeight="1">
      <c r="A109" s="162" t="s">
        <v>2505</v>
      </c>
      <c r="B109" s="30"/>
      <c r="C109" s="162" t="s">
        <v>2506</v>
      </c>
      <c r="D109" s="31"/>
      <c r="E109" s="32">
        <v>0</v>
      </c>
      <c r="F109" s="32">
        <v>0</v>
      </c>
      <c r="G109" s="36">
        <f t="shared" si="22"/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f t="shared" si="23"/>
        <v>0</v>
      </c>
      <c r="M109" s="36">
        <v>0</v>
      </c>
      <c r="N109" s="36">
        <v>0</v>
      </c>
      <c r="O109" s="36">
        <v>0</v>
      </c>
      <c r="P109" s="36">
        <f t="shared" si="18"/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f t="shared" si="24"/>
        <v>0</v>
      </c>
      <c r="V109" s="36">
        <v>0</v>
      </c>
      <c r="W109" s="169">
        <f t="shared" si="20"/>
        <v>0</v>
      </c>
      <c r="X109" s="32">
        <v>0</v>
      </c>
      <c r="Y109" s="165">
        <f t="shared" si="21"/>
        <v>0</v>
      </c>
    </row>
    <row r="110" spans="1:25" ht="12.75" hidden="1" outlineLevel="1">
      <c r="A110" s="2" t="s">
        <v>2507</v>
      </c>
      <c r="C110" s="2" t="s">
        <v>2508</v>
      </c>
      <c r="D110" s="1" t="s">
        <v>2509</v>
      </c>
      <c r="E110" s="2">
        <v>0</v>
      </c>
      <c r="F110" s="2">
        <v>0</v>
      </c>
      <c r="G110" s="166">
        <f t="shared" si="22"/>
        <v>0</v>
      </c>
      <c r="H110" s="166">
        <v>0</v>
      </c>
      <c r="I110" s="166">
        <v>0</v>
      </c>
      <c r="J110" s="166">
        <v>0</v>
      </c>
      <c r="K110" s="166">
        <v>0</v>
      </c>
      <c r="L110" s="166">
        <f t="shared" si="23"/>
        <v>0</v>
      </c>
      <c r="M110" s="166">
        <v>0</v>
      </c>
      <c r="N110" s="166">
        <v>0</v>
      </c>
      <c r="O110" s="166">
        <v>0</v>
      </c>
      <c r="P110" s="166">
        <f t="shared" si="18"/>
        <v>0</v>
      </c>
      <c r="Q110" s="166">
        <v>0</v>
      </c>
      <c r="R110" s="166">
        <v>0</v>
      </c>
      <c r="S110" s="166">
        <v>0</v>
      </c>
      <c r="T110" s="166">
        <v>436988.41</v>
      </c>
      <c r="U110" s="166">
        <f t="shared" si="24"/>
        <v>436988.41</v>
      </c>
      <c r="V110" s="166">
        <v>0</v>
      </c>
      <c r="W110" s="167">
        <f t="shared" si="20"/>
        <v>436988.41</v>
      </c>
      <c r="X110" s="2">
        <v>0</v>
      </c>
      <c r="Y110" s="168">
        <f t="shared" si="21"/>
        <v>436988.41</v>
      </c>
    </row>
    <row r="111" spans="1:25" ht="12.75" customHeight="1" collapsed="1">
      <c r="A111" s="162" t="s">
        <v>2510</v>
      </c>
      <c r="B111" s="30"/>
      <c r="C111" s="162" t="s">
        <v>2141</v>
      </c>
      <c r="D111" s="31"/>
      <c r="E111" s="32">
        <v>0</v>
      </c>
      <c r="F111" s="32">
        <v>0</v>
      </c>
      <c r="G111" s="36">
        <f t="shared" si="22"/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f t="shared" si="23"/>
        <v>0</v>
      </c>
      <c r="M111" s="36">
        <v>0</v>
      </c>
      <c r="N111" s="36">
        <v>0</v>
      </c>
      <c r="O111" s="36">
        <v>0</v>
      </c>
      <c r="P111" s="36">
        <f t="shared" si="18"/>
        <v>0</v>
      </c>
      <c r="Q111" s="36">
        <v>0</v>
      </c>
      <c r="R111" s="36">
        <v>0</v>
      </c>
      <c r="S111" s="36">
        <v>0</v>
      </c>
      <c r="T111" s="36">
        <v>436988.41</v>
      </c>
      <c r="U111" s="36">
        <f t="shared" si="24"/>
        <v>436988.41</v>
      </c>
      <c r="V111" s="36">
        <v>0</v>
      </c>
      <c r="W111" s="169">
        <f t="shared" si="20"/>
        <v>436988.41</v>
      </c>
      <c r="X111" s="32">
        <v>0</v>
      </c>
      <c r="Y111" s="165">
        <f t="shared" si="21"/>
        <v>436988.41</v>
      </c>
    </row>
    <row r="112" spans="1:25" ht="12.75" customHeight="1">
      <c r="A112" s="162" t="s">
        <v>2511</v>
      </c>
      <c r="B112" s="30"/>
      <c r="C112" s="162" t="s">
        <v>2512</v>
      </c>
      <c r="D112" s="31"/>
      <c r="E112" s="32">
        <v>0</v>
      </c>
      <c r="F112" s="32">
        <v>0</v>
      </c>
      <c r="G112" s="36">
        <f t="shared" si="22"/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f t="shared" si="23"/>
        <v>0</v>
      </c>
      <c r="M112" s="36">
        <v>0</v>
      </c>
      <c r="N112" s="36">
        <v>0</v>
      </c>
      <c r="O112" s="36">
        <v>0</v>
      </c>
      <c r="P112" s="36">
        <f t="shared" si="18"/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f t="shared" si="24"/>
        <v>0</v>
      </c>
      <c r="V112" s="36">
        <v>0</v>
      </c>
      <c r="W112" s="169">
        <f t="shared" si="20"/>
        <v>0</v>
      </c>
      <c r="X112" s="32">
        <v>0</v>
      </c>
      <c r="Y112" s="165">
        <f t="shared" si="21"/>
        <v>0</v>
      </c>
    </row>
    <row r="113" spans="1:25" ht="12.75" customHeight="1">
      <c r="A113" s="1"/>
      <c r="B113" s="30"/>
      <c r="C113" s="162"/>
      <c r="D113" s="31"/>
      <c r="E113" s="32"/>
      <c r="F113" s="32"/>
      <c r="G113" s="36"/>
      <c r="H113" s="36"/>
      <c r="I113" s="36"/>
      <c r="J113" s="36"/>
      <c r="K113" s="36"/>
      <c r="L113" s="36"/>
      <c r="M113" s="36"/>
      <c r="N113" s="36"/>
      <c r="O113" s="36"/>
      <c r="P113" s="39"/>
      <c r="Q113" s="36"/>
      <c r="R113" s="36"/>
      <c r="S113" s="36"/>
      <c r="T113" s="36"/>
      <c r="U113" s="36"/>
      <c r="V113" s="36"/>
      <c r="W113" s="169"/>
      <c r="X113" s="32"/>
      <c r="Y113" s="155"/>
    </row>
    <row r="114" spans="1:25" s="170" customFormat="1" ht="12.75" customHeight="1">
      <c r="A114" s="29"/>
      <c r="B114" s="23" t="s">
        <v>2142</v>
      </c>
      <c r="C114" s="161"/>
      <c r="D114" s="24"/>
      <c r="E114" s="27">
        <f aca="true" t="shared" si="25" ref="E114:Y114">E92+E94+E96+E97+E104+E98+E102+E105+E108+E109+E111+E112+E106</f>
        <v>7820184.27</v>
      </c>
      <c r="F114" s="27">
        <f t="shared" si="25"/>
        <v>745516.14</v>
      </c>
      <c r="G114" s="39">
        <f t="shared" si="25"/>
        <v>8565700.41</v>
      </c>
      <c r="H114" s="39">
        <f t="shared" si="25"/>
        <v>697662.9</v>
      </c>
      <c r="I114" s="39">
        <f t="shared" si="25"/>
        <v>12.39</v>
      </c>
      <c r="J114" s="39">
        <f t="shared" si="25"/>
        <v>0</v>
      </c>
      <c r="K114" s="39">
        <f t="shared" si="25"/>
        <v>0</v>
      </c>
      <c r="L114" s="39">
        <f t="shared" si="25"/>
        <v>12.39</v>
      </c>
      <c r="M114" s="39">
        <f t="shared" si="25"/>
        <v>0</v>
      </c>
      <c r="N114" s="39">
        <f t="shared" si="25"/>
        <v>5924502.49</v>
      </c>
      <c r="O114" s="39">
        <f t="shared" si="25"/>
        <v>0</v>
      </c>
      <c r="P114" s="39">
        <f t="shared" si="25"/>
        <v>5924502.49</v>
      </c>
      <c r="Q114" s="39">
        <f t="shared" si="25"/>
        <v>0</v>
      </c>
      <c r="R114" s="39">
        <f t="shared" si="25"/>
        <v>793883.68</v>
      </c>
      <c r="S114" s="39">
        <f t="shared" si="25"/>
        <v>0</v>
      </c>
      <c r="T114" s="39">
        <f t="shared" si="25"/>
        <v>436988.41</v>
      </c>
      <c r="U114" s="39">
        <f t="shared" si="25"/>
        <v>1230872.09</v>
      </c>
      <c r="V114" s="39">
        <f t="shared" si="25"/>
        <v>541203.6400000001</v>
      </c>
      <c r="W114" s="39">
        <f t="shared" si="25"/>
        <v>16959953.919999998</v>
      </c>
      <c r="X114" s="27">
        <f t="shared" si="25"/>
        <v>0</v>
      </c>
      <c r="Y114" s="27">
        <f t="shared" si="25"/>
        <v>16959953.919999998</v>
      </c>
    </row>
    <row r="115" spans="1:25" s="170" customFormat="1" ht="12.75" customHeight="1">
      <c r="A115" s="29"/>
      <c r="B115" s="23"/>
      <c r="C115" s="161"/>
      <c r="D115" s="24"/>
      <c r="E115" s="27"/>
      <c r="F115" s="27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27"/>
      <c r="Y115" s="27"/>
    </row>
    <row r="116" spans="1:25" ht="12.75" customHeight="1">
      <c r="A116" s="29"/>
      <c r="B116" s="23" t="s">
        <v>2143</v>
      </c>
      <c r="C116" s="161"/>
      <c r="D116" s="24"/>
      <c r="E116" s="27"/>
      <c r="F116" s="27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171"/>
      <c r="X116" s="27"/>
      <c r="Y116" s="155"/>
    </row>
    <row r="117" spans="1:25" ht="12.75" customHeight="1">
      <c r="A117" s="2" t="s">
        <v>2513</v>
      </c>
      <c r="B117" s="30"/>
      <c r="C117" s="162" t="s">
        <v>2137</v>
      </c>
      <c r="D117" s="31"/>
      <c r="E117" s="32">
        <v>0</v>
      </c>
      <c r="F117" s="32">
        <v>0</v>
      </c>
      <c r="G117" s="36">
        <f aca="true" t="shared" si="26" ref="G117:G122">E117+F117</f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f aca="true" t="shared" si="27" ref="L117:L122">I117+J117+K117</f>
        <v>0</v>
      </c>
      <c r="M117" s="36">
        <v>0</v>
      </c>
      <c r="N117" s="36">
        <v>0</v>
      </c>
      <c r="O117" s="36">
        <v>0</v>
      </c>
      <c r="P117" s="36">
        <f aca="true" t="shared" si="28" ref="P117:P122">M117+N117+O117</f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f aca="true" t="shared" si="29" ref="U117:U122">Q117+R117+S117+T117</f>
        <v>0</v>
      </c>
      <c r="V117" s="36">
        <v>0</v>
      </c>
      <c r="W117" s="169">
        <f aca="true" t="shared" si="30" ref="W117:W122">G117+H117+L117+P117+U117+V117</f>
        <v>0</v>
      </c>
      <c r="X117" s="32">
        <v>0</v>
      </c>
      <c r="Y117" s="165">
        <f aca="true" t="shared" si="31" ref="Y117:Y122">W117+X117</f>
        <v>0</v>
      </c>
    </row>
    <row r="118" spans="1:25" ht="12.75" customHeight="1">
      <c r="A118" s="162" t="s">
        <v>2514</v>
      </c>
      <c r="B118" s="30"/>
      <c r="C118" s="162" t="s">
        <v>2515</v>
      </c>
      <c r="D118" s="31"/>
      <c r="E118" s="32">
        <v>0</v>
      </c>
      <c r="F118" s="32">
        <v>0</v>
      </c>
      <c r="G118" s="36">
        <f t="shared" si="26"/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f t="shared" si="27"/>
        <v>0</v>
      </c>
      <c r="M118" s="36">
        <v>0</v>
      </c>
      <c r="N118" s="36">
        <v>0</v>
      </c>
      <c r="O118" s="36">
        <v>0</v>
      </c>
      <c r="P118" s="36">
        <f t="shared" si="28"/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f t="shared" si="29"/>
        <v>0</v>
      </c>
      <c r="V118" s="36">
        <v>0</v>
      </c>
      <c r="W118" s="169">
        <f t="shared" si="30"/>
        <v>0</v>
      </c>
      <c r="X118" s="32">
        <v>0</v>
      </c>
      <c r="Y118" s="165">
        <f t="shared" si="31"/>
        <v>0</v>
      </c>
    </row>
    <row r="119" spans="1:25" ht="12.75" hidden="1" outlineLevel="1">
      <c r="A119" s="2" t="s">
        <v>2516</v>
      </c>
      <c r="C119" s="2" t="s">
        <v>2517</v>
      </c>
      <c r="D119" s="1" t="s">
        <v>2518</v>
      </c>
      <c r="E119" s="2">
        <v>0</v>
      </c>
      <c r="F119" s="2">
        <v>0</v>
      </c>
      <c r="G119" s="166">
        <f t="shared" si="26"/>
        <v>0</v>
      </c>
      <c r="H119" s="166">
        <v>0</v>
      </c>
      <c r="I119" s="166">
        <v>0</v>
      </c>
      <c r="J119" s="166">
        <v>0</v>
      </c>
      <c r="K119" s="166">
        <v>0</v>
      </c>
      <c r="L119" s="166">
        <f t="shared" si="27"/>
        <v>0</v>
      </c>
      <c r="M119" s="166">
        <v>0</v>
      </c>
      <c r="N119" s="166">
        <v>0</v>
      </c>
      <c r="O119" s="166">
        <v>0</v>
      </c>
      <c r="P119" s="166">
        <f t="shared" si="28"/>
        <v>0</v>
      </c>
      <c r="Q119" s="166">
        <v>0</v>
      </c>
      <c r="R119" s="166">
        <v>0</v>
      </c>
      <c r="S119" s="166">
        <v>836672.19</v>
      </c>
      <c r="T119" s="166">
        <v>0</v>
      </c>
      <c r="U119" s="166">
        <f t="shared" si="29"/>
        <v>836672.19</v>
      </c>
      <c r="V119" s="166">
        <v>0</v>
      </c>
      <c r="W119" s="167">
        <f t="shared" si="30"/>
        <v>836672.19</v>
      </c>
      <c r="X119" s="2">
        <v>0</v>
      </c>
      <c r="Y119" s="168">
        <f t="shared" si="31"/>
        <v>836672.19</v>
      </c>
    </row>
    <row r="120" spans="1:25" ht="12.75" hidden="1" outlineLevel="1">
      <c r="A120" s="2" t="s">
        <v>2519</v>
      </c>
      <c r="C120" s="2" t="s">
        <v>2520</v>
      </c>
      <c r="D120" s="1" t="s">
        <v>2521</v>
      </c>
      <c r="E120" s="2">
        <v>0</v>
      </c>
      <c r="F120" s="2">
        <v>0</v>
      </c>
      <c r="G120" s="166">
        <f t="shared" si="26"/>
        <v>0</v>
      </c>
      <c r="H120" s="166">
        <v>0</v>
      </c>
      <c r="I120" s="166">
        <v>0</v>
      </c>
      <c r="J120" s="166">
        <v>0</v>
      </c>
      <c r="K120" s="166">
        <v>0</v>
      </c>
      <c r="L120" s="166">
        <f t="shared" si="27"/>
        <v>0</v>
      </c>
      <c r="M120" s="166">
        <v>0</v>
      </c>
      <c r="N120" s="166">
        <v>0</v>
      </c>
      <c r="O120" s="166">
        <v>0</v>
      </c>
      <c r="P120" s="166">
        <f t="shared" si="28"/>
        <v>0</v>
      </c>
      <c r="Q120" s="166">
        <v>0</v>
      </c>
      <c r="R120" s="166">
        <v>0</v>
      </c>
      <c r="S120" s="166">
        <v>-239391.83</v>
      </c>
      <c r="T120" s="166">
        <v>0</v>
      </c>
      <c r="U120" s="166">
        <f t="shared" si="29"/>
        <v>-239391.83</v>
      </c>
      <c r="V120" s="166">
        <v>0</v>
      </c>
      <c r="W120" s="167">
        <f t="shared" si="30"/>
        <v>-239391.83</v>
      </c>
      <c r="X120" s="2">
        <v>0</v>
      </c>
      <c r="Y120" s="168">
        <f t="shared" si="31"/>
        <v>-239391.83</v>
      </c>
    </row>
    <row r="121" spans="1:25" ht="12.75" hidden="1" outlineLevel="1">
      <c r="A121" s="2" t="s">
        <v>2522</v>
      </c>
      <c r="C121" s="2" t="s">
        <v>2523</v>
      </c>
      <c r="D121" s="1" t="s">
        <v>2524</v>
      </c>
      <c r="E121" s="2">
        <v>0</v>
      </c>
      <c r="F121" s="2">
        <v>0</v>
      </c>
      <c r="G121" s="166">
        <f t="shared" si="26"/>
        <v>0</v>
      </c>
      <c r="H121" s="166">
        <v>0</v>
      </c>
      <c r="I121" s="166">
        <v>0</v>
      </c>
      <c r="J121" s="166">
        <v>0</v>
      </c>
      <c r="K121" s="166">
        <v>0</v>
      </c>
      <c r="L121" s="166">
        <f t="shared" si="27"/>
        <v>0</v>
      </c>
      <c r="M121" s="166">
        <v>0</v>
      </c>
      <c r="N121" s="166">
        <v>0</v>
      </c>
      <c r="O121" s="166">
        <v>0</v>
      </c>
      <c r="P121" s="166">
        <f t="shared" si="28"/>
        <v>0</v>
      </c>
      <c r="Q121" s="166">
        <v>0</v>
      </c>
      <c r="R121" s="166">
        <v>9288723.87</v>
      </c>
      <c r="S121" s="166">
        <v>-507141.09</v>
      </c>
      <c r="T121" s="166">
        <v>23968688.94</v>
      </c>
      <c r="U121" s="166">
        <f t="shared" si="29"/>
        <v>32750271.72</v>
      </c>
      <c r="V121" s="166">
        <v>0</v>
      </c>
      <c r="W121" s="167">
        <f t="shared" si="30"/>
        <v>32750271.72</v>
      </c>
      <c r="X121" s="2">
        <v>0</v>
      </c>
      <c r="Y121" s="168">
        <f t="shared" si="31"/>
        <v>32750271.72</v>
      </c>
    </row>
    <row r="122" spans="1:25" ht="12.75" customHeight="1" collapsed="1">
      <c r="A122" s="162" t="s">
        <v>2525</v>
      </c>
      <c r="B122" s="30"/>
      <c r="C122" s="162" t="s">
        <v>2526</v>
      </c>
      <c r="D122" s="31"/>
      <c r="E122" s="32">
        <v>0</v>
      </c>
      <c r="F122" s="32">
        <v>0</v>
      </c>
      <c r="G122" s="36">
        <f t="shared" si="26"/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f t="shared" si="27"/>
        <v>0</v>
      </c>
      <c r="M122" s="36">
        <v>0</v>
      </c>
      <c r="N122" s="36">
        <v>0</v>
      </c>
      <c r="O122" s="36">
        <v>0</v>
      </c>
      <c r="P122" s="36">
        <f t="shared" si="28"/>
        <v>0</v>
      </c>
      <c r="Q122" s="36">
        <v>0</v>
      </c>
      <c r="R122" s="36">
        <v>9288723.87</v>
      </c>
      <c r="S122" s="36">
        <v>90139.27</v>
      </c>
      <c r="T122" s="36">
        <v>23968688.94</v>
      </c>
      <c r="U122" s="36">
        <f t="shared" si="29"/>
        <v>33347552.08</v>
      </c>
      <c r="V122" s="36">
        <v>0</v>
      </c>
      <c r="W122" s="169">
        <f t="shared" si="30"/>
        <v>33347552.08</v>
      </c>
      <c r="X122" s="32">
        <v>0</v>
      </c>
      <c r="Y122" s="165">
        <f t="shared" si="31"/>
        <v>33347552.08</v>
      </c>
    </row>
    <row r="123" spans="1:25" ht="12.75" customHeight="1">
      <c r="A123" s="1"/>
      <c r="B123" s="30"/>
      <c r="C123" s="162"/>
      <c r="D123" s="31"/>
      <c r="E123" s="32"/>
      <c r="F123" s="32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169"/>
      <c r="X123" s="32"/>
      <c r="Y123" s="155"/>
    </row>
    <row r="124" spans="1:25" s="170" customFormat="1" ht="12.75" customHeight="1">
      <c r="A124" s="29"/>
      <c r="B124" s="23" t="s">
        <v>2145</v>
      </c>
      <c r="C124" s="161"/>
      <c r="D124" s="24"/>
      <c r="E124" s="27">
        <f aca="true" t="shared" si="32" ref="E124:Y124">E117+E118+E122</f>
        <v>0</v>
      </c>
      <c r="F124" s="27">
        <f t="shared" si="32"/>
        <v>0</v>
      </c>
      <c r="G124" s="39">
        <f t="shared" si="32"/>
        <v>0</v>
      </c>
      <c r="H124" s="39">
        <f t="shared" si="32"/>
        <v>0</v>
      </c>
      <c r="I124" s="39">
        <f t="shared" si="32"/>
        <v>0</v>
      </c>
      <c r="J124" s="39">
        <f t="shared" si="32"/>
        <v>0</v>
      </c>
      <c r="K124" s="39">
        <f t="shared" si="32"/>
        <v>0</v>
      </c>
      <c r="L124" s="39">
        <f t="shared" si="32"/>
        <v>0</v>
      </c>
      <c r="M124" s="39">
        <f t="shared" si="32"/>
        <v>0</v>
      </c>
      <c r="N124" s="39">
        <f t="shared" si="32"/>
        <v>0</v>
      </c>
      <c r="O124" s="39">
        <f t="shared" si="32"/>
        <v>0</v>
      </c>
      <c r="P124" s="39">
        <f t="shared" si="32"/>
        <v>0</v>
      </c>
      <c r="Q124" s="39">
        <f t="shared" si="32"/>
        <v>0</v>
      </c>
      <c r="R124" s="39">
        <f t="shared" si="32"/>
        <v>9288723.87</v>
      </c>
      <c r="S124" s="39">
        <f t="shared" si="32"/>
        <v>90139.27</v>
      </c>
      <c r="T124" s="39">
        <f t="shared" si="32"/>
        <v>23968688.94</v>
      </c>
      <c r="U124" s="39">
        <f t="shared" si="32"/>
        <v>33347552.08</v>
      </c>
      <c r="V124" s="39">
        <f t="shared" si="32"/>
        <v>0</v>
      </c>
      <c r="W124" s="171">
        <f t="shared" si="32"/>
        <v>33347552.08</v>
      </c>
      <c r="X124" s="27">
        <f t="shared" si="32"/>
        <v>0</v>
      </c>
      <c r="Y124" s="27">
        <f t="shared" si="32"/>
        <v>33347552.08</v>
      </c>
    </row>
    <row r="125" spans="1:25" ht="12.75" customHeight="1">
      <c r="A125" s="1"/>
      <c r="B125" s="30"/>
      <c r="C125" s="162"/>
      <c r="D125" s="31"/>
      <c r="E125" s="32"/>
      <c r="F125" s="32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169"/>
      <c r="X125" s="32"/>
      <c r="Y125" s="32"/>
    </row>
    <row r="126" spans="1:25" s="170" customFormat="1" ht="12.75" customHeight="1">
      <c r="A126" s="29"/>
      <c r="B126" s="23" t="s">
        <v>2527</v>
      </c>
      <c r="C126" s="161"/>
      <c r="D126" s="24"/>
      <c r="E126" s="27">
        <f aca="true" t="shared" si="33" ref="E126:Y126">E114+E124</f>
        <v>7820184.27</v>
      </c>
      <c r="F126" s="27">
        <f t="shared" si="33"/>
        <v>745516.14</v>
      </c>
      <c r="G126" s="39">
        <f t="shared" si="33"/>
        <v>8565700.41</v>
      </c>
      <c r="H126" s="39">
        <f t="shared" si="33"/>
        <v>697662.9</v>
      </c>
      <c r="I126" s="39">
        <f t="shared" si="33"/>
        <v>12.39</v>
      </c>
      <c r="J126" s="39">
        <f t="shared" si="33"/>
        <v>0</v>
      </c>
      <c r="K126" s="39">
        <f t="shared" si="33"/>
        <v>0</v>
      </c>
      <c r="L126" s="39">
        <f t="shared" si="33"/>
        <v>12.39</v>
      </c>
      <c r="M126" s="39">
        <f t="shared" si="33"/>
        <v>0</v>
      </c>
      <c r="N126" s="39">
        <f t="shared" si="33"/>
        <v>5924502.49</v>
      </c>
      <c r="O126" s="39">
        <f t="shared" si="33"/>
        <v>0</v>
      </c>
      <c r="P126" s="39">
        <f t="shared" si="33"/>
        <v>5924502.49</v>
      </c>
      <c r="Q126" s="39">
        <f t="shared" si="33"/>
        <v>0</v>
      </c>
      <c r="R126" s="39">
        <f t="shared" si="33"/>
        <v>10082607.549999999</v>
      </c>
      <c r="S126" s="39">
        <f t="shared" si="33"/>
        <v>90139.27</v>
      </c>
      <c r="T126" s="39">
        <f t="shared" si="33"/>
        <v>24405677.35</v>
      </c>
      <c r="U126" s="39">
        <f t="shared" si="33"/>
        <v>34578424.17</v>
      </c>
      <c r="V126" s="39">
        <f t="shared" si="33"/>
        <v>541203.6400000001</v>
      </c>
      <c r="W126" s="171">
        <f t="shared" si="33"/>
        <v>50307506</v>
      </c>
      <c r="X126" s="27">
        <f t="shared" si="33"/>
        <v>0</v>
      </c>
      <c r="Y126" s="27">
        <f t="shared" si="33"/>
        <v>50307506</v>
      </c>
    </row>
    <row r="127" spans="1:25" ht="12.75" customHeight="1">
      <c r="A127" s="1"/>
      <c r="B127" s="30"/>
      <c r="C127" s="162"/>
      <c r="D127" s="31"/>
      <c r="E127" s="32"/>
      <c r="F127" s="32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169"/>
      <c r="X127" s="32"/>
      <c r="Y127" s="155"/>
    </row>
    <row r="128" spans="1:25" ht="12.75" customHeight="1">
      <c r="A128" s="1"/>
      <c r="B128" s="23" t="s">
        <v>2147</v>
      </c>
      <c r="C128" s="161"/>
      <c r="D128" s="24"/>
      <c r="E128" s="32"/>
      <c r="F128" s="32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169"/>
      <c r="X128" s="32"/>
      <c r="Y128" s="155"/>
    </row>
    <row r="129" spans="1:25" ht="12.75" customHeight="1">
      <c r="A129" s="162"/>
      <c r="B129" s="30" t="s">
        <v>2528</v>
      </c>
      <c r="C129" s="162"/>
      <c r="D129" s="31"/>
      <c r="E129" s="32">
        <v>0</v>
      </c>
      <c r="F129" s="32">
        <v>0</v>
      </c>
      <c r="G129" s="36">
        <f>E129+F129</f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f>I129+J129+K129</f>
        <v>0</v>
      </c>
      <c r="M129" s="36">
        <v>0</v>
      </c>
      <c r="N129" s="36">
        <v>0</v>
      </c>
      <c r="O129" s="36">
        <v>0</v>
      </c>
      <c r="P129" s="36">
        <f>M129+N129+O129</f>
        <v>0</v>
      </c>
      <c r="Q129" s="36">
        <v>0</v>
      </c>
      <c r="R129" s="36">
        <v>0</v>
      </c>
      <c r="S129" s="36">
        <v>0</v>
      </c>
      <c r="T129" s="36">
        <f>T83-T126</f>
        <v>124277409.83999997</v>
      </c>
      <c r="U129" s="36">
        <f>Q129+R129+S129+T129</f>
        <v>124277409.83999997</v>
      </c>
      <c r="V129" s="36">
        <v>0</v>
      </c>
      <c r="W129" s="169">
        <f>G129+H129+L129+P129+U129+V129</f>
        <v>124277409.83999997</v>
      </c>
      <c r="X129" s="32">
        <v>0</v>
      </c>
      <c r="Y129" s="165">
        <f>W129+X129</f>
        <v>124277409.83999997</v>
      </c>
    </row>
    <row r="130" spans="1:25" ht="12.75" customHeight="1" hidden="1">
      <c r="A130" s="162"/>
      <c r="B130" s="30" t="s">
        <v>2529</v>
      </c>
      <c r="C130" s="162"/>
      <c r="D130" s="31"/>
      <c r="E130" s="32">
        <v>0</v>
      </c>
      <c r="F130" s="32">
        <v>0</v>
      </c>
      <c r="G130" s="36">
        <f>E130+F130</f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f>I130+J130+K130</f>
        <v>0</v>
      </c>
      <c r="M130" s="36">
        <v>0</v>
      </c>
      <c r="N130" s="36">
        <v>0</v>
      </c>
      <c r="O130" s="36"/>
      <c r="P130" s="36">
        <f>M130+N130+O130</f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f>Q130+R130+S130+T130</f>
        <v>0</v>
      </c>
      <c r="V130" s="36">
        <v>0</v>
      </c>
      <c r="W130" s="169">
        <f>G130+H130+L130+P130+U130+V130</f>
        <v>0</v>
      </c>
      <c r="X130" s="165">
        <f>X83-X126</f>
        <v>0</v>
      </c>
      <c r="Y130" s="165">
        <f>W130+X130</f>
        <v>0</v>
      </c>
    </row>
    <row r="131" spans="1:25" ht="12.75" customHeight="1">
      <c r="A131" s="162"/>
      <c r="B131" s="30" t="s">
        <v>2530</v>
      </c>
      <c r="C131" s="162"/>
      <c r="D131" s="31"/>
      <c r="E131" s="32"/>
      <c r="F131" s="32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169"/>
      <c r="X131" s="32"/>
      <c r="Y131" s="155"/>
    </row>
    <row r="132" spans="1:25" ht="12.75" customHeight="1">
      <c r="A132" s="162"/>
      <c r="B132" s="30"/>
      <c r="C132" s="162" t="s">
        <v>2531</v>
      </c>
      <c r="D132" s="31"/>
      <c r="E132" s="32">
        <v>0</v>
      </c>
      <c r="F132" s="32">
        <v>0</v>
      </c>
      <c r="G132" s="36">
        <f>E132+F132</f>
        <v>0</v>
      </c>
      <c r="H132" s="36">
        <v>0</v>
      </c>
      <c r="I132" s="36">
        <v>0</v>
      </c>
      <c r="J132" s="36">
        <f>J83-J126</f>
        <v>0</v>
      </c>
      <c r="K132" s="36">
        <v>0</v>
      </c>
      <c r="L132" s="36">
        <f>I132+J132+K132</f>
        <v>0</v>
      </c>
      <c r="M132" s="36">
        <v>0</v>
      </c>
      <c r="N132" s="36">
        <f>N83-N126</f>
        <v>53087827.99999999</v>
      </c>
      <c r="O132" s="36">
        <v>0</v>
      </c>
      <c r="P132" s="36">
        <f>M132+N132+O132</f>
        <v>53087827.99999999</v>
      </c>
      <c r="Q132" s="36">
        <v>0</v>
      </c>
      <c r="R132" s="36">
        <v>0</v>
      </c>
      <c r="S132" s="36">
        <v>0</v>
      </c>
      <c r="T132" s="36">
        <v>0</v>
      </c>
      <c r="U132" s="36">
        <f>Q132+R132+S132+T132</f>
        <v>0</v>
      </c>
      <c r="V132" s="36">
        <v>0</v>
      </c>
      <c r="W132" s="169">
        <f>G132+H132+L132+P132+U132+V132</f>
        <v>53087827.99999999</v>
      </c>
      <c r="X132" s="32">
        <v>0</v>
      </c>
      <c r="Y132" s="165">
        <f>W132+X132</f>
        <v>53087827.99999999</v>
      </c>
    </row>
    <row r="133" spans="1:25" ht="12.75" customHeight="1">
      <c r="A133" s="162"/>
      <c r="B133" s="30"/>
      <c r="C133" s="162" t="s">
        <v>2532</v>
      </c>
      <c r="D133" s="31"/>
      <c r="E133" s="32">
        <v>0</v>
      </c>
      <c r="F133" s="32">
        <v>0</v>
      </c>
      <c r="G133" s="36">
        <f>E133+F133</f>
        <v>0</v>
      </c>
      <c r="H133" s="36">
        <f>H83-H126</f>
        <v>13320556.069999998</v>
      </c>
      <c r="I133" s="36">
        <v>0</v>
      </c>
      <c r="J133" s="36">
        <v>0</v>
      </c>
      <c r="K133" s="36">
        <f>K83-K126</f>
        <v>12629504.01</v>
      </c>
      <c r="L133" s="36">
        <f>I133+J133+K133</f>
        <v>12629504.01</v>
      </c>
      <c r="M133" s="36">
        <v>0</v>
      </c>
      <c r="N133" s="36">
        <v>0</v>
      </c>
      <c r="O133" s="36">
        <f>O83-O126</f>
        <v>16115367.69</v>
      </c>
      <c r="P133" s="36">
        <f>M133+N133+O133</f>
        <v>16115367.69</v>
      </c>
      <c r="Q133" s="36">
        <v>0</v>
      </c>
      <c r="R133" s="36">
        <f>R83-R126</f>
        <v>3338375.370000001</v>
      </c>
      <c r="S133" s="36">
        <f>S83-S126</f>
        <v>17124.12000000001</v>
      </c>
      <c r="T133" s="36">
        <v>0</v>
      </c>
      <c r="U133" s="36">
        <f>Q133+R133+S133+T133</f>
        <v>3355499.490000001</v>
      </c>
      <c r="V133" s="36">
        <v>0</v>
      </c>
      <c r="W133" s="169">
        <f>G133+H133+L133+P133+U133+V133</f>
        <v>45420927.26</v>
      </c>
      <c r="X133" s="32">
        <v>0</v>
      </c>
      <c r="Y133" s="165">
        <f>W133+X133</f>
        <v>45420927.26</v>
      </c>
    </row>
    <row r="134" spans="1:25" ht="12.75" customHeight="1">
      <c r="A134" s="162"/>
      <c r="B134" s="30" t="s">
        <v>2533</v>
      </c>
      <c r="C134" s="162"/>
      <c r="D134" s="31"/>
      <c r="E134" s="32">
        <f>E83-E126</f>
        <v>19468847.55</v>
      </c>
      <c r="F134" s="32">
        <f>F83-F126</f>
        <v>-27500</v>
      </c>
      <c r="G134" s="36">
        <f>E134+F134</f>
        <v>19441347.55</v>
      </c>
      <c r="H134" s="36">
        <v>0</v>
      </c>
      <c r="I134" s="36">
        <f>I83-I126</f>
        <v>67148.26</v>
      </c>
      <c r="J134" s="36">
        <v>0</v>
      </c>
      <c r="K134" s="36">
        <v>0</v>
      </c>
      <c r="L134" s="36">
        <f>I134+J134+K134</f>
        <v>67148.26</v>
      </c>
      <c r="M134" s="36">
        <f>M83-M126</f>
        <v>0</v>
      </c>
      <c r="N134" s="36">
        <v>0</v>
      </c>
      <c r="O134" s="36">
        <v>0</v>
      </c>
      <c r="P134" s="36">
        <f>M134+N134+O134</f>
        <v>0</v>
      </c>
      <c r="Q134" s="36">
        <f>Q83-Q126</f>
        <v>3348592.83</v>
      </c>
      <c r="R134" s="36">
        <v>0</v>
      </c>
      <c r="S134" s="36">
        <v>0</v>
      </c>
      <c r="T134" s="36">
        <v>0</v>
      </c>
      <c r="U134" s="36">
        <f>Q134+R134+S134+T134</f>
        <v>3348592.83</v>
      </c>
      <c r="V134" s="36">
        <f>V83-V126</f>
        <v>0</v>
      </c>
      <c r="W134" s="169">
        <f>G134+H134+L134+P134+U134+V134</f>
        <v>22857088.64</v>
      </c>
      <c r="X134" s="32">
        <v>0</v>
      </c>
      <c r="Y134" s="165">
        <f>W134+X134</f>
        <v>22857088.64</v>
      </c>
    </row>
    <row r="135" spans="1:25" ht="12.75" customHeight="1">
      <c r="A135" s="29"/>
      <c r="B135" s="23"/>
      <c r="C135" s="161"/>
      <c r="D135" s="24"/>
      <c r="E135" s="27"/>
      <c r="F135" s="27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171"/>
      <c r="X135" s="27"/>
      <c r="Y135" s="155"/>
    </row>
    <row r="136" spans="1:25" s="170" customFormat="1" ht="12.75" customHeight="1">
      <c r="A136" s="29"/>
      <c r="B136" s="23" t="s">
        <v>2534</v>
      </c>
      <c r="C136" s="161"/>
      <c r="D136" s="24"/>
      <c r="E136" s="27">
        <f aca="true" t="shared" si="34" ref="E136:Y136">+E129+E130+E132+E133+E134</f>
        <v>19468847.55</v>
      </c>
      <c r="F136" s="27">
        <f t="shared" si="34"/>
        <v>-27500</v>
      </c>
      <c r="G136" s="39">
        <f t="shared" si="34"/>
        <v>19441347.55</v>
      </c>
      <c r="H136" s="39">
        <f t="shared" si="34"/>
        <v>13320556.069999998</v>
      </c>
      <c r="I136" s="39">
        <f t="shared" si="34"/>
        <v>67148.26</v>
      </c>
      <c r="J136" s="39">
        <f t="shared" si="34"/>
        <v>0</v>
      </c>
      <c r="K136" s="39">
        <f t="shared" si="34"/>
        <v>12629504.01</v>
      </c>
      <c r="L136" s="39">
        <f t="shared" si="34"/>
        <v>12696652.27</v>
      </c>
      <c r="M136" s="39">
        <f t="shared" si="34"/>
        <v>0</v>
      </c>
      <c r="N136" s="39">
        <f t="shared" si="34"/>
        <v>53087827.99999999</v>
      </c>
      <c r="O136" s="39">
        <f t="shared" si="34"/>
        <v>16115367.69</v>
      </c>
      <c r="P136" s="39">
        <f t="shared" si="34"/>
        <v>69203195.69</v>
      </c>
      <c r="Q136" s="39">
        <f t="shared" si="34"/>
        <v>3348592.83</v>
      </c>
      <c r="R136" s="39">
        <f t="shared" si="34"/>
        <v>3338375.370000001</v>
      </c>
      <c r="S136" s="39">
        <f t="shared" si="34"/>
        <v>17124.12000000001</v>
      </c>
      <c r="T136" s="39">
        <f t="shared" si="34"/>
        <v>124277409.83999997</v>
      </c>
      <c r="U136" s="39">
        <f t="shared" si="34"/>
        <v>130981502.15999997</v>
      </c>
      <c r="V136" s="39">
        <f t="shared" si="34"/>
        <v>0</v>
      </c>
      <c r="W136" s="171">
        <f t="shared" si="34"/>
        <v>245643253.73999995</v>
      </c>
      <c r="X136" s="27">
        <f t="shared" si="34"/>
        <v>0</v>
      </c>
      <c r="Y136" s="27">
        <f t="shared" si="34"/>
        <v>245643253.73999995</v>
      </c>
    </row>
    <row r="137" spans="1:25" ht="12.75" customHeight="1">
      <c r="A137" s="1"/>
      <c r="B137" s="30"/>
      <c r="C137" s="162"/>
      <c r="D137" s="31"/>
      <c r="E137" s="32"/>
      <c r="F137" s="32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169"/>
      <c r="X137" s="32"/>
      <c r="Y137" s="32"/>
    </row>
    <row r="138" spans="1:25" s="170" customFormat="1" ht="12.75" customHeight="1">
      <c r="A138" s="29"/>
      <c r="B138" s="23" t="s">
        <v>2154</v>
      </c>
      <c r="C138" s="161"/>
      <c r="D138" s="24"/>
      <c r="E138" s="27">
        <f aca="true" t="shared" si="35" ref="E138:Y138">+E126+E136</f>
        <v>27289031.82</v>
      </c>
      <c r="F138" s="27">
        <f t="shared" si="35"/>
        <v>718016.14</v>
      </c>
      <c r="G138" s="41">
        <f t="shared" si="35"/>
        <v>28007047.96</v>
      </c>
      <c r="H138" s="41">
        <f t="shared" si="35"/>
        <v>14018218.969999999</v>
      </c>
      <c r="I138" s="41">
        <f t="shared" si="35"/>
        <v>67160.65</v>
      </c>
      <c r="J138" s="41">
        <f t="shared" si="35"/>
        <v>0</v>
      </c>
      <c r="K138" s="41">
        <f t="shared" si="35"/>
        <v>12629504.01</v>
      </c>
      <c r="L138" s="41">
        <f t="shared" si="35"/>
        <v>12696664.66</v>
      </c>
      <c r="M138" s="41">
        <f t="shared" si="35"/>
        <v>0</v>
      </c>
      <c r="N138" s="41">
        <f t="shared" si="35"/>
        <v>59012330.489999995</v>
      </c>
      <c r="O138" s="41">
        <f t="shared" si="35"/>
        <v>16115367.69</v>
      </c>
      <c r="P138" s="41">
        <f t="shared" si="35"/>
        <v>75127698.17999999</v>
      </c>
      <c r="Q138" s="41">
        <f t="shared" si="35"/>
        <v>3348592.83</v>
      </c>
      <c r="R138" s="41">
        <f t="shared" si="35"/>
        <v>13420982.92</v>
      </c>
      <c r="S138" s="41">
        <f t="shared" si="35"/>
        <v>107263.39000000001</v>
      </c>
      <c r="T138" s="41">
        <f t="shared" si="35"/>
        <v>148683087.18999997</v>
      </c>
      <c r="U138" s="41">
        <f t="shared" si="35"/>
        <v>165559926.32999998</v>
      </c>
      <c r="V138" s="41">
        <f t="shared" si="35"/>
        <v>541203.6400000001</v>
      </c>
      <c r="W138" s="172">
        <f t="shared" si="35"/>
        <v>295950759.73999995</v>
      </c>
      <c r="X138" s="27">
        <f t="shared" si="35"/>
        <v>0</v>
      </c>
      <c r="Y138" s="27">
        <f t="shared" si="35"/>
        <v>295950759.73999995</v>
      </c>
    </row>
  </sheetData>
  <printOptions horizontalCentered="1"/>
  <pageMargins left="0.5" right="0.5" top="0.75" bottom="0.5" header="0.25" footer="0.5"/>
  <pageSetup fitToHeight="0" horizontalDpi="600" verticalDpi="600" orientation="landscape" scale="70" r:id="rId1"/>
  <rowBreaks count="1" manualBreakCount="1">
    <brk id="115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732"/>
  <sheetViews>
    <sheetView workbookViewId="0" topLeftCell="B2">
      <selection activeCell="B8" sqref="B8"/>
    </sheetView>
  </sheetViews>
  <sheetFormatPr defaultColWidth="9.140625" defaultRowHeight="12.75" outlineLevelRow="1" outlineLevelCol="1"/>
  <cols>
    <col min="1" max="1" width="0" style="184" hidden="1" customWidth="1"/>
    <col min="2" max="2" width="3.8515625" style="231" customWidth="1"/>
    <col min="3" max="3" width="52.140625" style="231" customWidth="1"/>
    <col min="4" max="4" width="2.421875" style="231" customWidth="1"/>
    <col min="5" max="7" width="19.57421875" style="231" customWidth="1"/>
    <col min="8" max="14" width="19.57421875" style="184" hidden="1" customWidth="1" outlineLevel="1"/>
    <col min="15" max="15" width="19.57421875" style="231" customWidth="1" collapsed="1"/>
    <col min="16" max="16" width="19.57421875" style="231" customWidth="1"/>
    <col min="17" max="17" width="17.8515625" style="231" customWidth="1"/>
    <col min="18" max="18" width="11.140625" style="184" hidden="1" customWidth="1"/>
    <col min="19" max="16384" width="8.00390625" style="191" customWidth="1"/>
  </cols>
  <sheetData>
    <row r="1" spans="1:18" s="175" customFormat="1" ht="12.75" hidden="1">
      <c r="A1" s="173" t="s">
        <v>2535</v>
      </c>
      <c r="B1" s="174" t="s">
        <v>2106</v>
      </c>
      <c r="C1" s="174" t="s">
        <v>2536</v>
      </c>
      <c r="D1" s="174" t="s">
        <v>2537</v>
      </c>
      <c r="E1" s="174" t="s">
        <v>2538</v>
      </c>
      <c r="F1" s="174" t="s">
        <v>2539</v>
      </c>
      <c r="G1" s="174" t="s">
        <v>2106</v>
      </c>
      <c r="H1" s="173" t="s">
        <v>2540</v>
      </c>
      <c r="I1" s="173" t="s">
        <v>2541</v>
      </c>
      <c r="J1" s="173" t="s">
        <v>2542</v>
      </c>
      <c r="K1" s="173" t="s">
        <v>2543</v>
      </c>
      <c r="L1" s="173" t="s">
        <v>2544</v>
      </c>
      <c r="M1" s="173" t="s">
        <v>2545</v>
      </c>
      <c r="N1" s="173" t="s">
        <v>2546</v>
      </c>
      <c r="O1" s="174" t="s">
        <v>2547</v>
      </c>
      <c r="P1" s="174" t="s">
        <v>2548</v>
      </c>
      <c r="Q1" s="174" t="s">
        <v>2108</v>
      </c>
      <c r="R1" s="173"/>
    </row>
    <row r="2" spans="1:18" s="178" customFormat="1" ht="15.75" customHeight="1">
      <c r="A2" s="176"/>
      <c r="B2" s="5" t="str">
        <f>"University of Missouri - "&amp;TEXT(R3,)</f>
        <v>University of Missouri - Rolla</v>
      </c>
      <c r="C2" s="50"/>
      <c r="D2" s="50"/>
      <c r="E2" s="50"/>
      <c r="F2" s="50"/>
      <c r="G2" s="50"/>
      <c r="H2" s="176"/>
      <c r="I2" s="176"/>
      <c r="J2" s="176"/>
      <c r="K2" s="176"/>
      <c r="L2" s="176"/>
      <c r="M2" s="176"/>
      <c r="N2" s="176"/>
      <c r="O2" s="50"/>
      <c r="P2" s="50"/>
      <c r="Q2" s="177"/>
      <c r="R2" s="176"/>
    </row>
    <row r="3" spans="1:18" s="178" customFormat="1" ht="15.75" customHeight="1">
      <c r="A3" s="176"/>
      <c r="B3" s="11" t="s">
        <v>2549</v>
      </c>
      <c r="C3" s="51"/>
      <c r="D3" s="51"/>
      <c r="E3" s="51"/>
      <c r="F3" s="51"/>
      <c r="G3" s="51"/>
      <c r="H3" s="176"/>
      <c r="I3" s="176"/>
      <c r="J3" s="176"/>
      <c r="K3" s="176"/>
      <c r="L3" s="176"/>
      <c r="M3" s="176"/>
      <c r="N3" s="176"/>
      <c r="O3" s="51"/>
      <c r="P3" s="51"/>
      <c r="Q3" s="179"/>
      <c r="R3" s="176" t="s">
        <v>2276</v>
      </c>
    </row>
    <row r="4" spans="1:18" s="178" customFormat="1" ht="15.75" customHeight="1">
      <c r="A4" s="176"/>
      <c r="B4" s="86" t="str">
        <f>"For the Year Ending "&amp;TEXT(R4,"MMMM DD, YYY")</f>
        <v>For the Year Ending June 30, 2004</v>
      </c>
      <c r="C4" s="51"/>
      <c r="D4" s="51"/>
      <c r="E4" s="51"/>
      <c r="F4" s="51"/>
      <c r="G4" s="51"/>
      <c r="H4" s="176"/>
      <c r="I4" s="176"/>
      <c r="J4" s="176"/>
      <c r="K4" s="176"/>
      <c r="L4" s="176"/>
      <c r="M4" s="176"/>
      <c r="N4" s="176"/>
      <c r="O4" s="51"/>
      <c r="P4" s="51"/>
      <c r="Q4" s="179"/>
      <c r="R4" s="176" t="s">
        <v>2275</v>
      </c>
    </row>
    <row r="5" spans="1:18" s="178" customFormat="1" ht="12.75" customHeight="1">
      <c r="A5" s="176"/>
      <c r="B5" s="180"/>
      <c r="C5" s="181"/>
      <c r="D5" s="182"/>
      <c r="E5" s="181"/>
      <c r="F5" s="181"/>
      <c r="G5" s="181"/>
      <c r="H5" s="176"/>
      <c r="I5" s="176"/>
      <c r="J5" s="176"/>
      <c r="K5" s="176"/>
      <c r="L5" s="176"/>
      <c r="M5" s="176"/>
      <c r="N5" s="176"/>
      <c r="O5" s="181"/>
      <c r="P5" s="181"/>
      <c r="Q5" s="183"/>
      <c r="R5" s="176"/>
    </row>
    <row r="6" spans="2:17" ht="12.75">
      <c r="B6" s="185"/>
      <c r="C6" s="186"/>
      <c r="D6" s="187"/>
      <c r="E6" s="188" t="s">
        <v>2550</v>
      </c>
      <c r="F6" s="189"/>
      <c r="G6" s="189"/>
      <c r="O6" s="189"/>
      <c r="P6" s="190"/>
      <c r="Q6" s="145"/>
    </row>
    <row r="7" spans="1:18" s="198" customFormat="1" ht="45" customHeight="1">
      <c r="A7" s="192" t="s">
        <v>2107</v>
      </c>
      <c r="B7" s="193"/>
      <c r="C7" s="194"/>
      <c r="D7" s="195"/>
      <c r="E7" s="196" t="s">
        <v>2551</v>
      </c>
      <c r="F7" s="196" t="s">
        <v>2552</v>
      </c>
      <c r="G7" s="196" t="s">
        <v>2553</v>
      </c>
      <c r="H7" s="192" t="s">
        <v>2554</v>
      </c>
      <c r="I7" s="192" t="s">
        <v>2555</v>
      </c>
      <c r="J7" s="192" t="s">
        <v>2556</v>
      </c>
      <c r="K7" s="192" t="s">
        <v>2557</v>
      </c>
      <c r="L7" s="192" t="s">
        <v>2558</v>
      </c>
      <c r="M7" s="192" t="s">
        <v>2559</v>
      </c>
      <c r="N7" s="192" t="s">
        <v>2560</v>
      </c>
      <c r="O7" s="196" t="s">
        <v>2561</v>
      </c>
      <c r="P7" s="196" t="s">
        <v>2562</v>
      </c>
      <c r="Q7" s="197" t="s">
        <v>2563</v>
      </c>
      <c r="R7" s="192"/>
    </row>
    <row r="8" spans="1:54" s="202" customFormat="1" ht="12.75" customHeight="1">
      <c r="A8" s="199"/>
      <c r="B8" s="188"/>
      <c r="C8" s="189"/>
      <c r="D8" s="190"/>
      <c r="E8" s="200"/>
      <c r="F8" s="200"/>
      <c r="G8" s="200"/>
      <c r="H8" s="199"/>
      <c r="I8" s="199"/>
      <c r="J8" s="199"/>
      <c r="K8" s="199"/>
      <c r="L8" s="199"/>
      <c r="M8" s="199"/>
      <c r="N8" s="199"/>
      <c r="O8" s="200"/>
      <c r="P8" s="200"/>
      <c r="Q8" s="200"/>
      <c r="R8" s="201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</row>
    <row r="9" spans="1:54" s="202" customFormat="1" ht="12.75" customHeight="1">
      <c r="A9" s="203"/>
      <c r="B9" s="64" t="s">
        <v>2162</v>
      </c>
      <c r="C9" s="204"/>
      <c r="D9" s="65"/>
      <c r="E9" s="205"/>
      <c r="F9" s="205"/>
      <c r="G9" s="205"/>
      <c r="H9" s="203"/>
      <c r="I9" s="203"/>
      <c r="J9" s="203"/>
      <c r="K9" s="203"/>
      <c r="L9" s="203"/>
      <c r="M9" s="203"/>
      <c r="N9" s="203"/>
      <c r="O9" s="205"/>
      <c r="P9" s="205"/>
      <c r="Q9" s="205"/>
      <c r="R9" s="206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</row>
    <row r="10" spans="1:54" s="175" customFormat="1" ht="12.75" hidden="1" outlineLevel="1">
      <c r="A10" s="173" t="s">
        <v>2564</v>
      </c>
      <c r="B10" s="174"/>
      <c r="C10" s="174" t="s">
        <v>2565</v>
      </c>
      <c r="D10" s="174" t="s">
        <v>2566</v>
      </c>
      <c r="E10" s="174">
        <v>450927.8</v>
      </c>
      <c r="F10" s="174">
        <v>1200</v>
      </c>
      <c r="G10" s="174"/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4">
        <v>0</v>
      </c>
      <c r="P10" s="174">
        <v>0</v>
      </c>
      <c r="Q10" s="174">
        <f aca="true" t="shared" si="0" ref="Q10:Q55">E10+F10+G10+O10+P10</f>
        <v>452127.8</v>
      </c>
      <c r="R10" s="173"/>
      <c r="S10" s="653"/>
      <c r="T10" s="653"/>
      <c r="U10" s="653"/>
      <c r="V10" s="653"/>
      <c r="W10" s="653"/>
      <c r="X10" s="653"/>
      <c r="Y10" s="653"/>
      <c r="Z10" s="653"/>
      <c r="AA10" s="653"/>
      <c r="AB10" s="653"/>
      <c r="AC10" s="653"/>
      <c r="AD10" s="653"/>
      <c r="AE10" s="653"/>
      <c r="AF10" s="653"/>
      <c r="AG10" s="653"/>
      <c r="AH10" s="653"/>
      <c r="AI10" s="653"/>
      <c r="AJ10" s="653"/>
      <c r="AK10" s="653"/>
      <c r="AL10" s="653"/>
      <c r="AM10" s="653"/>
      <c r="AN10" s="653"/>
      <c r="AO10" s="653"/>
      <c r="AP10" s="653"/>
      <c r="AQ10" s="653"/>
      <c r="AR10" s="653"/>
      <c r="AS10" s="653"/>
      <c r="AT10" s="653"/>
      <c r="AU10" s="653"/>
      <c r="AV10" s="653"/>
      <c r="AW10" s="653"/>
      <c r="AX10" s="653"/>
      <c r="AY10" s="653"/>
      <c r="AZ10" s="653"/>
      <c r="BA10" s="653"/>
      <c r="BB10" s="653"/>
    </row>
    <row r="11" spans="1:54" s="175" customFormat="1" ht="12.75" hidden="1" outlineLevel="1">
      <c r="A11" s="173" t="s">
        <v>2567</v>
      </c>
      <c r="B11" s="174"/>
      <c r="C11" s="174" t="s">
        <v>2568</v>
      </c>
      <c r="D11" s="174" t="s">
        <v>2569</v>
      </c>
      <c r="E11" s="174">
        <v>206602.86</v>
      </c>
      <c r="F11" s="174">
        <v>0</v>
      </c>
      <c r="G11" s="174"/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4">
        <v>0</v>
      </c>
      <c r="P11" s="174">
        <v>0</v>
      </c>
      <c r="Q11" s="174">
        <f t="shared" si="0"/>
        <v>206602.86</v>
      </c>
      <c r="R11" s="17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AO11" s="653"/>
      <c r="AP11" s="653"/>
      <c r="AQ11" s="653"/>
      <c r="AR11" s="653"/>
      <c r="AS11" s="653"/>
      <c r="AT11" s="653"/>
      <c r="AU11" s="653"/>
      <c r="AV11" s="653"/>
      <c r="AW11" s="653"/>
      <c r="AX11" s="653"/>
      <c r="AY11" s="653"/>
      <c r="AZ11" s="653"/>
      <c r="BA11" s="653"/>
      <c r="BB11" s="653"/>
    </row>
    <row r="12" spans="1:54" s="175" customFormat="1" ht="12.75" hidden="1" outlineLevel="1">
      <c r="A12" s="173" t="s">
        <v>2570</v>
      </c>
      <c r="B12" s="174"/>
      <c r="C12" s="174" t="s">
        <v>2571</v>
      </c>
      <c r="D12" s="174" t="s">
        <v>2572</v>
      </c>
      <c r="E12" s="174">
        <v>9232105.63</v>
      </c>
      <c r="F12" s="174">
        <v>0</v>
      </c>
      <c r="G12" s="174"/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4">
        <v>0</v>
      </c>
      <c r="P12" s="174">
        <v>0</v>
      </c>
      <c r="Q12" s="174">
        <f t="shared" si="0"/>
        <v>9232105.63</v>
      </c>
      <c r="R12" s="173"/>
      <c r="S12" s="653"/>
      <c r="T12" s="653"/>
      <c r="U12" s="653"/>
      <c r="V12" s="653"/>
      <c r="W12" s="653"/>
      <c r="X12" s="653"/>
      <c r="Y12" s="653"/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53"/>
      <c r="AS12" s="653"/>
      <c r="AT12" s="653"/>
      <c r="AU12" s="653"/>
      <c r="AV12" s="653"/>
      <c r="AW12" s="653"/>
      <c r="AX12" s="653"/>
      <c r="AY12" s="653"/>
      <c r="AZ12" s="653"/>
      <c r="BA12" s="653"/>
      <c r="BB12" s="653"/>
    </row>
    <row r="13" spans="1:54" s="175" customFormat="1" ht="12.75" hidden="1" outlineLevel="1">
      <c r="A13" s="173" t="s">
        <v>2573</v>
      </c>
      <c r="B13" s="174"/>
      <c r="C13" s="174" t="s">
        <v>2574</v>
      </c>
      <c r="D13" s="174" t="s">
        <v>2575</v>
      </c>
      <c r="E13" s="174">
        <v>4773742.85</v>
      </c>
      <c r="F13" s="174">
        <v>0</v>
      </c>
      <c r="G13" s="174"/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4">
        <v>0</v>
      </c>
      <c r="P13" s="174">
        <v>0</v>
      </c>
      <c r="Q13" s="174">
        <f t="shared" si="0"/>
        <v>4773742.85</v>
      </c>
      <c r="R13" s="17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3"/>
      <c r="AN13" s="653"/>
      <c r="AO13" s="653"/>
      <c r="AP13" s="653"/>
      <c r="AQ13" s="653"/>
      <c r="AR13" s="653"/>
      <c r="AS13" s="653"/>
      <c r="AT13" s="653"/>
      <c r="AU13" s="653"/>
      <c r="AV13" s="653"/>
      <c r="AW13" s="653"/>
      <c r="AX13" s="653"/>
      <c r="AY13" s="653"/>
      <c r="AZ13" s="653"/>
      <c r="BA13" s="653"/>
      <c r="BB13" s="653"/>
    </row>
    <row r="14" spans="1:54" s="175" customFormat="1" ht="12.75" hidden="1" outlineLevel="1">
      <c r="A14" s="173" t="s">
        <v>2576</v>
      </c>
      <c r="B14" s="174"/>
      <c r="C14" s="174" t="s">
        <v>2577</v>
      </c>
      <c r="D14" s="174" t="s">
        <v>2578</v>
      </c>
      <c r="E14" s="174">
        <v>8057896.02</v>
      </c>
      <c r="F14" s="174">
        <v>0</v>
      </c>
      <c r="G14" s="174"/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4">
        <v>0</v>
      </c>
      <c r="P14" s="174">
        <v>0</v>
      </c>
      <c r="Q14" s="174">
        <f t="shared" si="0"/>
        <v>8057896.02</v>
      </c>
      <c r="R14" s="17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53"/>
      <c r="AN14" s="653"/>
      <c r="AO14" s="653"/>
      <c r="AP14" s="653"/>
      <c r="AQ14" s="653"/>
      <c r="AR14" s="653"/>
      <c r="AS14" s="653"/>
      <c r="AT14" s="653"/>
      <c r="AU14" s="653"/>
      <c r="AV14" s="653"/>
      <c r="AW14" s="653"/>
      <c r="AX14" s="653"/>
      <c r="AY14" s="653"/>
      <c r="AZ14" s="653"/>
      <c r="BA14" s="653"/>
      <c r="BB14" s="653"/>
    </row>
    <row r="15" spans="1:54" s="175" customFormat="1" ht="12.75" hidden="1" outlineLevel="1">
      <c r="A15" s="173" t="s">
        <v>2579</v>
      </c>
      <c r="B15" s="174"/>
      <c r="C15" s="174" t="s">
        <v>2580</v>
      </c>
      <c r="D15" s="174" t="s">
        <v>2581</v>
      </c>
      <c r="E15" s="174">
        <v>4303850.07</v>
      </c>
      <c r="F15" s="174">
        <v>0</v>
      </c>
      <c r="G15" s="174"/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4">
        <v>0</v>
      </c>
      <c r="P15" s="174">
        <v>0</v>
      </c>
      <c r="Q15" s="174">
        <f t="shared" si="0"/>
        <v>4303850.07</v>
      </c>
      <c r="R15" s="173"/>
      <c r="S15" s="653"/>
      <c r="T15" s="653"/>
      <c r="U15" s="653"/>
      <c r="V15" s="653"/>
      <c r="W15" s="653"/>
      <c r="X15" s="653"/>
      <c r="Y15" s="653"/>
      <c r="Z15" s="653"/>
      <c r="AA15" s="653"/>
      <c r="AB15" s="653"/>
      <c r="AC15" s="653"/>
      <c r="AD15" s="653"/>
      <c r="AE15" s="653"/>
      <c r="AF15" s="653"/>
      <c r="AG15" s="653"/>
      <c r="AH15" s="653"/>
      <c r="AI15" s="653"/>
      <c r="AJ15" s="653"/>
      <c r="AK15" s="653"/>
      <c r="AL15" s="653"/>
      <c r="AM15" s="653"/>
      <c r="AN15" s="653"/>
      <c r="AO15" s="653"/>
      <c r="AP15" s="653"/>
      <c r="AQ15" s="653"/>
      <c r="AR15" s="653"/>
      <c r="AS15" s="653"/>
      <c r="AT15" s="653"/>
      <c r="AU15" s="653"/>
      <c r="AV15" s="653"/>
      <c r="AW15" s="653"/>
      <c r="AX15" s="653"/>
      <c r="AY15" s="653"/>
      <c r="AZ15" s="653"/>
      <c r="BA15" s="653"/>
      <c r="BB15" s="653"/>
    </row>
    <row r="16" spans="1:54" s="175" customFormat="1" ht="12.75" hidden="1" outlineLevel="1">
      <c r="A16" s="173" t="s">
        <v>2582</v>
      </c>
      <c r="B16" s="174"/>
      <c r="C16" s="174" t="s">
        <v>2583</v>
      </c>
      <c r="D16" s="174" t="s">
        <v>2584</v>
      </c>
      <c r="E16" s="174">
        <v>144567.8</v>
      </c>
      <c r="F16" s="174">
        <v>0</v>
      </c>
      <c r="G16" s="174"/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4">
        <v>0</v>
      </c>
      <c r="P16" s="174">
        <v>0</v>
      </c>
      <c r="Q16" s="174">
        <f t="shared" si="0"/>
        <v>144567.8</v>
      </c>
      <c r="R16" s="173"/>
      <c r="S16" s="653"/>
      <c r="T16" s="653"/>
      <c r="U16" s="653"/>
      <c r="V16" s="653"/>
      <c r="W16" s="653"/>
      <c r="X16" s="653"/>
      <c r="Y16" s="653"/>
      <c r="Z16" s="653"/>
      <c r="AA16" s="653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653"/>
      <c r="AS16" s="653"/>
      <c r="AT16" s="653"/>
      <c r="AU16" s="653"/>
      <c r="AV16" s="653"/>
      <c r="AW16" s="653"/>
      <c r="AX16" s="653"/>
      <c r="AY16" s="653"/>
      <c r="AZ16" s="653"/>
      <c r="BA16" s="653"/>
      <c r="BB16" s="653"/>
    </row>
    <row r="17" spans="1:54" s="175" customFormat="1" ht="12.75" hidden="1" outlineLevel="1">
      <c r="A17" s="173" t="s">
        <v>2585</v>
      </c>
      <c r="B17" s="174"/>
      <c r="C17" s="174" t="s">
        <v>2586</v>
      </c>
      <c r="D17" s="174" t="s">
        <v>2587</v>
      </c>
      <c r="E17" s="174">
        <v>956572.8</v>
      </c>
      <c r="F17" s="174">
        <v>0</v>
      </c>
      <c r="G17" s="174"/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4">
        <v>0</v>
      </c>
      <c r="P17" s="174">
        <v>0</v>
      </c>
      <c r="Q17" s="174">
        <f t="shared" si="0"/>
        <v>956572.8</v>
      </c>
      <c r="R17" s="17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3"/>
      <c r="AT17" s="653"/>
      <c r="AU17" s="653"/>
      <c r="AV17" s="653"/>
      <c r="AW17" s="653"/>
      <c r="AX17" s="653"/>
      <c r="AY17" s="653"/>
      <c r="AZ17" s="653"/>
      <c r="BA17" s="653"/>
      <c r="BB17" s="653"/>
    </row>
    <row r="18" spans="1:54" s="175" customFormat="1" ht="12.75" hidden="1" outlineLevel="1">
      <c r="A18" s="173" t="s">
        <v>2588</v>
      </c>
      <c r="B18" s="174"/>
      <c r="C18" s="174" t="s">
        <v>2589</v>
      </c>
      <c r="D18" s="174" t="s">
        <v>2590</v>
      </c>
      <c r="E18" s="174">
        <v>534509.52</v>
      </c>
      <c r="F18" s="174">
        <v>0</v>
      </c>
      <c r="G18" s="174"/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4">
        <v>0</v>
      </c>
      <c r="P18" s="174">
        <v>0</v>
      </c>
      <c r="Q18" s="174">
        <f t="shared" si="0"/>
        <v>534509.52</v>
      </c>
      <c r="R18" s="17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653"/>
      <c r="AO18" s="653"/>
      <c r="AP18" s="653"/>
      <c r="AQ18" s="653"/>
      <c r="AR18" s="653"/>
      <c r="AS18" s="653"/>
      <c r="AT18" s="653"/>
      <c r="AU18" s="653"/>
      <c r="AV18" s="653"/>
      <c r="AW18" s="653"/>
      <c r="AX18" s="653"/>
      <c r="AY18" s="653"/>
      <c r="AZ18" s="653"/>
      <c r="BA18" s="653"/>
      <c r="BB18" s="653"/>
    </row>
    <row r="19" spans="1:54" s="175" customFormat="1" ht="12.75" hidden="1" outlineLevel="1">
      <c r="A19" s="173" t="s">
        <v>2591</v>
      </c>
      <c r="B19" s="174"/>
      <c r="C19" s="174" t="s">
        <v>2592</v>
      </c>
      <c r="D19" s="174" t="s">
        <v>2593</v>
      </c>
      <c r="E19" s="174">
        <v>3769985.6</v>
      </c>
      <c r="F19" s="174">
        <v>0</v>
      </c>
      <c r="G19" s="174"/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4">
        <v>0</v>
      </c>
      <c r="P19" s="174">
        <v>0</v>
      </c>
      <c r="Q19" s="174">
        <f t="shared" si="0"/>
        <v>3769985.6</v>
      </c>
      <c r="R19" s="173"/>
      <c r="S19" s="653"/>
      <c r="T19" s="653"/>
      <c r="U19" s="653"/>
      <c r="V19" s="653"/>
      <c r="W19" s="653"/>
      <c r="X19" s="653"/>
      <c r="Y19" s="653"/>
      <c r="Z19" s="653"/>
      <c r="AA19" s="653"/>
      <c r="AB19" s="653"/>
      <c r="AC19" s="653"/>
      <c r="AD19" s="653"/>
      <c r="AE19" s="653"/>
      <c r="AF19" s="653"/>
      <c r="AG19" s="653"/>
      <c r="AH19" s="653"/>
      <c r="AI19" s="653"/>
      <c r="AJ19" s="653"/>
      <c r="AK19" s="653"/>
      <c r="AL19" s="653"/>
      <c r="AM19" s="653"/>
      <c r="AN19" s="653"/>
      <c r="AO19" s="653"/>
      <c r="AP19" s="653"/>
      <c r="AQ19" s="653"/>
      <c r="AR19" s="653"/>
      <c r="AS19" s="653"/>
      <c r="AT19" s="653"/>
      <c r="AU19" s="653"/>
      <c r="AV19" s="653"/>
      <c r="AW19" s="653"/>
      <c r="AX19" s="653"/>
      <c r="AY19" s="653"/>
      <c r="AZ19" s="653"/>
      <c r="BA19" s="653"/>
      <c r="BB19" s="653"/>
    </row>
    <row r="20" spans="1:54" s="175" customFormat="1" ht="12.75" hidden="1" outlineLevel="1">
      <c r="A20" s="173" t="s">
        <v>2594</v>
      </c>
      <c r="B20" s="174"/>
      <c r="C20" s="174" t="s">
        <v>2595</v>
      </c>
      <c r="D20" s="174" t="s">
        <v>2596</v>
      </c>
      <c r="E20" s="174">
        <v>559044.34</v>
      </c>
      <c r="F20" s="174">
        <v>0</v>
      </c>
      <c r="G20" s="174"/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4">
        <v>0</v>
      </c>
      <c r="P20" s="174">
        <v>0</v>
      </c>
      <c r="Q20" s="174">
        <f t="shared" si="0"/>
        <v>559044.34</v>
      </c>
      <c r="R20" s="17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653"/>
      <c r="AM20" s="653"/>
      <c r="AN20" s="653"/>
      <c r="AO20" s="653"/>
      <c r="AP20" s="653"/>
      <c r="AQ20" s="653"/>
      <c r="AR20" s="653"/>
      <c r="AS20" s="653"/>
      <c r="AT20" s="653"/>
      <c r="AU20" s="653"/>
      <c r="AV20" s="653"/>
      <c r="AW20" s="653"/>
      <c r="AX20" s="653"/>
      <c r="AY20" s="653"/>
      <c r="AZ20" s="653"/>
      <c r="BA20" s="653"/>
      <c r="BB20" s="653"/>
    </row>
    <row r="21" spans="1:54" s="175" customFormat="1" ht="12.75" hidden="1" outlineLevel="1">
      <c r="A21" s="173" t="s">
        <v>2597</v>
      </c>
      <c r="B21" s="174"/>
      <c r="C21" s="174" t="s">
        <v>2598</v>
      </c>
      <c r="D21" s="174" t="s">
        <v>2599</v>
      </c>
      <c r="E21" s="174">
        <v>3293342.1</v>
      </c>
      <c r="F21" s="174">
        <v>0</v>
      </c>
      <c r="G21" s="174"/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4">
        <v>0</v>
      </c>
      <c r="P21" s="174">
        <v>0</v>
      </c>
      <c r="Q21" s="174">
        <f t="shared" si="0"/>
        <v>3293342.1</v>
      </c>
      <c r="R21" s="173"/>
      <c r="S21" s="653"/>
      <c r="T21" s="653"/>
      <c r="U21" s="653"/>
      <c r="V21" s="653"/>
      <c r="W21" s="653"/>
      <c r="X21" s="653"/>
      <c r="Y21" s="653"/>
      <c r="Z21" s="653"/>
      <c r="AA21" s="653"/>
      <c r="AB21" s="653"/>
      <c r="AC21" s="653"/>
      <c r="AD21" s="653"/>
      <c r="AE21" s="653"/>
      <c r="AF21" s="653"/>
      <c r="AG21" s="653"/>
      <c r="AH21" s="653"/>
      <c r="AI21" s="653"/>
      <c r="AJ21" s="653"/>
      <c r="AK21" s="653"/>
      <c r="AL21" s="653"/>
      <c r="AM21" s="653"/>
      <c r="AN21" s="653"/>
      <c r="AO21" s="653"/>
      <c r="AP21" s="653"/>
      <c r="AQ21" s="653"/>
      <c r="AR21" s="653"/>
      <c r="AS21" s="653"/>
      <c r="AT21" s="653"/>
      <c r="AU21" s="653"/>
      <c r="AV21" s="653"/>
      <c r="AW21" s="653"/>
      <c r="AX21" s="653"/>
      <c r="AY21" s="653"/>
      <c r="AZ21" s="653"/>
      <c r="BA21" s="653"/>
      <c r="BB21" s="653"/>
    </row>
    <row r="22" spans="1:54" s="175" customFormat="1" ht="12.75" hidden="1" outlineLevel="1">
      <c r="A22" s="173" t="s">
        <v>2600</v>
      </c>
      <c r="B22" s="174"/>
      <c r="C22" s="174" t="s">
        <v>2601</v>
      </c>
      <c r="D22" s="174" t="s">
        <v>2602</v>
      </c>
      <c r="E22" s="174">
        <v>0</v>
      </c>
      <c r="F22" s="174">
        <v>499230.07</v>
      </c>
      <c r="G22" s="174"/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4">
        <v>0</v>
      </c>
      <c r="P22" s="174">
        <v>0</v>
      </c>
      <c r="Q22" s="174">
        <f t="shared" si="0"/>
        <v>499230.07</v>
      </c>
      <c r="R22" s="173"/>
      <c r="S22" s="653"/>
      <c r="T22" s="653"/>
      <c r="U22" s="653"/>
      <c r="V22" s="653"/>
      <c r="W22" s="653"/>
      <c r="X22" s="653"/>
      <c r="Y22" s="653"/>
      <c r="Z22" s="653"/>
      <c r="AA22" s="653"/>
      <c r="AB22" s="653"/>
      <c r="AC22" s="653"/>
      <c r="AD22" s="653"/>
      <c r="AE22" s="653"/>
      <c r="AF22" s="653"/>
      <c r="AG22" s="653"/>
      <c r="AH22" s="653"/>
      <c r="AI22" s="653"/>
      <c r="AJ22" s="653"/>
      <c r="AK22" s="653"/>
      <c r="AL22" s="653"/>
      <c r="AM22" s="653"/>
      <c r="AN22" s="653"/>
      <c r="AO22" s="653"/>
      <c r="AP22" s="653"/>
      <c r="AQ22" s="653"/>
      <c r="AR22" s="653"/>
      <c r="AS22" s="653"/>
      <c r="AT22" s="653"/>
      <c r="AU22" s="653"/>
      <c r="AV22" s="653"/>
      <c r="AW22" s="653"/>
      <c r="AX22" s="653"/>
      <c r="AY22" s="653"/>
      <c r="AZ22" s="653"/>
      <c r="BA22" s="653"/>
      <c r="BB22" s="653"/>
    </row>
    <row r="23" spans="1:54" s="175" customFormat="1" ht="12.75" hidden="1" outlineLevel="1">
      <c r="A23" s="173" t="s">
        <v>2603</v>
      </c>
      <c r="B23" s="174"/>
      <c r="C23" s="174" t="s">
        <v>2604</v>
      </c>
      <c r="D23" s="174" t="s">
        <v>2605</v>
      </c>
      <c r="E23" s="174">
        <v>0</v>
      </c>
      <c r="F23" s="174">
        <v>4416</v>
      </c>
      <c r="G23" s="174"/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4">
        <v>0</v>
      </c>
      <c r="P23" s="174">
        <v>0</v>
      </c>
      <c r="Q23" s="174">
        <f t="shared" si="0"/>
        <v>4416</v>
      </c>
      <c r="R23" s="173"/>
      <c r="S23" s="653"/>
      <c r="T23" s="653"/>
      <c r="U23" s="653"/>
      <c r="V23" s="653"/>
      <c r="W23" s="653"/>
      <c r="X23" s="653"/>
      <c r="Y23" s="653"/>
      <c r="Z23" s="653"/>
      <c r="AA23" s="653"/>
      <c r="AB23" s="653"/>
      <c r="AC23" s="653"/>
      <c r="AD23" s="653"/>
      <c r="AE23" s="653"/>
      <c r="AF23" s="653"/>
      <c r="AG23" s="653"/>
      <c r="AH23" s="653"/>
      <c r="AI23" s="653"/>
      <c r="AJ23" s="653"/>
      <c r="AK23" s="653"/>
      <c r="AL23" s="653"/>
      <c r="AM23" s="653"/>
      <c r="AN23" s="653"/>
      <c r="AO23" s="653"/>
      <c r="AP23" s="653"/>
      <c r="AQ23" s="653"/>
      <c r="AR23" s="653"/>
      <c r="AS23" s="653"/>
      <c r="AT23" s="653"/>
      <c r="AU23" s="653"/>
      <c r="AV23" s="653"/>
      <c r="AW23" s="653"/>
      <c r="AX23" s="653"/>
      <c r="AY23" s="653"/>
      <c r="AZ23" s="653"/>
      <c r="BA23" s="653"/>
      <c r="BB23" s="653"/>
    </row>
    <row r="24" spans="1:54" s="175" customFormat="1" ht="12.75" hidden="1" outlineLevel="1">
      <c r="A24" s="173" t="s">
        <v>2606</v>
      </c>
      <c r="B24" s="174"/>
      <c r="C24" s="174" t="s">
        <v>2607</v>
      </c>
      <c r="D24" s="174" t="s">
        <v>2608</v>
      </c>
      <c r="E24" s="174">
        <v>225</v>
      </c>
      <c r="F24" s="174">
        <v>419442.82</v>
      </c>
      <c r="G24" s="174"/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4">
        <v>0</v>
      </c>
      <c r="P24" s="174">
        <v>0</v>
      </c>
      <c r="Q24" s="174">
        <f t="shared" si="0"/>
        <v>419667.82</v>
      </c>
      <c r="R24" s="17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3"/>
      <c r="AH24" s="653"/>
      <c r="AI24" s="653"/>
      <c r="AJ24" s="653"/>
      <c r="AK24" s="653"/>
      <c r="AL24" s="653"/>
      <c r="AM24" s="653"/>
      <c r="AN24" s="653"/>
      <c r="AO24" s="653"/>
      <c r="AP24" s="653"/>
      <c r="AQ24" s="653"/>
      <c r="AR24" s="653"/>
      <c r="AS24" s="653"/>
      <c r="AT24" s="653"/>
      <c r="AU24" s="653"/>
      <c r="AV24" s="653"/>
      <c r="AW24" s="653"/>
      <c r="AX24" s="653"/>
      <c r="AY24" s="653"/>
      <c r="AZ24" s="653"/>
      <c r="BA24" s="653"/>
      <c r="BB24" s="653"/>
    </row>
    <row r="25" spans="1:54" s="175" customFormat="1" ht="12.75" hidden="1" outlineLevel="1">
      <c r="A25" s="173" t="s">
        <v>2609</v>
      </c>
      <c r="B25" s="174"/>
      <c r="C25" s="174" t="s">
        <v>2610</v>
      </c>
      <c r="D25" s="174" t="s">
        <v>2611</v>
      </c>
      <c r="E25" s="174">
        <v>0</v>
      </c>
      <c r="F25" s="174">
        <v>25770</v>
      </c>
      <c r="G25" s="174"/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4">
        <v>0</v>
      </c>
      <c r="P25" s="174">
        <v>0</v>
      </c>
      <c r="Q25" s="174">
        <f t="shared" si="0"/>
        <v>25770</v>
      </c>
      <c r="R25" s="173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3"/>
      <c r="AD25" s="653"/>
      <c r="AE25" s="653"/>
      <c r="AF25" s="653"/>
      <c r="AG25" s="653"/>
      <c r="AH25" s="653"/>
      <c r="AI25" s="653"/>
      <c r="AJ25" s="653"/>
      <c r="AK25" s="653"/>
      <c r="AL25" s="653"/>
      <c r="AM25" s="653"/>
      <c r="AN25" s="653"/>
      <c r="AO25" s="653"/>
      <c r="AP25" s="653"/>
      <c r="AQ25" s="653"/>
      <c r="AR25" s="653"/>
      <c r="AS25" s="653"/>
      <c r="AT25" s="653"/>
      <c r="AU25" s="653"/>
      <c r="AV25" s="653"/>
      <c r="AW25" s="653"/>
      <c r="AX25" s="653"/>
      <c r="AY25" s="653"/>
      <c r="AZ25" s="653"/>
      <c r="BA25" s="653"/>
      <c r="BB25" s="653"/>
    </row>
    <row r="26" spans="1:54" s="175" customFormat="1" ht="12.75" hidden="1" outlineLevel="1">
      <c r="A26" s="173" t="s">
        <v>2612</v>
      </c>
      <c r="B26" s="174"/>
      <c r="C26" s="174" t="s">
        <v>2613</v>
      </c>
      <c r="D26" s="174" t="s">
        <v>2614</v>
      </c>
      <c r="E26" s="174">
        <v>0</v>
      </c>
      <c r="F26" s="174">
        <v>2619061.38</v>
      </c>
      <c r="G26" s="174"/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4">
        <v>0</v>
      </c>
      <c r="P26" s="174">
        <v>0</v>
      </c>
      <c r="Q26" s="174">
        <f t="shared" si="0"/>
        <v>2619061.38</v>
      </c>
      <c r="R26" s="17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3"/>
      <c r="AF26" s="653"/>
      <c r="AG26" s="653"/>
      <c r="AH26" s="653"/>
      <c r="AI26" s="653"/>
      <c r="AJ26" s="653"/>
      <c r="AK26" s="653"/>
      <c r="AL26" s="653"/>
      <c r="AM26" s="653"/>
      <c r="AN26" s="653"/>
      <c r="AO26" s="653"/>
      <c r="AP26" s="653"/>
      <c r="AQ26" s="653"/>
      <c r="AR26" s="653"/>
      <c r="AS26" s="653"/>
      <c r="AT26" s="653"/>
      <c r="AU26" s="653"/>
      <c r="AV26" s="653"/>
      <c r="AW26" s="653"/>
      <c r="AX26" s="653"/>
      <c r="AY26" s="653"/>
      <c r="AZ26" s="653"/>
      <c r="BA26" s="653"/>
      <c r="BB26" s="653"/>
    </row>
    <row r="27" spans="1:54" s="175" customFormat="1" ht="12.75" hidden="1" outlineLevel="1">
      <c r="A27" s="173" t="s">
        <v>2615</v>
      </c>
      <c r="B27" s="174"/>
      <c r="C27" s="174" t="s">
        <v>2616</v>
      </c>
      <c r="D27" s="174" t="s">
        <v>2617</v>
      </c>
      <c r="E27" s="174">
        <v>0</v>
      </c>
      <c r="F27" s="174">
        <v>5212</v>
      </c>
      <c r="G27" s="174"/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4">
        <v>0</v>
      </c>
      <c r="P27" s="174">
        <v>0</v>
      </c>
      <c r="Q27" s="174">
        <f t="shared" si="0"/>
        <v>5212</v>
      </c>
      <c r="R27" s="17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3"/>
      <c r="AD27" s="653"/>
      <c r="AE27" s="653"/>
      <c r="AF27" s="653"/>
      <c r="AG27" s="653"/>
      <c r="AH27" s="653"/>
      <c r="AI27" s="653"/>
      <c r="AJ27" s="653"/>
      <c r="AK27" s="653"/>
      <c r="AL27" s="653"/>
      <c r="AM27" s="653"/>
      <c r="AN27" s="653"/>
      <c r="AO27" s="653"/>
      <c r="AP27" s="653"/>
      <c r="AQ27" s="653"/>
      <c r="AR27" s="653"/>
      <c r="AS27" s="653"/>
      <c r="AT27" s="653"/>
      <c r="AU27" s="653"/>
      <c r="AV27" s="653"/>
      <c r="AW27" s="653"/>
      <c r="AX27" s="653"/>
      <c r="AY27" s="653"/>
      <c r="AZ27" s="653"/>
      <c r="BA27" s="653"/>
      <c r="BB27" s="653"/>
    </row>
    <row r="28" spans="1:54" s="175" customFormat="1" ht="12.75" hidden="1" outlineLevel="1">
      <c r="A28" s="173" t="s">
        <v>2618</v>
      </c>
      <c r="B28" s="174"/>
      <c r="C28" s="174" t="s">
        <v>2619</v>
      </c>
      <c r="D28" s="174" t="s">
        <v>2620</v>
      </c>
      <c r="E28" s="174">
        <v>45993.2</v>
      </c>
      <c r="F28" s="174">
        <v>0</v>
      </c>
      <c r="G28" s="174"/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4">
        <v>0</v>
      </c>
      <c r="P28" s="174">
        <v>0</v>
      </c>
      <c r="Q28" s="174">
        <f t="shared" si="0"/>
        <v>45993.2</v>
      </c>
      <c r="R28" s="173"/>
      <c r="S28" s="653"/>
      <c r="T28" s="653"/>
      <c r="U28" s="653"/>
      <c r="V28" s="653"/>
      <c r="W28" s="653"/>
      <c r="X28" s="653"/>
      <c r="Y28" s="653"/>
      <c r="Z28" s="653"/>
      <c r="AA28" s="653"/>
      <c r="AB28" s="653"/>
      <c r="AC28" s="653"/>
      <c r="AD28" s="653"/>
      <c r="AE28" s="653"/>
      <c r="AF28" s="653"/>
      <c r="AG28" s="653"/>
      <c r="AH28" s="653"/>
      <c r="AI28" s="653"/>
      <c r="AJ28" s="653"/>
      <c r="AK28" s="653"/>
      <c r="AL28" s="653"/>
      <c r="AM28" s="653"/>
      <c r="AN28" s="653"/>
      <c r="AO28" s="653"/>
      <c r="AP28" s="653"/>
      <c r="AQ28" s="653"/>
      <c r="AR28" s="653"/>
      <c r="AS28" s="653"/>
      <c r="AT28" s="653"/>
      <c r="AU28" s="653"/>
      <c r="AV28" s="653"/>
      <c r="AW28" s="653"/>
      <c r="AX28" s="653"/>
      <c r="AY28" s="653"/>
      <c r="AZ28" s="653"/>
      <c r="BA28" s="653"/>
      <c r="BB28" s="653"/>
    </row>
    <row r="29" spans="1:54" s="175" customFormat="1" ht="12.75" hidden="1" outlineLevel="1">
      <c r="A29" s="173" t="s">
        <v>2621</v>
      </c>
      <c r="B29" s="174"/>
      <c r="C29" s="174" t="s">
        <v>2622</v>
      </c>
      <c r="D29" s="174" t="s">
        <v>2623</v>
      </c>
      <c r="E29" s="174">
        <v>73260</v>
      </c>
      <c r="F29" s="174">
        <v>0</v>
      </c>
      <c r="G29" s="174"/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4">
        <v>0</v>
      </c>
      <c r="P29" s="174">
        <v>0</v>
      </c>
      <c r="Q29" s="174">
        <f t="shared" si="0"/>
        <v>73260</v>
      </c>
      <c r="R29" s="173"/>
      <c r="S29" s="653"/>
      <c r="T29" s="653"/>
      <c r="U29" s="653"/>
      <c r="V29" s="653"/>
      <c r="W29" s="653"/>
      <c r="X29" s="653"/>
      <c r="Y29" s="653"/>
      <c r="Z29" s="653"/>
      <c r="AA29" s="653"/>
      <c r="AB29" s="653"/>
      <c r="AC29" s="653"/>
      <c r="AD29" s="653"/>
      <c r="AE29" s="653"/>
      <c r="AF29" s="653"/>
      <c r="AG29" s="653"/>
      <c r="AH29" s="653"/>
      <c r="AI29" s="653"/>
      <c r="AJ29" s="653"/>
      <c r="AK29" s="653"/>
      <c r="AL29" s="653"/>
      <c r="AM29" s="653"/>
      <c r="AN29" s="653"/>
      <c r="AO29" s="653"/>
      <c r="AP29" s="653"/>
      <c r="AQ29" s="653"/>
      <c r="AR29" s="653"/>
      <c r="AS29" s="653"/>
      <c r="AT29" s="653"/>
      <c r="AU29" s="653"/>
      <c r="AV29" s="653"/>
      <c r="AW29" s="653"/>
      <c r="AX29" s="653"/>
      <c r="AY29" s="653"/>
      <c r="AZ29" s="653"/>
      <c r="BA29" s="653"/>
      <c r="BB29" s="653"/>
    </row>
    <row r="30" spans="1:54" s="175" customFormat="1" ht="12.75" hidden="1" outlineLevel="1">
      <c r="A30" s="173" t="s">
        <v>2624</v>
      </c>
      <c r="B30" s="174"/>
      <c r="C30" s="174" t="s">
        <v>2625</v>
      </c>
      <c r="D30" s="174" t="s">
        <v>2626</v>
      </c>
      <c r="E30" s="174">
        <v>997649.4</v>
      </c>
      <c r="F30" s="174">
        <v>3420</v>
      </c>
      <c r="G30" s="174"/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4">
        <v>0</v>
      </c>
      <c r="P30" s="174">
        <v>0</v>
      </c>
      <c r="Q30" s="174">
        <f t="shared" si="0"/>
        <v>1001069.4</v>
      </c>
      <c r="R30" s="173"/>
      <c r="S30" s="653"/>
      <c r="T30" s="653"/>
      <c r="U30" s="653"/>
      <c r="V30" s="653"/>
      <c r="W30" s="653"/>
      <c r="X30" s="653"/>
      <c r="Y30" s="653"/>
      <c r="Z30" s="653"/>
      <c r="AA30" s="653"/>
      <c r="AB30" s="653"/>
      <c r="AC30" s="653"/>
      <c r="AD30" s="653"/>
      <c r="AE30" s="653"/>
      <c r="AF30" s="653"/>
      <c r="AG30" s="653"/>
      <c r="AH30" s="653"/>
      <c r="AI30" s="653"/>
      <c r="AJ30" s="653"/>
      <c r="AK30" s="653"/>
      <c r="AL30" s="653"/>
      <c r="AM30" s="653"/>
      <c r="AN30" s="653"/>
      <c r="AO30" s="653"/>
      <c r="AP30" s="653"/>
      <c r="AQ30" s="653"/>
      <c r="AR30" s="653"/>
      <c r="AS30" s="653"/>
      <c r="AT30" s="653"/>
      <c r="AU30" s="653"/>
      <c r="AV30" s="653"/>
      <c r="AW30" s="653"/>
      <c r="AX30" s="653"/>
      <c r="AY30" s="653"/>
      <c r="AZ30" s="653"/>
      <c r="BA30" s="653"/>
      <c r="BB30" s="653"/>
    </row>
    <row r="31" spans="1:54" s="175" customFormat="1" ht="12.75" hidden="1" outlineLevel="1">
      <c r="A31" s="173" t="s">
        <v>2627</v>
      </c>
      <c r="B31" s="174"/>
      <c r="C31" s="174" t="s">
        <v>2628</v>
      </c>
      <c r="D31" s="174" t="s">
        <v>2629</v>
      </c>
      <c r="E31" s="174">
        <v>112288</v>
      </c>
      <c r="F31" s="174">
        <v>0</v>
      </c>
      <c r="G31" s="174"/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4">
        <v>0</v>
      </c>
      <c r="P31" s="174">
        <v>0</v>
      </c>
      <c r="Q31" s="174">
        <f t="shared" si="0"/>
        <v>112288</v>
      </c>
      <c r="R31" s="173"/>
      <c r="S31" s="653"/>
      <c r="T31" s="653"/>
      <c r="U31" s="653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3"/>
      <c r="AH31" s="653"/>
      <c r="AI31" s="653"/>
      <c r="AJ31" s="653"/>
      <c r="AK31" s="653"/>
      <c r="AL31" s="653"/>
      <c r="AM31" s="653"/>
      <c r="AN31" s="653"/>
      <c r="AO31" s="653"/>
      <c r="AP31" s="653"/>
      <c r="AQ31" s="653"/>
      <c r="AR31" s="653"/>
      <c r="AS31" s="653"/>
      <c r="AT31" s="653"/>
      <c r="AU31" s="653"/>
      <c r="AV31" s="653"/>
      <c r="AW31" s="653"/>
      <c r="AX31" s="653"/>
      <c r="AY31" s="653"/>
      <c r="AZ31" s="653"/>
      <c r="BA31" s="653"/>
      <c r="BB31" s="653"/>
    </row>
    <row r="32" spans="1:54" s="175" customFormat="1" ht="12.75" hidden="1" outlineLevel="1">
      <c r="A32" s="173" t="s">
        <v>2630</v>
      </c>
      <c r="B32" s="174"/>
      <c r="C32" s="174" t="s">
        <v>2631</v>
      </c>
      <c r="D32" s="174" t="s">
        <v>2632</v>
      </c>
      <c r="E32" s="174">
        <v>830843.2</v>
      </c>
      <c r="F32" s="174">
        <v>0</v>
      </c>
      <c r="G32" s="174"/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4">
        <v>0</v>
      </c>
      <c r="P32" s="174">
        <v>0</v>
      </c>
      <c r="Q32" s="174">
        <f t="shared" si="0"/>
        <v>830843.2</v>
      </c>
      <c r="R32" s="173"/>
      <c r="S32" s="653"/>
      <c r="T32" s="653"/>
      <c r="U32" s="653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53"/>
      <c r="AO32" s="653"/>
      <c r="AP32" s="653"/>
      <c r="AQ32" s="653"/>
      <c r="AR32" s="653"/>
      <c r="AS32" s="653"/>
      <c r="AT32" s="653"/>
      <c r="AU32" s="653"/>
      <c r="AV32" s="653"/>
      <c r="AW32" s="653"/>
      <c r="AX32" s="653"/>
      <c r="AY32" s="653"/>
      <c r="AZ32" s="653"/>
      <c r="BA32" s="653"/>
      <c r="BB32" s="653"/>
    </row>
    <row r="33" spans="1:54" s="175" customFormat="1" ht="12.75" hidden="1" outlineLevel="1">
      <c r="A33" s="173" t="s">
        <v>2633</v>
      </c>
      <c r="B33" s="174"/>
      <c r="C33" s="174" t="s">
        <v>2634</v>
      </c>
      <c r="D33" s="174" t="s">
        <v>2635</v>
      </c>
      <c r="E33" s="174">
        <v>215613.2</v>
      </c>
      <c r="F33" s="174">
        <v>0</v>
      </c>
      <c r="G33" s="174"/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4">
        <v>0</v>
      </c>
      <c r="P33" s="174">
        <v>0</v>
      </c>
      <c r="Q33" s="174">
        <f t="shared" si="0"/>
        <v>215613.2</v>
      </c>
      <c r="R33" s="173"/>
      <c r="S33" s="653"/>
      <c r="T33" s="653"/>
      <c r="U33" s="653"/>
      <c r="V33" s="653"/>
      <c r="W33" s="653"/>
      <c r="X33" s="653"/>
      <c r="Y33" s="653"/>
      <c r="Z33" s="653"/>
      <c r="AA33" s="653"/>
      <c r="AB33" s="653"/>
      <c r="AC33" s="653"/>
      <c r="AD33" s="653"/>
      <c r="AE33" s="653"/>
      <c r="AF33" s="653"/>
      <c r="AG33" s="653"/>
      <c r="AH33" s="653"/>
      <c r="AI33" s="653"/>
      <c r="AJ33" s="653"/>
      <c r="AK33" s="653"/>
      <c r="AL33" s="653"/>
      <c r="AM33" s="653"/>
      <c r="AN33" s="653"/>
      <c r="AO33" s="653"/>
      <c r="AP33" s="653"/>
      <c r="AQ33" s="653"/>
      <c r="AR33" s="653"/>
      <c r="AS33" s="653"/>
      <c r="AT33" s="653"/>
      <c r="AU33" s="653"/>
      <c r="AV33" s="653"/>
      <c r="AW33" s="653"/>
      <c r="AX33" s="653"/>
      <c r="AY33" s="653"/>
      <c r="AZ33" s="653"/>
      <c r="BA33" s="653"/>
      <c r="BB33" s="653"/>
    </row>
    <row r="34" spans="1:54" s="175" customFormat="1" ht="12.75" hidden="1" outlineLevel="1">
      <c r="A34" s="173" t="s">
        <v>2636</v>
      </c>
      <c r="B34" s="174"/>
      <c r="C34" s="174" t="s">
        <v>2637</v>
      </c>
      <c r="D34" s="174" t="s">
        <v>2638</v>
      </c>
      <c r="E34" s="174">
        <v>51709.68</v>
      </c>
      <c r="F34" s="174">
        <v>0</v>
      </c>
      <c r="G34" s="174"/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4">
        <v>0</v>
      </c>
      <c r="P34" s="174">
        <v>0</v>
      </c>
      <c r="Q34" s="174">
        <f t="shared" si="0"/>
        <v>51709.68</v>
      </c>
      <c r="R34" s="173"/>
      <c r="S34" s="653"/>
      <c r="T34" s="653"/>
      <c r="U34" s="653"/>
      <c r="V34" s="653"/>
      <c r="W34" s="653"/>
      <c r="X34" s="653"/>
      <c r="Y34" s="653"/>
      <c r="Z34" s="653"/>
      <c r="AA34" s="653"/>
      <c r="AB34" s="653"/>
      <c r="AC34" s="653"/>
      <c r="AD34" s="653"/>
      <c r="AE34" s="653"/>
      <c r="AF34" s="653"/>
      <c r="AG34" s="653"/>
      <c r="AH34" s="653"/>
      <c r="AI34" s="653"/>
      <c r="AJ34" s="653"/>
      <c r="AK34" s="653"/>
      <c r="AL34" s="653"/>
      <c r="AM34" s="653"/>
      <c r="AN34" s="653"/>
      <c r="AO34" s="653"/>
      <c r="AP34" s="653"/>
      <c r="AQ34" s="653"/>
      <c r="AR34" s="653"/>
      <c r="AS34" s="653"/>
      <c r="AT34" s="653"/>
      <c r="AU34" s="653"/>
      <c r="AV34" s="653"/>
      <c r="AW34" s="653"/>
      <c r="AX34" s="653"/>
      <c r="AY34" s="653"/>
      <c r="AZ34" s="653"/>
      <c r="BA34" s="653"/>
      <c r="BB34" s="653"/>
    </row>
    <row r="35" spans="1:54" s="175" customFormat="1" ht="12.75" hidden="1" outlineLevel="1">
      <c r="A35" s="173" t="s">
        <v>2639</v>
      </c>
      <c r="B35" s="174"/>
      <c r="C35" s="174" t="s">
        <v>2640</v>
      </c>
      <c r="D35" s="174" t="s">
        <v>2641</v>
      </c>
      <c r="E35" s="174">
        <v>636307.49</v>
      </c>
      <c r="F35" s="174">
        <v>0</v>
      </c>
      <c r="G35" s="174"/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4">
        <v>0</v>
      </c>
      <c r="P35" s="174">
        <v>0</v>
      </c>
      <c r="Q35" s="174">
        <f t="shared" si="0"/>
        <v>636307.49</v>
      </c>
      <c r="R35" s="173"/>
      <c r="S35" s="653"/>
      <c r="T35" s="653"/>
      <c r="U35" s="653"/>
      <c r="V35" s="653"/>
      <c r="W35" s="653"/>
      <c r="X35" s="653"/>
      <c r="Y35" s="653"/>
      <c r="Z35" s="653"/>
      <c r="AA35" s="653"/>
      <c r="AB35" s="653"/>
      <c r="AC35" s="653"/>
      <c r="AD35" s="653"/>
      <c r="AE35" s="653"/>
      <c r="AF35" s="653"/>
      <c r="AG35" s="653"/>
      <c r="AH35" s="653"/>
      <c r="AI35" s="653"/>
      <c r="AJ35" s="653"/>
      <c r="AK35" s="653"/>
      <c r="AL35" s="653"/>
      <c r="AM35" s="653"/>
      <c r="AN35" s="653"/>
      <c r="AO35" s="653"/>
      <c r="AP35" s="653"/>
      <c r="AQ35" s="653"/>
      <c r="AR35" s="653"/>
      <c r="AS35" s="653"/>
      <c r="AT35" s="653"/>
      <c r="AU35" s="653"/>
      <c r="AV35" s="653"/>
      <c r="AW35" s="653"/>
      <c r="AX35" s="653"/>
      <c r="AY35" s="653"/>
      <c r="AZ35" s="653"/>
      <c r="BA35" s="653"/>
      <c r="BB35" s="653"/>
    </row>
    <row r="36" spans="1:54" s="175" customFormat="1" ht="12.75" hidden="1" outlineLevel="1">
      <c r="A36" s="173" t="s">
        <v>2642</v>
      </c>
      <c r="B36" s="174"/>
      <c r="C36" s="174" t="s">
        <v>2643</v>
      </c>
      <c r="D36" s="174" t="s">
        <v>2644</v>
      </c>
      <c r="E36" s="174">
        <v>568272.84</v>
      </c>
      <c r="F36" s="174">
        <v>0</v>
      </c>
      <c r="G36" s="174"/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0</v>
      </c>
      <c r="N36" s="173">
        <v>0</v>
      </c>
      <c r="O36" s="174">
        <v>0</v>
      </c>
      <c r="P36" s="174">
        <v>0</v>
      </c>
      <c r="Q36" s="174">
        <f t="shared" si="0"/>
        <v>568272.84</v>
      </c>
      <c r="R36" s="173"/>
      <c r="S36" s="653"/>
      <c r="T36" s="653"/>
      <c r="U36" s="653"/>
      <c r="V36" s="653"/>
      <c r="W36" s="653"/>
      <c r="X36" s="653"/>
      <c r="Y36" s="653"/>
      <c r="Z36" s="653"/>
      <c r="AA36" s="653"/>
      <c r="AB36" s="653"/>
      <c r="AC36" s="653"/>
      <c r="AD36" s="653"/>
      <c r="AE36" s="653"/>
      <c r="AF36" s="653"/>
      <c r="AG36" s="653"/>
      <c r="AH36" s="653"/>
      <c r="AI36" s="653"/>
      <c r="AJ36" s="653"/>
      <c r="AK36" s="653"/>
      <c r="AL36" s="653"/>
      <c r="AM36" s="653"/>
      <c r="AN36" s="653"/>
      <c r="AO36" s="653"/>
      <c r="AP36" s="653"/>
      <c r="AQ36" s="653"/>
      <c r="AR36" s="653"/>
      <c r="AS36" s="653"/>
      <c r="AT36" s="653"/>
      <c r="AU36" s="653"/>
      <c r="AV36" s="653"/>
      <c r="AW36" s="653"/>
      <c r="AX36" s="653"/>
      <c r="AY36" s="653"/>
      <c r="AZ36" s="653"/>
      <c r="BA36" s="653"/>
      <c r="BB36" s="653"/>
    </row>
    <row r="37" spans="1:54" s="175" customFormat="1" ht="12.75" hidden="1" outlineLevel="1">
      <c r="A37" s="173" t="s">
        <v>2645</v>
      </c>
      <c r="B37" s="174"/>
      <c r="C37" s="174" t="s">
        <v>2646</v>
      </c>
      <c r="D37" s="174" t="s">
        <v>2647</v>
      </c>
      <c r="E37" s="174">
        <v>1381090.41</v>
      </c>
      <c r="F37" s="174">
        <v>0</v>
      </c>
      <c r="G37" s="174"/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174">
        <v>0</v>
      </c>
      <c r="P37" s="174">
        <v>0</v>
      </c>
      <c r="Q37" s="174">
        <f t="shared" si="0"/>
        <v>1381090.41</v>
      </c>
      <c r="R37" s="173"/>
      <c r="S37" s="653"/>
      <c r="T37" s="653"/>
      <c r="U37" s="653"/>
      <c r="V37" s="653"/>
      <c r="W37" s="653"/>
      <c r="X37" s="653"/>
      <c r="Y37" s="653"/>
      <c r="Z37" s="653"/>
      <c r="AA37" s="653"/>
      <c r="AB37" s="653"/>
      <c r="AC37" s="653"/>
      <c r="AD37" s="653"/>
      <c r="AE37" s="653"/>
      <c r="AF37" s="653"/>
      <c r="AG37" s="653"/>
      <c r="AH37" s="653"/>
      <c r="AI37" s="653"/>
      <c r="AJ37" s="653"/>
      <c r="AK37" s="653"/>
      <c r="AL37" s="653"/>
      <c r="AM37" s="653"/>
      <c r="AN37" s="653"/>
      <c r="AO37" s="653"/>
      <c r="AP37" s="653"/>
      <c r="AQ37" s="653"/>
      <c r="AR37" s="653"/>
      <c r="AS37" s="653"/>
      <c r="AT37" s="653"/>
      <c r="AU37" s="653"/>
      <c r="AV37" s="653"/>
      <c r="AW37" s="653"/>
      <c r="AX37" s="653"/>
      <c r="AY37" s="653"/>
      <c r="AZ37" s="653"/>
      <c r="BA37" s="653"/>
      <c r="BB37" s="653"/>
    </row>
    <row r="38" spans="1:54" s="175" customFormat="1" ht="12.75" hidden="1" outlineLevel="1">
      <c r="A38" s="173" t="s">
        <v>2648</v>
      </c>
      <c r="B38" s="174"/>
      <c r="C38" s="174" t="s">
        <v>2649</v>
      </c>
      <c r="D38" s="174" t="s">
        <v>2650</v>
      </c>
      <c r="E38" s="174">
        <v>14007.1</v>
      </c>
      <c r="F38" s="174">
        <v>0</v>
      </c>
      <c r="G38" s="174"/>
      <c r="H38" s="173">
        <v>0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3">
        <v>0</v>
      </c>
      <c r="O38" s="174">
        <v>0</v>
      </c>
      <c r="P38" s="174">
        <v>0</v>
      </c>
      <c r="Q38" s="174">
        <f t="shared" si="0"/>
        <v>14007.1</v>
      </c>
      <c r="R38" s="173"/>
      <c r="S38" s="653"/>
      <c r="T38" s="653"/>
      <c r="U38" s="653"/>
      <c r="V38" s="653"/>
      <c r="W38" s="653"/>
      <c r="X38" s="653"/>
      <c r="Y38" s="653"/>
      <c r="Z38" s="653"/>
      <c r="AA38" s="653"/>
      <c r="AB38" s="653"/>
      <c r="AC38" s="653"/>
      <c r="AD38" s="653"/>
      <c r="AE38" s="653"/>
      <c r="AF38" s="653"/>
      <c r="AG38" s="653"/>
      <c r="AH38" s="653"/>
      <c r="AI38" s="653"/>
      <c r="AJ38" s="653"/>
      <c r="AK38" s="653"/>
      <c r="AL38" s="653"/>
      <c r="AM38" s="653"/>
      <c r="AN38" s="653"/>
      <c r="AO38" s="653"/>
      <c r="AP38" s="653"/>
      <c r="AQ38" s="653"/>
      <c r="AR38" s="653"/>
      <c r="AS38" s="653"/>
      <c r="AT38" s="653"/>
      <c r="AU38" s="653"/>
      <c r="AV38" s="653"/>
      <c r="AW38" s="653"/>
      <c r="AX38" s="653"/>
      <c r="AY38" s="653"/>
      <c r="AZ38" s="653"/>
      <c r="BA38" s="653"/>
      <c r="BB38" s="653"/>
    </row>
    <row r="39" spans="1:54" s="175" customFormat="1" ht="12.75" hidden="1" outlineLevel="1">
      <c r="A39" s="173" t="s">
        <v>2651</v>
      </c>
      <c r="B39" s="174"/>
      <c r="C39" s="174" t="s">
        <v>2652</v>
      </c>
      <c r="D39" s="174" t="s">
        <v>2653</v>
      </c>
      <c r="E39" s="174">
        <v>41792.85</v>
      </c>
      <c r="F39" s="174">
        <v>0</v>
      </c>
      <c r="G39" s="174"/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4">
        <v>0</v>
      </c>
      <c r="P39" s="174">
        <v>0</v>
      </c>
      <c r="Q39" s="174">
        <f t="shared" si="0"/>
        <v>41792.85</v>
      </c>
      <c r="R39" s="173"/>
      <c r="S39" s="653"/>
      <c r="T39" s="653"/>
      <c r="U39" s="653"/>
      <c r="V39" s="653"/>
      <c r="W39" s="653"/>
      <c r="X39" s="653"/>
      <c r="Y39" s="653"/>
      <c r="Z39" s="653"/>
      <c r="AA39" s="653"/>
      <c r="AB39" s="653"/>
      <c r="AC39" s="653"/>
      <c r="AD39" s="653"/>
      <c r="AE39" s="653"/>
      <c r="AF39" s="653"/>
      <c r="AG39" s="653"/>
      <c r="AH39" s="653"/>
      <c r="AI39" s="653"/>
      <c r="AJ39" s="653"/>
      <c r="AK39" s="653"/>
      <c r="AL39" s="653"/>
      <c r="AM39" s="653"/>
      <c r="AN39" s="653"/>
      <c r="AO39" s="653"/>
      <c r="AP39" s="653"/>
      <c r="AQ39" s="653"/>
      <c r="AR39" s="653"/>
      <c r="AS39" s="653"/>
      <c r="AT39" s="653"/>
      <c r="AU39" s="653"/>
      <c r="AV39" s="653"/>
      <c r="AW39" s="653"/>
      <c r="AX39" s="653"/>
      <c r="AY39" s="653"/>
      <c r="AZ39" s="653"/>
      <c r="BA39" s="653"/>
      <c r="BB39" s="653"/>
    </row>
    <row r="40" spans="1:54" s="175" customFormat="1" ht="12.75" hidden="1" outlineLevel="1">
      <c r="A40" s="173" t="s">
        <v>2654</v>
      </c>
      <c r="B40" s="174"/>
      <c r="C40" s="174" t="s">
        <v>2655</v>
      </c>
      <c r="D40" s="174" t="s">
        <v>2656</v>
      </c>
      <c r="E40" s="174">
        <v>735.84</v>
      </c>
      <c r="F40" s="174">
        <v>0</v>
      </c>
      <c r="G40" s="174"/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4">
        <v>0</v>
      </c>
      <c r="P40" s="174">
        <v>0</v>
      </c>
      <c r="Q40" s="174">
        <f t="shared" si="0"/>
        <v>735.84</v>
      </c>
      <c r="R40" s="173"/>
      <c r="S40" s="653"/>
      <c r="T40" s="653"/>
      <c r="U40" s="653"/>
      <c r="V40" s="653"/>
      <c r="W40" s="653"/>
      <c r="X40" s="653"/>
      <c r="Y40" s="653"/>
      <c r="Z40" s="653"/>
      <c r="AA40" s="653"/>
      <c r="AB40" s="653"/>
      <c r="AC40" s="653"/>
      <c r="AD40" s="653"/>
      <c r="AE40" s="653"/>
      <c r="AF40" s="653"/>
      <c r="AG40" s="653"/>
      <c r="AH40" s="653"/>
      <c r="AI40" s="653"/>
      <c r="AJ40" s="653"/>
      <c r="AK40" s="653"/>
      <c r="AL40" s="653"/>
      <c r="AM40" s="653"/>
      <c r="AN40" s="653"/>
      <c r="AO40" s="653"/>
      <c r="AP40" s="653"/>
      <c r="AQ40" s="653"/>
      <c r="AR40" s="653"/>
      <c r="AS40" s="653"/>
      <c r="AT40" s="653"/>
      <c r="AU40" s="653"/>
      <c r="AV40" s="653"/>
      <c r="AW40" s="653"/>
      <c r="AX40" s="653"/>
      <c r="AY40" s="653"/>
      <c r="AZ40" s="653"/>
      <c r="BA40" s="653"/>
      <c r="BB40" s="653"/>
    </row>
    <row r="41" spans="1:54" s="175" customFormat="1" ht="12.75" hidden="1" outlineLevel="1">
      <c r="A41" s="173" t="s">
        <v>2657</v>
      </c>
      <c r="B41" s="174"/>
      <c r="C41" s="174" t="s">
        <v>2658</v>
      </c>
      <c r="D41" s="174" t="s">
        <v>2659</v>
      </c>
      <c r="E41" s="174">
        <v>261609.84</v>
      </c>
      <c r="F41" s="174">
        <v>0</v>
      </c>
      <c r="G41" s="174"/>
      <c r="H41" s="173">
        <v>0</v>
      </c>
      <c r="I41" s="173">
        <v>0</v>
      </c>
      <c r="J41" s="173">
        <v>0</v>
      </c>
      <c r="K41" s="173">
        <v>0</v>
      </c>
      <c r="L41" s="173">
        <v>0</v>
      </c>
      <c r="M41" s="173">
        <v>0</v>
      </c>
      <c r="N41" s="173">
        <v>0</v>
      </c>
      <c r="O41" s="174">
        <v>0</v>
      </c>
      <c r="P41" s="174">
        <v>0</v>
      </c>
      <c r="Q41" s="174">
        <f t="shared" si="0"/>
        <v>261609.84</v>
      </c>
      <c r="R41" s="173"/>
      <c r="S41" s="653"/>
      <c r="T41" s="653"/>
      <c r="U41" s="653"/>
      <c r="V41" s="653"/>
      <c r="W41" s="653"/>
      <c r="X41" s="653"/>
      <c r="Y41" s="653"/>
      <c r="Z41" s="653"/>
      <c r="AA41" s="653"/>
      <c r="AB41" s="653"/>
      <c r="AC41" s="653"/>
      <c r="AD41" s="653"/>
      <c r="AE41" s="653"/>
      <c r="AF41" s="653"/>
      <c r="AG41" s="653"/>
      <c r="AH41" s="653"/>
      <c r="AI41" s="653"/>
      <c r="AJ41" s="653"/>
      <c r="AK41" s="653"/>
      <c r="AL41" s="653"/>
      <c r="AM41" s="653"/>
      <c r="AN41" s="653"/>
      <c r="AO41" s="653"/>
      <c r="AP41" s="653"/>
      <c r="AQ41" s="653"/>
      <c r="AR41" s="653"/>
      <c r="AS41" s="653"/>
      <c r="AT41" s="653"/>
      <c r="AU41" s="653"/>
      <c r="AV41" s="653"/>
      <c r="AW41" s="653"/>
      <c r="AX41" s="653"/>
      <c r="AY41" s="653"/>
      <c r="AZ41" s="653"/>
      <c r="BA41" s="653"/>
      <c r="BB41" s="653"/>
    </row>
    <row r="42" spans="1:54" s="175" customFormat="1" ht="12.75" hidden="1" outlineLevel="1">
      <c r="A42" s="173" t="s">
        <v>2660</v>
      </c>
      <c r="B42" s="174"/>
      <c r="C42" s="174" t="s">
        <v>2661</v>
      </c>
      <c r="D42" s="174" t="s">
        <v>2662</v>
      </c>
      <c r="E42" s="174">
        <v>235929.64</v>
      </c>
      <c r="F42" s="174">
        <v>0</v>
      </c>
      <c r="G42" s="174"/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4">
        <v>0</v>
      </c>
      <c r="P42" s="174">
        <v>0</v>
      </c>
      <c r="Q42" s="174">
        <f t="shared" si="0"/>
        <v>235929.64</v>
      </c>
      <c r="R42" s="173"/>
      <c r="S42" s="653"/>
      <c r="T42" s="653"/>
      <c r="U42" s="653"/>
      <c r="V42" s="653"/>
      <c r="W42" s="653"/>
      <c r="X42" s="653"/>
      <c r="Y42" s="653"/>
      <c r="Z42" s="653"/>
      <c r="AA42" s="653"/>
      <c r="AB42" s="653"/>
      <c r="AC42" s="653"/>
      <c r="AD42" s="653"/>
      <c r="AE42" s="653"/>
      <c r="AF42" s="653"/>
      <c r="AG42" s="653"/>
      <c r="AH42" s="653"/>
      <c r="AI42" s="653"/>
      <c r="AJ42" s="653"/>
      <c r="AK42" s="653"/>
      <c r="AL42" s="653"/>
      <c r="AM42" s="653"/>
      <c r="AN42" s="653"/>
      <c r="AO42" s="653"/>
      <c r="AP42" s="653"/>
      <c r="AQ42" s="653"/>
      <c r="AR42" s="653"/>
      <c r="AS42" s="653"/>
      <c r="AT42" s="653"/>
      <c r="AU42" s="653"/>
      <c r="AV42" s="653"/>
      <c r="AW42" s="653"/>
      <c r="AX42" s="653"/>
      <c r="AY42" s="653"/>
      <c r="AZ42" s="653"/>
      <c r="BA42" s="653"/>
      <c r="BB42" s="653"/>
    </row>
    <row r="43" spans="1:54" s="175" customFormat="1" ht="12.75" hidden="1" outlineLevel="1">
      <c r="A43" s="173" t="s">
        <v>2663</v>
      </c>
      <c r="B43" s="174"/>
      <c r="C43" s="174" t="s">
        <v>2664</v>
      </c>
      <c r="D43" s="174" t="s">
        <v>2665</v>
      </c>
      <c r="E43" s="174">
        <v>670.98</v>
      </c>
      <c r="F43" s="174">
        <v>0</v>
      </c>
      <c r="G43" s="174"/>
      <c r="H43" s="173">
        <v>0</v>
      </c>
      <c r="I43" s="173">
        <v>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74">
        <v>0</v>
      </c>
      <c r="P43" s="174">
        <v>0</v>
      </c>
      <c r="Q43" s="174">
        <f t="shared" si="0"/>
        <v>670.98</v>
      </c>
      <c r="R43" s="173"/>
      <c r="S43" s="653"/>
      <c r="T43" s="653"/>
      <c r="U43" s="653"/>
      <c r="V43" s="653"/>
      <c r="W43" s="653"/>
      <c r="X43" s="653"/>
      <c r="Y43" s="653"/>
      <c r="Z43" s="653"/>
      <c r="AA43" s="653"/>
      <c r="AB43" s="653"/>
      <c r="AC43" s="653"/>
      <c r="AD43" s="653"/>
      <c r="AE43" s="653"/>
      <c r="AF43" s="653"/>
      <c r="AG43" s="653"/>
      <c r="AH43" s="653"/>
      <c r="AI43" s="653"/>
      <c r="AJ43" s="653"/>
      <c r="AK43" s="653"/>
      <c r="AL43" s="653"/>
      <c r="AM43" s="653"/>
      <c r="AN43" s="653"/>
      <c r="AO43" s="653"/>
      <c r="AP43" s="653"/>
      <c r="AQ43" s="653"/>
      <c r="AR43" s="653"/>
      <c r="AS43" s="653"/>
      <c r="AT43" s="653"/>
      <c r="AU43" s="653"/>
      <c r="AV43" s="653"/>
      <c r="AW43" s="653"/>
      <c r="AX43" s="653"/>
      <c r="AY43" s="653"/>
      <c r="AZ43" s="653"/>
      <c r="BA43" s="653"/>
      <c r="BB43" s="653"/>
    </row>
    <row r="44" spans="1:54" s="202" customFormat="1" ht="12.75" customHeight="1" collapsed="1">
      <c r="A44" s="199" t="s">
        <v>2666</v>
      </c>
      <c r="B44" s="199"/>
      <c r="C44" s="201" t="s">
        <v>2667</v>
      </c>
      <c r="D44" s="207"/>
      <c r="E44" s="208">
        <v>41751146.06000002</v>
      </c>
      <c r="F44" s="208">
        <v>3577752.27</v>
      </c>
      <c r="G44" s="208">
        <v>0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0</v>
      </c>
      <c r="N44" s="209">
        <v>0</v>
      </c>
      <c r="O44" s="208">
        <v>0</v>
      </c>
      <c r="P44" s="208">
        <v>0</v>
      </c>
      <c r="Q44" s="208">
        <f t="shared" si="0"/>
        <v>45328898.33000002</v>
      </c>
      <c r="R44" s="201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</row>
    <row r="45" spans="1:54" s="175" customFormat="1" ht="12.75" hidden="1" outlineLevel="1">
      <c r="A45" s="173" t="s">
        <v>2668</v>
      </c>
      <c r="B45" s="174"/>
      <c r="C45" s="174" t="s">
        <v>2669</v>
      </c>
      <c r="D45" s="174" t="s">
        <v>2670</v>
      </c>
      <c r="E45" s="210">
        <v>51791.43</v>
      </c>
      <c r="F45" s="210">
        <v>0</v>
      </c>
      <c r="G45" s="210"/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0">
        <v>0</v>
      </c>
      <c r="P45" s="210">
        <v>0</v>
      </c>
      <c r="Q45" s="210">
        <f t="shared" si="0"/>
        <v>51791.43</v>
      </c>
      <c r="R45" s="17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653"/>
      <c r="AI45" s="653"/>
      <c r="AJ45" s="653"/>
      <c r="AK45" s="653"/>
      <c r="AL45" s="653"/>
      <c r="AM45" s="653"/>
      <c r="AN45" s="653"/>
      <c r="AO45" s="653"/>
      <c r="AP45" s="653"/>
      <c r="AQ45" s="653"/>
      <c r="AR45" s="653"/>
      <c r="AS45" s="653"/>
      <c r="AT45" s="653"/>
      <c r="AU45" s="653"/>
      <c r="AV45" s="653"/>
      <c r="AW45" s="653"/>
      <c r="AX45" s="653"/>
      <c r="AY45" s="653"/>
      <c r="AZ45" s="653"/>
      <c r="BA45" s="653"/>
      <c r="BB45" s="653"/>
    </row>
    <row r="46" spans="1:54" s="175" customFormat="1" ht="12.75" hidden="1" outlineLevel="1">
      <c r="A46" s="173" t="s">
        <v>2671</v>
      </c>
      <c r="B46" s="174"/>
      <c r="C46" s="174" t="s">
        <v>2672</v>
      </c>
      <c r="D46" s="174" t="s">
        <v>2673</v>
      </c>
      <c r="E46" s="210">
        <v>2257827.32</v>
      </c>
      <c r="F46" s="210">
        <v>0</v>
      </c>
      <c r="G46" s="210"/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0">
        <v>0</v>
      </c>
      <c r="P46" s="210">
        <v>0</v>
      </c>
      <c r="Q46" s="210">
        <f t="shared" si="0"/>
        <v>2257827.32</v>
      </c>
      <c r="R46" s="17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</row>
    <row r="47" spans="1:54" s="175" customFormat="1" ht="12.75" hidden="1" outlineLevel="1">
      <c r="A47" s="173" t="s">
        <v>2674</v>
      </c>
      <c r="B47" s="174"/>
      <c r="C47" s="174" t="s">
        <v>2675</v>
      </c>
      <c r="D47" s="174" t="s">
        <v>2676</v>
      </c>
      <c r="E47" s="210">
        <v>5689052.68</v>
      </c>
      <c r="F47" s="210">
        <v>0</v>
      </c>
      <c r="G47" s="210"/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0">
        <v>0</v>
      </c>
      <c r="P47" s="210">
        <v>0</v>
      </c>
      <c r="Q47" s="210">
        <f t="shared" si="0"/>
        <v>5689052.68</v>
      </c>
      <c r="R47" s="17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3"/>
      <c r="AK47" s="653"/>
      <c r="AL47" s="653"/>
      <c r="AM47" s="653"/>
      <c r="AN47" s="653"/>
      <c r="AO47" s="653"/>
      <c r="AP47" s="653"/>
      <c r="AQ47" s="653"/>
      <c r="AR47" s="653"/>
      <c r="AS47" s="653"/>
      <c r="AT47" s="653"/>
      <c r="AU47" s="653"/>
      <c r="AV47" s="653"/>
      <c r="AW47" s="653"/>
      <c r="AX47" s="653"/>
      <c r="AY47" s="653"/>
      <c r="AZ47" s="653"/>
      <c r="BA47" s="653"/>
      <c r="BB47" s="653"/>
    </row>
    <row r="48" spans="1:54" s="175" customFormat="1" ht="12.75" hidden="1" outlineLevel="1">
      <c r="A48" s="173" t="s">
        <v>2677</v>
      </c>
      <c r="B48" s="174"/>
      <c r="C48" s="174" t="s">
        <v>2678</v>
      </c>
      <c r="D48" s="174" t="s">
        <v>2679</v>
      </c>
      <c r="E48" s="210">
        <v>20373.31</v>
      </c>
      <c r="F48" s="210">
        <v>0</v>
      </c>
      <c r="G48" s="210"/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0">
        <v>0</v>
      </c>
      <c r="P48" s="210">
        <v>0</v>
      </c>
      <c r="Q48" s="210">
        <f t="shared" si="0"/>
        <v>20373.31</v>
      </c>
      <c r="R48" s="17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3"/>
      <c r="AK48" s="653"/>
      <c r="AL48" s="653"/>
      <c r="AM48" s="653"/>
      <c r="AN48" s="653"/>
      <c r="AO48" s="653"/>
      <c r="AP48" s="653"/>
      <c r="AQ48" s="653"/>
      <c r="AR48" s="653"/>
      <c r="AS48" s="653"/>
      <c r="AT48" s="653"/>
      <c r="AU48" s="653"/>
      <c r="AV48" s="653"/>
      <c r="AW48" s="653"/>
      <c r="AX48" s="653"/>
      <c r="AY48" s="653"/>
      <c r="AZ48" s="653"/>
      <c r="BA48" s="653"/>
      <c r="BB48" s="653"/>
    </row>
    <row r="49" spans="1:54" s="175" customFormat="1" ht="12.75" hidden="1" outlineLevel="1">
      <c r="A49" s="173" t="s">
        <v>2680</v>
      </c>
      <c r="B49" s="174"/>
      <c r="C49" s="174" t="s">
        <v>2681</v>
      </c>
      <c r="D49" s="174" t="s">
        <v>2682</v>
      </c>
      <c r="E49" s="210">
        <v>4836973.16</v>
      </c>
      <c r="F49" s="210">
        <v>6520.19</v>
      </c>
      <c r="G49" s="210"/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210">
        <v>0</v>
      </c>
      <c r="P49" s="210">
        <v>0</v>
      </c>
      <c r="Q49" s="210">
        <f t="shared" si="0"/>
        <v>4843493.350000001</v>
      </c>
      <c r="R49" s="17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3"/>
      <c r="AW49" s="653"/>
      <c r="AX49" s="653"/>
      <c r="AY49" s="653"/>
      <c r="AZ49" s="653"/>
      <c r="BA49" s="653"/>
      <c r="BB49" s="653"/>
    </row>
    <row r="50" spans="1:54" s="175" customFormat="1" ht="12.75" hidden="1" outlineLevel="1">
      <c r="A50" s="173" t="s">
        <v>2683</v>
      </c>
      <c r="B50" s="174"/>
      <c r="C50" s="174" t="s">
        <v>2684</v>
      </c>
      <c r="D50" s="174" t="s">
        <v>2685</v>
      </c>
      <c r="E50" s="210">
        <v>18661.08</v>
      </c>
      <c r="F50" s="210">
        <v>0</v>
      </c>
      <c r="G50" s="210"/>
      <c r="H50" s="211">
        <v>0</v>
      </c>
      <c r="I50" s="211"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0</v>
      </c>
      <c r="O50" s="210">
        <v>0</v>
      </c>
      <c r="P50" s="210">
        <v>0</v>
      </c>
      <c r="Q50" s="210">
        <f t="shared" si="0"/>
        <v>18661.08</v>
      </c>
      <c r="R50" s="17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3"/>
      <c r="AK50" s="653"/>
      <c r="AL50" s="653"/>
      <c r="AM50" s="653"/>
      <c r="AN50" s="653"/>
      <c r="AO50" s="653"/>
      <c r="AP50" s="653"/>
      <c r="AQ50" s="653"/>
      <c r="AR50" s="653"/>
      <c r="AS50" s="653"/>
      <c r="AT50" s="653"/>
      <c r="AU50" s="653"/>
      <c r="AV50" s="653"/>
      <c r="AW50" s="653"/>
      <c r="AX50" s="653"/>
      <c r="AY50" s="653"/>
      <c r="AZ50" s="653"/>
      <c r="BA50" s="653"/>
      <c r="BB50" s="653"/>
    </row>
    <row r="51" spans="1:54" s="175" customFormat="1" ht="12.75" hidden="1" outlineLevel="1">
      <c r="A51" s="173" t="s">
        <v>2686</v>
      </c>
      <c r="B51" s="174"/>
      <c r="C51" s="174" t="s">
        <v>2687</v>
      </c>
      <c r="D51" s="174" t="s">
        <v>2688</v>
      </c>
      <c r="E51" s="210">
        <v>240795.69</v>
      </c>
      <c r="F51" s="210">
        <v>0</v>
      </c>
      <c r="G51" s="210"/>
      <c r="H51" s="211">
        <v>0</v>
      </c>
      <c r="I51" s="211">
        <v>0</v>
      </c>
      <c r="J51" s="211">
        <v>0</v>
      </c>
      <c r="K51" s="211">
        <v>0</v>
      </c>
      <c r="L51" s="211">
        <v>0</v>
      </c>
      <c r="M51" s="211">
        <v>0</v>
      </c>
      <c r="N51" s="211">
        <v>0</v>
      </c>
      <c r="O51" s="210">
        <v>0</v>
      </c>
      <c r="P51" s="210">
        <v>0</v>
      </c>
      <c r="Q51" s="210">
        <f t="shared" si="0"/>
        <v>240795.69</v>
      </c>
      <c r="R51" s="17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3"/>
      <c r="AK51" s="653"/>
      <c r="AL51" s="653"/>
      <c r="AM51" s="653"/>
      <c r="AN51" s="653"/>
      <c r="AO51" s="653"/>
      <c r="AP51" s="653"/>
      <c r="AQ51" s="653"/>
      <c r="AR51" s="653"/>
      <c r="AS51" s="653"/>
      <c r="AT51" s="653"/>
      <c r="AU51" s="653"/>
      <c r="AV51" s="653"/>
      <c r="AW51" s="653"/>
      <c r="AX51" s="653"/>
      <c r="AY51" s="653"/>
      <c r="AZ51" s="653"/>
      <c r="BA51" s="653"/>
      <c r="BB51" s="653"/>
    </row>
    <row r="52" spans="1:54" s="175" customFormat="1" ht="12.75" hidden="1" outlineLevel="1">
      <c r="A52" s="173" t="s">
        <v>2689</v>
      </c>
      <c r="B52" s="174"/>
      <c r="C52" s="174" t="s">
        <v>2690</v>
      </c>
      <c r="D52" s="174" t="s">
        <v>2691</v>
      </c>
      <c r="E52" s="210">
        <v>249674.77</v>
      </c>
      <c r="F52" s="210">
        <v>0</v>
      </c>
      <c r="G52" s="210"/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0">
        <v>0</v>
      </c>
      <c r="P52" s="210">
        <v>0</v>
      </c>
      <c r="Q52" s="210">
        <f t="shared" si="0"/>
        <v>249674.77</v>
      </c>
      <c r="R52" s="173"/>
      <c r="S52" s="653"/>
      <c r="T52" s="653"/>
      <c r="U52" s="653"/>
      <c r="V52" s="653"/>
      <c r="W52" s="653"/>
      <c r="X52" s="653"/>
      <c r="Y52" s="653"/>
      <c r="Z52" s="653"/>
      <c r="AA52" s="653"/>
      <c r="AB52" s="653"/>
      <c r="AC52" s="653"/>
      <c r="AD52" s="653"/>
      <c r="AE52" s="653"/>
      <c r="AF52" s="653"/>
      <c r="AG52" s="653"/>
      <c r="AH52" s="653"/>
      <c r="AI52" s="653"/>
      <c r="AJ52" s="653"/>
      <c r="AK52" s="653"/>
      <c r="AL52" s="653"/>
      <c r="AM52" s="653"/>
      <c r="AN52" s="653"/>
      <c r="AO52" s="653"/>
      <c r="AP52" s="653"/>
      <c r="AQ52" s="653"/>
      <c r="AR52" s="653"/>
      <c r="AS52" s="653"/>
      <c r="AT52" s="653"/>
      <c r="AU52" s="653"/>
      <c r="AV52" s="653"/>
      <c r="AW52" s="653"/>
      <c r="AX52" s="653"/>
      <c r="AY52" s="653"/>
      <c r="AZ52" s="653"/>
      <c r="BA52" s="653"/>
      <c r="BB52" s="653"/>
    </row>
    <row r="53" spans="1:54" s="175" customFormat="1" ht="12.75" hidden="1" outlineLevel="1">
      <c r="A53" s="173" t="s">
        <v>2692</v>
      </c>
      <c r="B53" s="174"/>
      <c r="C53" s="174" t="s">
        <v>2693</v>
      </c>
      <c r="D53" s="174" t="s">
        <v>2694</v>
      </c>
      <c r="E53" s="210">
        <v>564532.7</v>
      </c>
      <c r="F53" s="210">
        <v>0</v>
      </c>
      <c r="G53" s="210"/>
      <c r="H53" s="211">
        <v>0</v>
      </c>
      <c r="I53" s="211">
        <v>0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0">
        <v>0</v>
      </c>
      <c r="P53" s="210">
        <v>0</v>
      </c>
      <c r="Q53" s="210">
        <f t="shared" si="0"/>
        <v>564532.7</v>
      </c>
      <c r="R53" s="173"/>
      <c r="S53" s="653"/>
      <c r="T53" s="653"/>
      <c r="U53" s="653"/>
      <c r="V53" s="653"/>
      <c r="W53" s="653"/>
      <c r="X53" s="653"/>
      <c r="Y53" s="653"/>
      <c r="Z53" s="653"/>
      <c r="AA53" s="653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3"/>
      <c r="AW53" s="653"/>
      <c r="AX53" s="653"/>
      <c r="AY53" s="653"/>
      <c r="AZ53" s="653"/>
      <c r="BA53" s="653"/>
      <c r="BB53" s="653"/>
    </row>
    <row r="54" spans="1:54" s="175" customFormat="1" ht="12.75" hidden="1" outlineLevel="1">
      <c r="A54" s="173" t="s">
        <v>2695</v>
      </c>
      <c r="B54" s="174"/>
      <c r="C54" s="174" t="s">
        <v>2696</v>
      </c>
      <c r="D54" s="174" t="s">
        <v>2697</v>
      </c>
      <c r="E54" s="210">
        <v>-1847000</v>
      </c>
      <c r="F54" s="210">
        <v>0</v>
      </c>
      <c r="G54" s="210"/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0">
        <v>0</v>
      </c>
      <c r="P54" s="210">
        <v>0</v>
      </c>
      <c r="Q54" s="210">
        <f t="shared" si="0"/>
        <v>-1847000</v>
      </c>
      <c r="R54" s="173"/>
      <c r="S54" s="653"/>
      <c r="T54" s="653"/>
      <c r="U54" s="653"/>
      <c r="V54" s="653"/>
      <c r="W54" s="653"/>
      <c r="X54" s="653"/>
      <c r="Y54" s="653"/>
      <c r="Z54" s="653"/>
      <c r="AA54" s="653"/>
      <c r="AB54" s="653"/>
      <c r="AC54" s="653"/>
      <c r="AD54" s="653"/>
      <c r="AE54" s="653"/>
      <c r="AF54" s="653"/>
      <c r="AG54" s="653"/>
      <c r="AH54" s="653"/>
      <c r="AI54" s="653"/>
      <c r="AJ54" s="653"/>
      <c r="AK54" s="653"/>
      <c r="AL54" s="653"/>
      <c r="AM54" s="653"/>
      <c r="AN54" s="653"/>
      <c r="AO54" s="653"/>
      <c r="AP54" s="653"/>
      <c r="AQ54" s="653"/>
      <c r="AR54" s="653"/>
      <c r="AS54" s="653"/>
      <c r="AT54" s="653"/>
      <c r="AU54" s="653"/>
      <c r="AV54" s="653"/>
      <c r="AW54" s="653"/>
      <c r="AX54" s="653"/>
      <c r="AY54" s="653"/>
      <c r="AZ54" s="653"/>
      <c r="BA54" s="653"/>
      <c r="BB54" s="653"/>
    </row>
    <row r="55" spans="1:54" s="202" customFormat="1" ht="12.75" customHeight="1" collapsed="1">
      <c r="A55" s="199" t="s">
        <v>2698</v>
      </c>
      <c r="B55" s="199"/>
      <c r="C55" s="201" t="s">
        <v>2164</v>
      </c>
      <c r="D55" s="207"/>
      <c r="E55" s="103">
        <v>12082682.139999997</v>
      </c>
      <c r="F55" s="103">
        <v>6520.19</v>
      </c>
      <c r="G55" s="103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3">
        <v>0</v>
      </c>
      <c r="P55" s="103">
        <v>0</v>
      </c>
      <c r="Q55" s="103">
        <f t="shared" si="0"/>
        <v>12089202.329999996</v>
      </c>
      <c r="R55" s="201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</row>
    <row r="56" spans="1:54" s="202" customFormat="1" ht="12.75" customHeight="1">
      <c r="A56" s="203" t="s">
        <v>2108</v>
      </c>
      <c r="B56" s="199"/>
      <c r="C56" s="201" t="s">
        <v>2699</v>
      </c>
      <c r="D56" s="207"/>
      <c r="E56" s="103">
        <f aca="true" t="shared" si="1" ref="E56:Q56">E44-E55</f>
        <v>29668463.92000002</v>
      </c>
      <c r="F56" s="103">
        <f t="shared" si="1"/>
        <v>3571232.08</v>
      </c>
      <c r="G56" s="103">
        <f t="shared" si="1"/>
        <v>0</v>
      </c>
      <c r="H56" s="212">
        <f t="shared" si="1"/>
        <v>0</v>
      </c>
      <c r="I56" s="212">
        <f t="shared" si="1"/>
        <v>0</v>
      </c>
      <c r="J56" s="212">
        <f t="shared" si="1"/>
        <v>0</v>
      </c>
      <c r="K56" s="212">
        <f t="shared" si="1"/>
        <v>0</v>
      </c>
      <c r="L56" s="212">
        <f t="shared" si="1"/>
        <v>0</v>
      </c>
      <c r="M56" s="212">
        <f t="shared" si="1"/>
        <v>0</v>
      </c>
      <c r="N56" s="212">
        <f t="shared" si="1"/>
        <v>0</v>
      </c>
      <c r="O56" s="103">
        <f t="shared" si="1"/>
        <v>0</v>
      </c>
      <c r="P56" s="103">
        <f t="shared" si="1"/>
        <v>0</v>
      </c>
      <c r="Q56" s="103">
        <f t="shared" si="1"/>
        <v>33239696.000000022</v>
      </c>
      <c r="R56" s="206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</row>
    <row r="57" spans="1:54" s="202" customFormat="1" ht="12.75" customHeight="1">
      <c r="A57" s="199"/>
      <c r="B57" s="199"/>
      <c r="C57" s="201"/>
      <c r="D57" s="207"/>
      <c r="E57" s="103"/>
      <c r="F57" s="103"/>
      <c r="G57" s="103"/>
      <c r="H57" s="102"/>
      <c r="I57" s="102"/>
      <c r="J57" s="102"/>
      <c r="K57" s="102"/>
      <c r="L57" s="102"/>
      <c r="M57" s="102"/>
      <c r="N57" s="102"/>
      <c r="O57" s="103"/>
      <c r="P57" s="103"/>
      <c r="Q57" s="103"/>
      <c r="R57" s="201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</row>
    <row r="58" spans="1:54" s="202" customFormat="1" ht="12.75" customHeight="1">
      <c r="A58" s="199" t="s">
        <v>2700</v>
      </c>
      <c r="B58" s="199"/>
      <c r="C58" s="201" t="s">
        <v>2166</v>
      </c>
      <c r="D58" s="207"/>
      <c r="E58" s="103">
        <v>0</v>
      </c>
      <c r="F58" s="103">
        <v>0</v>
      </c>
      <c r="G58" s="103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3">
        <v>0</v>
      </c>
      <c r="P58" s="103">
        <v>0</v>
      </c>
      <c r="Q58" s="103">
        <f aca="true" t="shared" si="2" ref="Q58:Q73">E58+F58+G58+O58+P58</f>
        <v>0</v>
      </c>
      <c r="R58" s="201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</row>
    <row r="59" spans="1:54" s="202" customFormat="1" ht="12.75" customHeight="1">
      <c r="A59" s="199" t="s">
        <v>2701</v>
      </c>
      <c r="B59" s="199"/>
      <c r="C59" s="201" t="s">
        <v>2167</v>
      </c>
      <c r="D59" s="207"/>
      <c r="E59" s="103">
        <v>0</v>
      </c>
      <c r="F59" s="103">
        <v>0</v>
      </c>
      <c r="G59" s="103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3">
        <v>0</v>
      </c>
      <c r="P59" s="103">
        <v>0</v>
      </c>
      <c r="Q59" s="103">
        <f t="shared" si="2"/>
        <v>0</v>
      </c>
      <c r="R59" s="201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</row>
    <row r="60" spans="1:54" s="202" customFormat="1" ht="12.75" customHeight="1">
      <c r="A60" s="199" t="s">
        <v>2702</v>
      </c>
      <c r="B60" s="199"/>
      <c r="C60" s="201" t="s">
        <v>2168</v>
      </c>
      <c r="D60" s="207"/>
      <c r="E60" s="103">
        <v>0</v>
      </c>
      <c r="F60" s="103">
        <v>0</v>
      </c>
      <c r="G60" s="103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3">
        <v>0</v>
      </c>
      <c r="P60" s="103">
        <v>0</v>
      </c>
      <c r="Q60" s="103">
        <f t="shared" si="2"/>
        <v>0</v>
      </c>
      <c r="R60" s="201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</row>
    <row r="61" spans="1:54" s="175" customFormat="1" ht="12.75" hidden="1" outlineLevel="1">
      <c r="A61" s="173" t="s">
        <v>2703</v>
      </c>
      <c r="B61" s="174"/>
      <c r="C61" s="174" t="s">
        <v>2704</v>
      </c>
      <c r="D61" s="174" t="s">
        <v>2705</v>
      </c>
      <c r="E61" s="210">
        <v>-1143.62</v>
      </c>
      <c r="F61" s="210">
        <v>0</v>
      </c>
      <c r="G61" s="210"/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0">
        <v>0</v>
      </c>
      <c r="P61" s="210">
        <v>0</v>
      </c>
      <c r="Q61" s="210">
        <f t="shared" si="2"/>
        <v>-1143.62</v>
      </c>
      <c r="R61" s="17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3"/>
      <c r="AL61" s="653"/>
      <c r="AM61" s="653"/>
      <c r="AN61" s="653"/>
      <c r="AO61" s="653"/>
      <c r="AP61" s="653"/>
      <c r="AQ61" s="653"/>
      <c r="AR61" s="653"/>
      <c r="AS61" s="653"/>
      <c r="AT61" s="653"/>
      <c r="AU61" s="653"/>
      <c r="AV61" s="653"/>
      <c r="AW61" s="653"/>
      <c r="AX61" s="653"/>
      <c r="AY61" s="653"/>
      <c r="AZ61" s="653"/>
      <c r="BA61" s="653"/>
      <c r="BB61" s="653"/>
    </row>
    <row r="62" spans="1:54" s="175" customFormat="1" ht="12.75" hidden="1" outlineLevel="1">
      <c r="A62" s="173" t="s">
        <v>2706</v>
      </c>
      <c r="B62" s="174"/>
      <c r="C62" s="174" t="s">
        <v>2707</v>
      </c>
      <c r="D62" s="174" t="s">
        <v>2708</v>
      </c>
      <c r="E62" s="210">
        <v>31354.72</v>
      </c>
      <c r="F62" s="210">
        <v>0</v>
      </c>
      <c r="G62" s="210"/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0">
        <v>0</v>
      </c>
      <c r="P62" s="210">
        <v>0</v>
      </c>
      <c r="Q62" s="210">
        <f t="shared" si="2"/>
        <v>31354.72</v>
      </c>
      <c r="R62" s="173"/>
      <c r="S62" s="653"/>
      <c r="T62" s="653"/>
      <c r="U62" s="653"/>
      <c r="V62" s="653"/>
      <c r="W62" s="653"/>
      <c r="X62" s="653"/>
      <c r="Y62" s="653"/>
      <c r="Z62" s="653"/>
      <c r="AA62" s="653"/>
      <c r="AB62" s="653"/>
      <c r="AC62" s="653"/>
      <c r="AD62" s="653"/>
      <c r="AE62" s="653"/>
      <c r="AF62" s="653"/>
      <c r="AG62" s="653"/>
      <c r="AH62" s="653"/>
      <c r="AI62" s="653"/>
      <c r="AJ62" s="653"/>
      <c r="AK62" s="653"/>
      <c r="AL62" s="653"/>
      <c r="AM62" s="653"/>
      <c r="AN62" s="653"/>
      <c r="AO62" s="653"/>
      <c r="AP62" s="653"/>
      <c r="AQ62" s="653"/>
      <c r="AR62" s="653"/>
      <c r="AS62" s="653"/>
      <c r="AT62" s="653"/>
      <c r="AU62" s="653"/>
      <c r="AV62" s="653"/>
      <c r="AW62" s="653"/>
      <c r="AX62" s="653"/>
      <c r="AY62" s="653"/>
      <c r="AZ62" s="653"/>
      <c r="BA62" s="653"/>
      <c r="BB62" s="653"/>
    </row>
    <row r="63" spans="1:54" s="175" customFormat="1" ht="12.75" hidden="1" outlineLevel="1">
      <c r="A63" s="173" t="s">
        <v>2709</v>
      </c>
      <c r="B63" s="174"/>
      <c r="C63" s="174" t="s">
        <v>2710</v>
      </c>
      <c r="D63" s="174" t="s">
        <v>2711</v>
      </c>
      <c r="E63" s="210">
        <v>567.27</v>
      </c>
      <c r="F63" s="210">
        <v>0</v>
      </c>
      <c r="G63" s="210"/>
      <c r="H63" s="211">
        <v>0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0">
        <v>0</v>
      </c>
      <c r="P63" s="210">
        <v>0</v>
      </c>
      <c r="Q63" s="210">
        <f t="shared" si="2"/>
        <v>567.27</v>
      </c>
      <c r="R63" s="173"/>
      <c r="S63" s="653"/>
      <c r="T63" s="653"/>
      <c r="U63" s="653"/>
      <c r="V63" s="653"/>
      <c r="W63" s="653"/>
      <c r="X63" s="653"/>
      <c r="Y63" s="653"/>
      <c r="Z63" s="653"/>
      <c r="AA63" s="653"/>
      <c r="AB63" s="653"/>
      <c r="AC63" s="653"/>
      <c r="AD63" s="653"/>
      <c r="AE63" s="653"/>
      <c r="AF63" s="653"/>
      <c r="AG63" s="653"/>
      <c r="AH63" s="653"/>
      <c r="AI63" s="653"/>
      <c r="AJ63" s="653"/>
      <c r="AK63" s="653"/>
      <c r="AL63" s="653"/>
      <c r="AM63" s="653"/>
      <c r="AN63" s="653"/>
      <c r="AO63" s="653"/>
      <c r="AP63" s="653"/>
      <c r="AQ63" s="653"/>
      <c r="AR63" s="653"/>
      <c r="AS63" s="653"/>
      <c r="AT63" s="653"/>
      <c r="AU63" s="653"/>
      <c r="AV63" s="653"/>
      <c r="AW63" s="653"/>
      <c r="AX63" s="653"/>
      <c r="AY63" s="653"/>
      <c r="AZ63" s="653"/>
      <c r="BA63" s="653"/>
      <c r="BB63" s="653"/>
    </row>
    <row r="64" spans="1:54" s="175" customFormat="1" ht="12.75" hidden="1" outlineLevel="1">
      <c r="A64" s="173" t="s">
        <v>2712</v>
      </c>
      <c r="B64" s="174"/>
      <c r="C64" s="174" t="s">
        <v>2713</v>
      </c>
      <c r="D64" s="174" t="s">
        <v>2714</v>
      </c>
      <c r="E64" s="210">
        <v>5260.22</v>
      </c>
      <c r="F64" s="210">
        <v>0</v>
      </c>
      <c r="G64" s="210"/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0">
        <v>0</v>
      </c>
      <c r="P64" s="210">
        <v>0</v>
      </c>
      <c r="Q64" s="210">
        <f t="shared" si="2"/>
        <v>5260.22</v>
      </c>
      <c r="R64" s="173"/>
      <c r="S64" s="653"/>
      <c r="T64" s="653"/>
      <c r="U64" s="653"/>
      <c r="V64" s="653"/>
      <c r="W64" s="653"/>
      <c r="X64" s="653"/>
      <c r="Y64" s="653"/>
      <c r="Z64" s="653"/>
      <c r="AA64" s="653"/>
      <c r="AB64" s="653"/>
      <c r="AC64" s="653"/>
      <c r="AD64" s="653"/>
      <c r="AE64" s="653"/>
      <c r="AF64" s="653"/>
      <c r="AG64" s="653"/>
      <c r="AH64" s="653"/>
      <c r="AI64" s="653"/>
      <c r="AJ64" s="653"/>
      <c r="AK64" s="653"/>
      <c r="AL64" s="653"/>
      <c r="AM64" s="653"/>
      <c r="AN64" s="653"/>
      <c r="AO64" s="653"/>
      <c r="AP64" s="653"/>
      <c r="AQ64" s="653"/>
      <c r="AR64" s="653"/>
      <c r="AS64" s="653"/>
      <c r="AT64" s="653"/>
      <c r="AU64" s="653"/>
      <c r="AV64" s="653"/>
      <c r="AW64" s="653"/>
      <c r="AX64" s="653"/>
      <c r="AY64" s="653"/>
      <c r="AZ64" s="653"/>
      <c r="BA64" s="653"/>
      <c r="BB64" s="653"/>
    </row>
    <row r="65" spans="1:54" s="175" customFormat="1" ht="12.75" hidden="1" outlineLevel="1">
      <c r="A65" s="173" t="s">
        <v>2715</v>
      </c>
      <c r="B65" s="174"/>
      <c r="C65" s="174" t="s">
        <v>2716</v>
      </c>
      <c r="D65" s="174" t="s">
        <v>2717</v>
      </c>
      <c r="E65" s="210">
        <v>5596.81</v>
      </c>
      <c r="F65" s="210">
        <v>0</v>
      </c>
      <c r="G65" s="210"/>
      <c r="H65" s="211">
        <v>0</v>
      </c>
      <c r="I65" s="211">
        <v>0</v>
      </c>
      <c r="J65" s="211">
        <v>0</v>
      </c>
      <c r="K65" s="211">
        <v>0</v>
      </c>
      <c r="L65" s="211">
        <v>0</v>
      </c>
      <c r="M65" s="211">
        <v>0</v>
      </c>
      <c r="N65" s="211">
        <v>0</v>
      </c>
      <c r="O65" s="210">
        <v>0</v>
      </c>
      <c r="P65" s="210">
        <v>0</v>
      </c>
      <c r="Q65" s="210">
        <f t="shared" si="2"/>
        <v>5596.81</v>
      </c>
      <c r="R65" s="173"/>
      <c r="S65" s="653"/>
      <c r="T65" s="653"/>
      <c r="U65" s="653"/>
      <c r="V65" s="653"/>
      <c r="W65" s="653"/>
      <c r="X65" s="653"/>
      <c r="Y65" s="653"/>
      <c r="Z65" s="653"/>
      <c r="AA65" s="653"/>
      <c r="AB65" s="653"/>
      <c r="AC65" s="653"/>
      <c r="AD65" s="653"/>
      <c r="AE65" s="653"/>
      <c r="AF65" s="653"/>
      <c r="AG65" s="653"/>
      <c r="AH65" s="653"/>
      <c r="AI65" s="653"/>
      <c r="AJ65" s="653"/>
      <c r="AK65" s="653"/>
      <c r="AL65" s="653"/>
      <c r="AM65" s="653"/>
      <c r="AN65" s="653"/>
      <c r="AO65" s="653"/>
      <c r="AP65" s="653"/>
      <c r="AQ65" s="653"/>
      <c r="AR65" s="653"/>
      <c r="AS65" s="653"/>
      <c r="AT65" s="653"/>
      <c r="AU65" s="653"/>
      <c r="AV65" s="653"/>
      <c r="AW65" s="653"/>
      <c r="AX65" s="653"/>
      <c r="AY65" s="653"/>
      <c r="AZ65" s="653"/>
      <c r="BA65" s="653"/>
      <c r="BB65" s="653"/>
    </row>
    <row r="66" spans="1:54" s="175" customFormat="1" ht="12.75" hidden="1" outlineLevel="1">
      <c r="A66" s="173" t="s">
        <v>2718</v>
      </c>
      <c r="B66" s="174"/>
      <c r="C66" s="174" t="s">
        <v>2719</v>
      </c>
      <c r="D66" s="174" t="s">
        <v>2720</v>
      </c>
      <c r="E66" s="210">
        <v>18.55</v>
      </c>
      <c r="F66" s="210">
        <v>0</v>
      </c>
      <c r="G66" s="210"/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0">
        <v>0</v>
      </c>
      <c r="P66" s="210">
        <v>0</v>
      </c>
      <c r="Q66" s="210">
        <f t="shared" si="2"/>
        <v>18.55</v>
      </c>
      <c r="R66" s="173"/>
      <c r="S66" s="653"/>
      <c r="T66" s="653"/>
      <c r="U66" s="653"/>
      <c r="V66" s="653"/>
      <c r="W66" s="653"/>
      <c r="X66" s="653"/>
      <c r="Y66" s="653"/>
      <c r="Z66" s="653"/>
      <c r="AA66" s="653"/>
      <c r="AB66" s="653"/>
      <c r="AC66" s="653"/>
      <c r="AD66" s="653"/>
      <c r="AE66" s="653"/>
      <c r="AF66" s="653"/>
      <c r="AG66" s="653"/>
      <c r="AH66" s="653"/>
      <c r="AI66" s="653"/>
      <c r="AJ66" s="653"/>
      <c r="AK66" s="653"/>
      <c r="AL66" s="653"/>
      <c r="AM66" s="653"/>
      <c r="AN66" s="653"/>
      <c r="AO66" s="653"/>
      <c r="AP66" s="653"/>
      <c r="AQ66" s="653"/>
      <c r="AR66" s="653"/>
      <c r="AS66" s="653"/>
      <c r="AT66" s="653"/>
      <c r="AU66" s="653"/>
      <c r="AV66" s="653"/>
      <c r="AW66" s="653"/>
      <c r="AX66" s="653"/>
      <c r="AY66" s="653"/>
      <c r="AZ66" s="653"/>
      <c r="BA66" s="653"/>
      <c r="BB66" s="653"/>
    </row>
    <row r="67" spans="1:54" s="175" customFormat="1" ht="12.75" hidden="1" outlineLevel="1">
      <c r="A67" s="173" t="s">
        <v>2721</v>
      </c>
      <c r="B67" s="174"/>
      <c r="C67" s="174" t="s">
        <v>2722</v>
      </c>
      <c r="D67" s="174" t="s">
        <v>2723</v>
      </c>
      <c r="E67" s="210">
        <v>221360.42</v>
      </c>
      <c r="F67" s="210">
        <v>8636.9</v>
      </c>
      <c r="G67" s="210"/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1">
        <v>0</v>
      </c>
      <c r="N67" s="211">
        <v>0</v>
      </c>
      <c r="O67" s="210">
        <v>0</v>
      </c>
      <c r="P67" s="210">
        <v>0</v>
      </c>
      <c r="Q67" s="210">
        <f t="shared" si="2"/>
        <v>229997.32</v>
      </c>
      <c r="R67" s="173"/>
      <c r="S67" s="653"/>
      <c r="T67" s="653"/>
      <c r="U67" s="653"/>
      <c r="V67" s="653"/>
      <c r="W67" s="653"/>
      <c r="X67" s="653"/>
      <c r="Y67" s="653"/>
      <c r="Z67" s="653"/>
      <c r="AA67" s="653"/>
      <c r="AB67" s="653"/>
      <c r="AC67" s="653"/>
      <c r="AD67" s="653"/>
      <c r="AE67" s="653"/>
      <c r="AF67" s="653"/>
      <c r="AG67" s="653"/>
      <c r="AH67" s="653"/>
      <c r="AI67" s="653"/>
      <c r="AJ67" s="653"/>
      <c r="AK67" s="653"/>
      <c r="AL67" s="653"/>
      <c r="AM67" s="653"/>
      <c r="AN67" s="653"/>
      <c r="AO67" s="653"/>
      <c r="AP67" s="653"/>
      <c r="AQ67" s="653"/>
      <c r="AR67" s="653"/>
      <c r="AS67" s="653"/>
      <c r="AT67" s="653"/>
      <c r="AU67" s="653"/>
      <c r="AV67" s="653"/>
      <c r="AW67" s="653"/>
      <c r="AX67" s="653"/>
      <c r="AY67" s="653"/>
      <c r="AZ67" s="653"/>
      <c r="BA67" s="653"/>
      <c r="BB67" s="653"/>
    </row>
    <row r="68" spans="1:54" s="175" customFormat="1" ht="12.75" hidden="1" outlineLevel="1">
      <c r="A68" s="173" t="s">
        <v>2724</v>
      </c>
      <c r="B68" s="174"/>
      <c r="C68" s="174" t="s">
        <v>2725</v>
      </c>
      <c r="D68" s="174" t="s">
        <v>2726</v>
      </c>
      <c r="E68" s="210">
        <v>35057.09</v>
      </c>
      <c r="F68" s="210">
        <v>0</v>
      </c>
      <c r="G68" s="210"/>
      <c r="H68" s="211">
        <v>0</v>
      </c>
      <c r="I68" s="211">
        <v>0</v>
      </c>
      <c r="J68" s="211">
        <v>0</v>
      </c>
      <c r="K68" s="211">
        <v>0</v>
      </c>
      <c r="L68" s="211">
        <v>0</v>
      </c>
      <c r="M68" s="211">
        <v>0</v>
      </c>
      <c r="N68" s="211">
        <v>0</v>
      </c>
      <c r="O68" s="210">
        <v>0</v>
      </c>
      <c r="P68" s="210">
        <v>0</v>
      </c>
      <c r="Q68" s="210">
        <f t="shared" si="2"/>
        <v>35057.09</v>
      </c>
      <c r="R68" s="173"/>
      <c r="S68" s="653"/>
      <c r="T68" s="653"/>
      <c r="U68" s="653"/>
      <c r="V68" s="653"/>
      <c r="W68" s="653"/>
      <c r="X68" s="653"/>
      <c r="Y68" s="653"/>
      <c r="Z68" s="653"/>
      <c r="AA68" s="653"/>
      <c r="AB68" s="653"/>
      <c r="AC68" s="653"/>
      <c r="AD68" s="653"/>
      <c r="AE68" s="653"/>
      <c r="AF68" s="653"/>
      <c r="AG68" s="653"/>
      <c r="AH68" s="653"/>
      <c r="AI68" s="653"/>
      <c r="AJ68" s="653"/>
      <c r="AK68" s="653"/>
      <c r="AL68" s="653"/>
      <c r="AM68" s="653"/>
      <c r="AN68" s="653"/>
      <c r="AO68" s="653"/>
      <c r="AP68" s="653"/>
      <c r="AQ68" s="653"/>
      <c r="AR68" s="653"/>
      <c r="AS68" s="653"/>
      <c r="AT68" s="653"/>
      <c r="AU68" s="653"/>
      <c r="AV68" s="653"/>
      <c r="AW68" s="653"/>
      <c r="AX68" s="653"/>
      <c r="AY68" s="653"/>
      <c r="AZ68" s="653"/>
      <c r="BA68" s="653"/>
      <c r="BB68" s="653"/>
    </row>
    <row r="69" spans="1:54" s="175" customFormat="1" ht="12.75" hidden="1" outlineLevel="1">
      <c r="A69" s="173" t="s">
        <v>2727</v>
      </c>
      <c r="B69" s="174"/>
      <c r="C69" s="174" t="s">
        <v>2728</v>
      </c>
      <c r="D69" s="174" t="s">
        <v>2729</v>
      </c>
      <c r="E69" s="210">
        <v>12726.74</v>
      </c>
      <c r="F69" s="210">
        <v>4695</v>
      </c>
      <c r="G69" s="210"/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0">
        <v>0</v>
      </c>
      <c r="P69" s="210">
        <v>0</v>
      </c>
      <c r="Q69" s="210">
        <f t="shared" si="2"/>
        <v>17421.739999999998</v>
      </c>
      <c r="R69" s="173"/>
      <c r="S69" s="653"/>
      <c r="T69" s="653"/>
      <c r="U69" s="653"/>
      <c r="V69" s="653"/>
      <c r="W69" s="653"/>
      <c r="X69" s="653"/>
      <c r="Y69" s="653"/>
      <c r="Z69" s="653"/>
      <c r="AA69" s="653"/>
      <c r="AB69" s="653"/>
      <c r="AC69" s="653"/>
      <c r="AD69" s="653"/>
      <c r="AE69" s="653"/>
      <c r="AF69" s="653"/>
      <c r="AG69" s="653"/>
      <c r="AH69" s="653"/>
      <c r="AI69" s="653"/>
      <c r="AJ69" s="653"/>
      <c r="AK69" s="653"/>
      <c r="AL69" s="653"/>
      <c r="AM69" s="653"/>
      <c r="AN69" s="653"/>
      <c r="AO69" s="653"/>
      <c r="AP69" s="653"/>
      <c r="AQ69" s="653"/>
      <c r="AR69" s="653"/>
      <c r="AS69" s="653"/>
      <c r="AT69" s="653"/>
      <c r="AU69" s="653"/>
      <c r="AV69" s="653"/>
      <c r="AW69" s="653"/>
      <c r="AX69" s="653"/>
      <c r="AY69" s="653"/>
      <c r="AZ69" s="653"/>
      <c r="BA69" s="653"/>
      <c r="BB69" s="653"/>
    </row>
    <row r="70" spans="1:54" s="175" customFormat="1" ht="12.75" hidden="1" outlineLevel="1">
      <c r="A70" s="173" t="s">
        <v>2730</v>
      </c>
      <c r="B70" s="174"/>
      <c r="C70" s="174" t="s">
        <v>2731</v>
      </c>
      <c r="D70" s="174" t="s">
        <v>2732</v>
      </c>
      <c r="E70" s="210">
        <v>380.45</v>
      </c>
      <c r="F70" s="210">
        <v>0</v>
      </c>
      <c r="G70" s="210"/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0">
        <v>0</v>
      </c>
      <c r="P70" s="210">
        <v>0</v>
      </c>
      <c r="Q70" s="210">
        <f t="shared" si="2"/>
        <v>380.45</v>
      </c>
      <c r="R70" s="173"/>
      <c r="S70" s="653"/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3"/>
      <c r="AK70" s="653"/>
      <c r="AL70" s="653"/>
      <c r="AM70" s="653"/>
      <c r="AN70" s="653"/>
      <c r="AO70" s="653"/>
      <c r="AP70" s="653"/>
      <c r="AQ70" s="653"/>
      <c r="AR70" s="653"/>
      <c r="AS70" s="653"/>
      <c r="AT70" s="653"/>
      <c r="AU70" s="653"/>
      <c r="AV70" s="653"/>
      <c r="AW70" s="653"/>
      <c r="AX70" s="653"/>
      <c r="AY70" s="653"/>
      <c r="AZ70" s="653"/>
      <c r="BA70" s="653"/>
      <c r="BB70" s="653"/>
    </row>
    <row r="71" spans="1:54" s="175" customFormat="1" ht="12.75" hidden="1" outlineLevel="1">
      <c r="A71" s="173" t="s">
        <v>2733</v>
      </c>
      <c r="B71" s="174"/>
      <c r="C71" s="174" t="s">
        <v>2734</v>
      </c>
      <c r="D71" s="174" t="s">
        <v>2735</v>
      </c>
      <c r="E71" s="210">
        <v>5095.85</v>
      </c>
      <c r="F71" s="210">
        <v>0</v>
      </c>
      <c r="G71" s="210"/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0">
        <v>0</v>
      </c>
      <c r="P71" s="210">
        <v>0</v>
      </c>
      <c r="Q71" s="210">
        <f t="shared" si="2"/>
        <v>5095.85</v>
      </c>
      <c r="R71" s="173"/>
      <c r="S71" s="653"/>
      <c r="T71" s="653"/>
      <c r="U71" s="653"/>
      <c r="V71" s="653"/>
      <c r="W71" s="653"/>
      <c r="X71" s="653"/>
      <c r="Y71" s="653"/>
      <c r="Z71" s="653"/>
      <c r="AA71" s="653"/>
      <c r="AB71" s="653"/>
      <c r="AC71" s="653"/>
      <c r="AD71" s="653"/>
      <c r="AE71" s="653"/>
      <c r="AF71" s="653"/>
      <c r="AG71" s="653"/>
      <c r="AH71" s="653"/>
      <c r="AI71" s="653"/>
      <c r="AJ71" s="653"/>
      <c r="AK71" s="653"/>
      <c r="AL71" s="653"/>
      <c r="AM71" s="653"/>
      <c r="AN71" s="653"/>
      <c r="AO71" s="653"/>
      <c r="AP71" s="653"/>
      <c r="AQ71" s="653"/>
      <c r="AR71" s="653"/>
      <c r="AS71" s="653"/>
      <c r="AT71" s="653"/>
      <c r="AU71" s="653"/>
      <c r="AV71" s="653"/>
      <c r="AW71" s="653"/>
      <c r="AX71" s="653"/>
      <c r="AY71" s="653"/>
      <c r="AZ71" s="653"/>
      <c r="BA71" s="653"/>
      <c r="BB71" s="653"/>
    </row>
    <row r="72" spans="1:54" s="175" customFormat="1" ht="12.75" hidden="1" outlineLevel="1">
      <c r="A72" s="173" t="s">
        <v>2736</v>
      </c>
      <c r="B72" s="174"/>
      <c r="C72" s="174" t="s">
        <v>2737</v>
      </c>
      <c r="D72" s="174" t="s">
        <v>2738</v>
      </c>
      <c r="E72" s="210">
        <v>-101.58</v>
      </c>
      <c r="F72" s="210">
        <v>0</v>
      </c>
      <c r="G72" s="210"/>
      <c r="H72" s="211">
        <v>0</v>
      </c>
      <c r="I72" s="211">
        <v>0</v>
      </c>
      <c r="J72" s="211">
        <v>0</v>
      </c>
      <c r="K72" s="211">
        <v>0</v>
      </c>
      <c r="L72" s="211">
        <v>0</v>
      </c>
      <c r="M72" s="211">
        <v>0</v>
      </c>
      <c r="N72" s="211">
        <v>0</v>
      </c>
      <c r="O72" s="210">
        <v>0</v>
      </c>
      <c r="P72" s="210">
        <v>0</v>
      </c>
      <c r="Q72" s="210">
        <f t="shared" si="2"/>
        <v>-101.58</v>
      </c>
      <c r="R72" s="173"/>
      <c r="S72" s="653"/>
      <c r="T72" s="653"/>
      <c r="U72" s="653"/>
      <c r="V72" s="653"/>
      <c r="W72" s="653"/>
      <c r="X72" s="653"/>
      <c r="Y72" s="653"/>
      <c r="Z72" s="653"/>
      <c r="AA72" s="653"/>
      <c r="AB72" s="653"/>
      <c r="AC72" s="653"/>
      <c r="AD72" s="653"/>
      <c r="AE72" s="653"/>
      <c r="AF72" s="653"/>
      <c r="AG72" s="653"/>
      <c r="AH72" s="653"/>
      <c r="AI72" s="653"/>
      <c r="AJ72" s="653"/>
      <c r="AK72" s="653"/>
      <c r="AL72" s="653"/>
      <c r="AM72" s="653"/>
      <c r="AN72" s="653"/>
      <c r="AO72" s="653"/>
      <c r="AP72" s="653"/>
      <c r="AQ72" s="653"/>
      <c r="AR72" s="653"/>
      <c r="AS72" s="653"/>
      <c r="AT72" s="653"/>
      <c r="AU72" s="653"/>
      <c r="AV72" s="653"/>
      <c r="AW72" s="653"/>
      <c r="AX72" s="653"/>
      <c r="AY72" s="653"/>
      <c r="AZ72" s="653"/>
      <c r="BA72" s="653"/>
      <c r="BB72" s="653"/>
    </row>
    <row r="73" spans="1:54" s="202" customFormat="1" ht="12.75" customHeight="1" collapsed="1">
      <c r="A73" s="199" t="s">
        <v>2739</v>
      </c>
      <c r="B73" s="199"/>
      <c r="C73" s="201" t="s">
        <v>2740</v>
      </c>
      <c r="D73" s="207"/>
      <c r="E73" s="103">
        <v>316172.92</v>
      </c>
      <c r="F73" s="103">
        <v>13331.9</v>
      </c>
      <c r="G73" s="103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3">
        <v>0</v>
      </c>
      <c r="P73" s="103">
        <v>0</v>
      </c>
      <c r="Q73" s="103">
        <f t="shared" si="2"/>
        <v>329504.82</v>
      </c>
      <c r="R73" s="201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</row>
    <row r="74" spans="1:54" s="202" customFormat="1" ht="12.75" customHeight="1">
      <c r="A74" s="199"/>
      <c r="B74" s="199"/>
      <c r="C74" s="201" t="s">
        <v>2741</v>
      </c>
      <c r="D74" s="207"/>
      <c r="E74" s="103"/>
      <c r="F74" s="103"/>
      <c r="G74" s="103"/>
      <c r="H74" s="102"/>
      <c r="I74" s="102"/>
      <c r="J74" s="102"/>
      <c r="K74" s="102"/>
      <c r="L74" s="102"/>
      <c r="M74" s="102"/>
      <c r="N74" s="102"/>
      <c r="O74" s="103"/>
      <c r="P74" s="103"/>
      <c r="Q74" s="103"/>
      <c r="R74" s="201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</row>
    <row r="75" spans="1:54" s="202" customFormat="1" ht="12.75" customHeight="1">
      <c r="A75" s="199"/>
      <c r="B75" s="199"/>
      <c r="C75" s="201" t="s">
        <v>2742</v>
      </c>
      <c r="D75" s="207"/>
      <c r="E75" s="103">
        <v>0</v>
      </c>
      <c r="F75" s="103">
        <v>0</v>
      </c>
      <c r="G75" s="103">
        <v>0</v>
      </c>
      <c r="H75" s="102"/>
      <c r="I75" s="102"/>
      <c r="J75" s="102"/>
      <c r="K75" s="102"/>
      <c r="L75" s="102"/>
      <c r="M75" s="102"/>
      <c r="N75" s="102"/>
      <c r="O75" s="103">
        <v>0</v>
      </c>
      <c r="P75" s="103">
        <v>0</v>
      </c>
      <c r="Q75" s="103">
        <f aca="true" t="shared" si="3" ref="Q75:Q93">E75+F75+G75+O75+P75</f>
        <v>0</v>
      </c>
      <c r="R75" s="201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</row>
    <row r="76" spans="1:54" s="202" customFormat="1" ht="12.75" customHeight="1">
      <c r="A76" s="199"/>
      <c r="B76" s="199"/>
      <c r="C76" s="201" t="s">
        <v>2171</v>
      </c>
      <c r="D76" s="207"/>
      <c r="E76" s="103">
        <v>0</v>
      </c>
      <c r="F76" s="103">
        <v>0</v>
      </c>
      <c r="G76" s="103">
        <v>7249679.4799999995</v>
      </c>
      <c r="H76" s="102"/>
      <c r="I76" s="102"/>
      <c r="J76" s="102"/>
      <c r="K76" s="102"/>
      <c r="L76" s="102"/>
      <c r="M76" s="102"/>
      <c r="N76" s="102"/>
      <c r="O76" s="103">
        <v>0</v>
      </c>
      <c r="P76" s="103">
        <v>0</v>
      </c>
      <c r="Q76" s="103">
        <f t="shared" si="3"/>
        <v>7249679.4799999995</v>
      </c>
      <c r="R76" s="201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</row>
    <row r="77" spans="1:54" s="202" customFormat="1" ht="12.75" customHeight="1">
      <c r="A77" s="199"/>
      <c r="B77" s="199"/>
      <c r="C77" s="201" t="s">
        <v>2172</v>
      </c>
      <c r="D77" s="207"/>
      <c r="E77" s="103">
        <v>0</v>
      </c>
      <c r="F77" s="103">
        <v>0</v>
      </c>
      <c r="G77" s="103">
        <v>0</v>
      </c>
      <c r="H77" s="102"/>
      <c r="I77" s="102"/>
      <c r="J77" s="102"/>
      <c r="K77" s="102"/>
      <c r="L77" s="102"/>
      <c r="M77" s="102"/>
      <c r="N77" s="102"/>
      <c r="O77" s="103">
        <v>0</v>
      </c>
      <c r="P77" s="103">
        <v>0</v>
      </c>
      <c r="Q77" s="103">
        <f t="shared" si="3"/>
        <v>0</v>
      </c>
      <c r="R77" s="201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</row>
    <row r="78" spans="1:54" s="202" customFormat="1" ht="12.75" customHeight="1">
      <c r="A78" s="199" t="s">
        <v>2743</v>
      </c>
      <c r="B78" s="199"/>
      <c r="C78" s="201" t="s">
        <v>2744</v>
      </c>
      <c r="D78" s="207"/>
      <c r="E78" s="103">
        <v>0</v>
      </c>
      <c r="F78" s="103">
        <v>0</v>
      </c>
      <c r="G78" s="103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3">
        <v>0</v>
      </c>
      <c r="P78" s="103">
        <v>0</v>
      </c>
      <c r="Q78" s="103">
        <f t="shared" si="3"/>
        <v>0</v>
      </c>
      <c r="R78" s="201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</row>
    <row r="79" spans="1:54" s="202" customFormat="1" ht="12.75" customHeight="1">
      <c r="A79" s="199"/>
      <c r="B79" s="199"/>
      <c r="C79" s="201" t="s">
        <v>2173</v>
      </c>
      <c r="D79" s="207"/>
      <c r="E79" s="103">
        <v>0</v>
      </c>
      <c r="F79" s="103">
        <v>0</v>
      </c>
      <c r="G79" s="103">
        <v>1799956.01</v>
      </c>
      <c r="H79" s="102"/>
      <c r="I79" s="102"/>
      <c r="J79" s="102"/>
      <c r="K79" s="102"/>
      <c r="L79" s="102"/>
      <c r="M79" s="102"/>
      <c r="N79" s="102"/>
      <c r="O79" s="103">
        <v>0</v>
      </c>
      <c r="P79" s="103">
        <v>0</v>
      </c>
      <c r="Q79" s="103">
        <f t="shared" si="3"/>
        <v>1799956.01</v>
      </c>
      <c r="R79" s="201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</row>
    <row r="80" spans="1:54" s="202" customFormat="1" ht="12.75" customHeight="1">
      <c r="A80" s="199" t="s">
        <v>2745</v>
      </c>
      <c r="B80" s="199"/>
      <c r="C80" s="201" t="s">
        <v>2174</v>
      </c>
      <c r="D80" s="207"/>
      <c r="E80" s="103">
        <v>0</v>
      </c>
      <c r="F80" s="103">
        <v>0</v>
      </c>
      <c r="G80" s="103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3">
        <v>0</v>
      </c>
      <c r="P80" s="103">
        <v>0</v>
      </c>
      <c r="Q80" s="103">
        <f t="shared" si="3"/>
        <v>0</v>
      </c>
      <c r="R80" s="201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</row>
    <row r="81" spans="1:54" s="175" customFormat="1" ht="12.75" hidden="1" outlineLevel="1">
      <c r="A81" s="173" t="s">
        <v>2746</v>
      </c>
      <c r="B81" s="174"/>
      <c r="C81" s="174" t="s">
        <v>2747</v>
      </c>
      <c r="D81" s="174" t="s">
        <v>2748</v>
      </c>
      <c r="E81" s="210">
        <v>179793.43</v>
      </c>
      <c r="F81" s="210">
        <v>0</v>
      </c>
      <c r="G81" s="210"/>
      <c r="H81" s="211">
        <v>0</v>
      </c>
      <c r="I81" s="211">
        <v>0</v>
      </c>
      <c r="J81" s="211">
        <v>0</v>
      </c>
      <c r="K81" s="211">
        <v>0</v>
      </c>
      <c r="L81" s="211">
        <v>0</v>
      </c>
      <c r="M81" s="211">
        <v>0</v>
      </c>
      <c r="N81" s="211">
        <v>0</v>
      </c>
      <c r="O81" s="210">
        <v>0</v>
      </c>
      <c r="P81" s="210">
        <v>0</v>
      </c>
      <c r="Q81" s="210">
        <f t="shared" si="3"/>
        <v>179793.43</v>
      </c>
      <c r="R81" s="173"/>
      <c r="S81" s="653"/>
      <c r="T81" s="653"/>
      <c r="U81" s="653"/>
      <c r="V81" s="653"/>
      <c r="W81" s="653"/>
      <c r="X81" s="653"/>
      <c r="Y81" s="653"/>
      <c r="Z81" s="653"/>
      <c r="AA81" s="653"/>
      <c r="AB81" s="653"/>
      <c r="AC81" s="653"/>
      <c r="AD81" s="653"/>
      <c r="AE81" s="653"/>
      <c r="AF81" s="653"/>
      <c r="AG81" s="653"/>
      <c r="AH81" s="653"/>
      <c r="AI81" s="653"/>
      <c r="AJ81" s="653"/>
      <c r="AK81" s="653"/>
      <c r="AL81" s="653"/>
      <c r="AM81" s="653"/>
      <c r="AN81" s="653"/>
      <c r="AO81" s="653"/>
      <c r="AP81" s="653"/>
      <c r="AQ81" s="653"/>
      <c r="AR81" s="653"/>
      <c r="AS81" s="653"/>
      <c r="AT81" s="653"/>
      <c r="AU81" s="653"/>
      <c r="AV81" s="653"/>
      <c r="AW81" s="653"/>
      <c r="AX81" s="653"/>
      <c r="AY81" s="653"/>
      <c r="AZ81" s="653"/>
      <c r="BA81" s="653"/>
      <c r="BB81" s="653"/>
    </row>
    <row r="82" spans="1:54" s="175" customFormat="1" ht="12.75" hidden="1" outlineLevel="1">
      <c r="A82" s="173" t="s">
        <v>2749</v>
      </c>
      <c r="B82" s="174"/>
      <c r="C82" s="174" t="s">
        <v>2750</v>
      </c>
      <c r="D82" s="174" t="s">
        <v>2751</v>
      </c>
      <c r="E82" s="210">
        <v>55258.33</v>
      </c>
      <c r="F82" s="210">
        <v>0</v>
      </c>
      <c r="G82" s="210"/>
      <c r="H82" s="211">
        <v>0</v>
      </c>
      <c r="I82" s="211">
        <v>0</v>
      </c>
      <c r="J82" s="211">
        <v>0</v>
      </c>
      <c r="K82" s="211">
        <v>0</v>
      </c>
      <c r="L82" s="211">
        <v>7713.15</v>
      </c>
      <c r="M82" s="211">
        <v>0</v>
      </c>
      <c r="N82" s="211">
        <v>256.72</v>
      </c>
      <c r="O82" s="210">
        <v>7969.87</v>
      </c>
      <c r="P82" s="210">
        <v>0</v>
      </c>
      <c r="Q82" s="210">
        <f t="shared" si="3"/>
        <v>63228.200000000004</v>
      </c>
      <c r="R82" s="173"/>
      <c r="S82" s="653"/>
      <c r="T82" s="653"/>
      <c r="U82" s="653"/>
      <c r="V82" s="653"/>
      <c r="W82" s="653"/>
      <c r="X82" s="653"/>
      <c r="Y82" s="653"/>
      <c r="Z82" s="653"/>
      <c r="AA82" s="653"/>
      <c r="AB82" s="653"/>
      <c r="AC82" s="653"/>
      <c r="AD82" s="653"/>
      <c r="AE82" s="653"/>
      <c r="AF82" s="653"/>
      <c r="AG82" s="653"/>
      <c r="AH82" s="653"/>
      <c r="AI82" s="653"/>
      <c r="AJ82" s="653"/>
      <c r="AK82" s="653"/>
      <c r="AL82" s="653"/>
      <c r="AM82" s="653"/>
      <c r="AN82" s="653"/>
      <c r="AO82" s="653"/>
      <c r="AP82" s="653"/>
      <c r="AQ82" s="653"/>
      <c r="AR82" s="653"/>
      <c r="AS82" s="653"/>
      <c r="AT82" s="653"/>
      <c r="AU82" s="653"/>
      <c r="AV82" s="653"/>
      <c r="AW82" s="653"/>
      <c r="AX82" s="653"/>
      <c r="AY82" s="653"/>
      <c r="AZ82" s="653"/>
      <c r="BA82" s="653"/>
      <c r="BB82" s="653"/>
    </row>
    <row r="83" spans="1:54" s="175" customFormat="1" ht="12.75" hidden="1" outlineLevel="1">
      <c r="A83" s="173" t="s">
        <v>2752</v>
      </c>
      <c r="B83" s="174"/>
      <c r="C83" s="174" t="s">
        <v>2753</v>
      </c>
      <c r="D83" s="174" t="s">
        <v>2754</v>
      </c>
      <c r="E83" s="210">
        <v>748031.62</v>
      </c>
      <c r="F83" s="210">
        <v>-41740.77</v>
      </c>
      <c r="G83" s="210"/>
      <c r="H83" s="211">
        <v>0</v>
      </c>
      <c r="I83" s="211">
        <v>0</v>
      </c>
      <c r="J83" s="211">
        <v>29310.96</v>
      </c>
      <c r="K83" s="211">
        <v>0</v>
      </c>
      <c r="L83" s="211">
        <v>5060.01</v>
      </c>
      <c r="M83" s="211">
        <v>0</v>
      </c>
      <c r="N83" s="211">
        <v>41.52</v>
      </c>
      <c r="O83" s="210">
        <v>34412.49</v>
      </c>
      <c r="P83" s="210">
        <v>0</v>
      </c>
      <c r="Q83" s="210">
        <f t="shared" si="3"/>
        <v>740703.34</v>
      </c>
      <c r="R83" s="173"/>
      <c r="S83" s="653"/>
      <c r="T83" s="653"/>
      <c r="U83" s="653"/>
      <c r="V83" s="653"/>
      <c r="W83" s="653"/>
      <c r="X83" s="653"/>
      <c r="Y83" s="653"/>
      <c r="Z83" s="653"/>
      <c r="AA83" s="653"/>
      <c r="AB83" s="653"/>
      <c r="AC83" s="653"/>
      <c r="AD83" s="653"/>
      <c r="AE83" s="653"/>
      <c r="AF83" s="653"/>
      <c r="AG83" s="653"/>
      <c r="AH83" s="653"/>
      <c r="AI83" s="653"/>
      <c r="AJ83" s="653"/>
      <c r="AK83" s="653"/>
      <c r="AL83" s="653"/>
      <c r="AM83" s="653"/>
      <c r="AN83" s="653"/>
      <c r="AO83" s="653"/>
      <c r="AP83" s="653"/>
      <c r="AQ83" s="653"/>
      <c r="AR83" s="653"/>
      <c r="AS83" s="653"/>
      <c r="AT83" s="653"/>
      <c r="AU83" s="653"/>
      <c r="AV83" s="653"/>
      <c r="AW83" s="653"/>
      <c r="AX83" s="653"/>
      <c r="AY83" s="653"/>
      <c r="AZ83" s="653"/>
      <c r="BA83" s="653"/>
      <c r="BB83" s="653"/>
    </row>
    <row r="84" spans="1:54" s="175" customFormat="1" ht="12.75" hidden="1" outlineLevel="1">
      <c r="A84" s="173" t="s">
        <v>2755</v>
      </c>
      <c r="B84" s="174"/>
      <c r="C84" s="174" t="s">
        <v>2756</v>
      </c>
      <c r="D84" s="174" t="s">
        <v>2757</v>
      </c>
      <c r="E84" s="210">
        <v>4717.38</v>
      </c>
      <c r="F84" s="210">
        <v>0</v>
      </c>
      <c r="G84" s="210"/>
      <c r="H84" s="211">
        <v>0</v>
      </c>
      <c r="I84" s="211">
        <v>0</v>
      </c>
      <c r="J84" s="211">
        <v>0</v>
      </c>
      <c r="K84" s="211">
        <v>0</v>
      </c>
      <c r="L84" s="211">
        <v>0</v>
      </c>
      <c r="M84" s="211">
        <v>0</v>
      </c>
      <c r="N84" s="211">
        <v>0</v>
      </c>
      <c r="O84" s="210">
        <v>0</v>
      </c>
      <c r="P84" s="210">
        <v>0</v>
      </c>
      <c r="Q84" s="210">
        <f t="shared" si="3"/>
        <v>4717.38</v>
      </c>
      <c r="R84" s="173"/>
      <c r="S84" s="653"/>
      <c r="T84" s="653"/>
      <c r="U84" s="653"/>
      <c r="V84" s="653"/>
      <c r="W84" s="653"/>
      <c r="X84" s="653"/>
      <c r="Y84" s="653"/>
      <c r="Z84" s="653"/>
      <c r="AA84" s="653"/>
      <c r="AB84" s="653"/>
      <c r="AC84" s="653"/>
      <c r="AD84" s="653"/>
      <c r="AE84" s="653"/>
      <c r="AF84" s="653"/>
      <c r="AG84" s="653"/>
      <c r="AH84" s="653"/>
      <c r="AI84" s="653"/>
      <c r="AJ84" s="653"/>
      <c r="AK84" s="653"/>
      <c r="AL84" s="653"/>
      <c r="AM84" s="653"/>
      <c r="AN84" s="653"/>
      <c r="AO84" s="653"/>
      <c r="AP84" s="653"/>
      <c r="AQ84" s="653"/>
      <c r="AR84" s="653"/>
      <c r="AS84" s="653"/>
      <c r="AT84" s="653"/>
      <c r="AU84" s="653"/>
      <c r="AV84" s="653"/>
      <c r="AW84" s="653"/>
      <c r="AX84" s="653"/>
      <c r="AY84" s="653"/>
      <c r="AZ84" s="653"/>
      <c r="BA84" s="653"/>
      <c r="BB84" s="653"/>
    </row>
    <row r="85" spans="1:54" s="175" customFormat="1" ht="12.75" hidden="1" outlineLevel="1">
      <c r="A85" s="173" t="s">
        <v>2758</v>
      </c>
      <c r="B85" s="174"/>
      <c r="C85" s="174" t="s">
        <v>2759</v>
      </c>
      <c r="D85" s="174" t="s">
        <v>2760</v>
      </c>
      <c r="E85" s="210">
        <v>3122.23</v>
      </c>
      <c r="F85" s="210">
        <v>0</v>
      </c>
      <c r="G85" s="210"/>
      <c r="H85" s="211">
        <v>0</v>
      </c>
      <c r="I85" s="211">
        <v>0</v>
      </c>
      <c r="J85" s="211">
        <v>0</v>
      </c>
      <c r="K85" s="211">
        <v>0</v>
      </c>
      <c r="L85" s="211">
        <v>0</v>
      </c>
      <c r="M85" s="211">
        <v>0</v>
      </c>
      <c r="N85" s="211">
        <v>0</v>
      </c>
      <c r="O85" s="210">
        <v>0</v>
      </c>
      <c r="P85" s="210">
        <v>0</v>
      </c>
      <c r="Q85" s="210">
        <f t="shared" si="3"/>
        <v>3122.23</v>
      </c>
      <c r="R85" s="173"/>
      <c r="S85" s="653"/>
      <c r="T85" s="653"/>
      <c r="U85" s="653"/>
      <c r="V85" s="653"/>
      <c r="W85" s="653"/>
      <c r="X85" s="653"/>
      <c r="Y85" s="653"/>
      <c r="Z85" s="653"/>
      <c r="AA85" s="653"/>
      <c r="AB85" s="653"/>
      <c r="AC85" s="653"/>
      <c r="AD85" s="653"/>
      <c r="AE85" s="653"/>
      <c r="AF85" s="653"/>
      <c r="AG85" s="653"/>
      <c r="AH85" s="653"/>
      <c r="AI85" s="653"/>
      <c r="AJ85" s="653"/>
      <c r="AK85" s="653"/>
      <c r="AL85" s="653"/>
      <c r="AM85" s="653"/>
      <c r="AN85" s="653"/>
      <c r="AO85" s="653"/>
      <c r="AP85" s="653"/>
      <c r="AQ85" s="653"/>
      <c r="AR85" s="653"/>
      <c r="AS85" s="653"/>
      <c r="AT85" s="653"/>
      <c r="AU85" s="653"/>
      <c r="AV85" s="653"/>
      <c r="AW85" s="653"/>
      <c r="AX85" s="653"/>
      <c r="AY85" s="653"/>
      <c r="AZ85" s="653"/>
      <c r="BA85" s="653"/>
      <c r="BB85" s="653"/>
    </row>
    <row r="86" spans="1:54" s="175" customFormat="1" ht="12.75" hidden="1" outlineLevel="1">
      <c r="A86" s="173" t="s">
        <v>2761</v>
      </c>
      <c r="B86" s="174"/>
      <c r="C86" s="174" t="s">
        <v>2762</v>
      </c>
      <c r="D86" s="174" t="s">
        <v>2763</v>
      </c>
      <c r="E86" s="210">
        <v>30000</v>
      </c>
      <c r="F86" s="210">
        <v>-1865</v>
      </c>
      <c r="G86" s="210"/>
      <c r="H86" s="211">
        <v>0</v>
      </c>
      <c r="I86" s="211">
        <v>0</v>
      </c>
      <c r="J86" s="211">
        <v>0</v>
      </c>
      <c r="K86" s="211">
        <v>0</v>
      </c>
      <c r="L86" s="211">
        <v>0</v>
      </c>
      <c r="M86" s="211">
        <v>0</v>
      </c>
      <c r="N86" s="211">
        <v>0</v>
      </c>
      <c r="O86" s="210">
        <v>0</v>
      </c>
      <c r="P86" s="210">
        <v>0</v>
      </c>
      <c r="Q86" s="210">
        <f t="shared" si="3"/>
        <v>28135</v>
      </c>
      <c r="R86" s="173"/>
      <c r="S86" s="653"/>
      <c r="T86" s="653"/>
      <c r="U86" s="653"/>
      <c r="V86" s="653"/>
      <c r="W86" s="653"/>
      <c r="X86" s="653"/>
      <c r="Y86" s="653"/>
      <c r="Z86" s="653"/>
      <c r="AA86" s="653"/>
      <c r="AB86" s="653"/>
      <c r="AC86" s="653"/>
      <c r="AD86" s="653"/>
      <c r="AE86" s="653"/>
      <c r="AF86" s="653"/>
      <c r="AG86" s="653"/>
      <c r="AH86" s="653"/>
      <c r="AI86" s="653"/>
      <c r="AJ86" s="653"/>
      <c r="AK86" s="653"/>
      <c r="AL86" s="653"/>
      <c r="AM86" s="653"/>
      <c r="AN86" s="653"/>
      <c r="AO86" s="653"/>
      <c r="AP86" s="653"/>
      <c r="AQ86" s="653"/>
      <c r="AR86" s="653"/>
      <c r="AS86" s="653"/>
      <c r="AT86" s="653"/>
      <c r="AU86" s="653"/>
      <c r="AV86" s="653"/>
      <c r="AW86" s="653"/>
      <c r="AX86" s="653"/>
      <c r="AY86" s="653"/>
      <c r="AZ86" s="653"/>
      <c r="BA86" s="653"/>
      <c r="BB86" s="653"/>
    </row>
    <row r="87" spans="1:54" s="175" customFormat="1" ht="12.75" hidden="1" outlineLevel="1">
      <c r="A87" s="173" t="s">
        <v>2764</v>
      </c>
      <c r="B87" s="174"/>
      <c r="C87" s="174" t="s">
        <v>2765</v>
      </c>
      <c r="D87" s="174" t="s">
        <v>2766</v>
      </c>
      <c r="E87" s="210">
        <v>30</v>
      </c>
      <c r="F87" s="210">
        <v>0</v>
      </c>
      <c r="G87" s="210"/>
      <c r="H87" s="211">
        <v>0</v>
      </c>
      <c r="I87" s="211">
        <v>0</v>
      </c>
      <c r="J87" s="211">
        <v>0</v>
      </c>
      <c r="K87" s="211">
        <v>0</v>
      </c>
      <c r="L87" s="211">
        <v>0</v>
      </c>
      <c r="M87" s="211">
        <v>0</v>
      </c>
      <c r="N87" s="211">
        <v>0</v>
      </c>
      <c r="O87" s="210">
        <v>0</v>
      </c>
      <c r="P87" s="210">
        <v>0</v>
      </c>
      <c r="Q87" s="210">
        <f t="shared" si="3"/>
        <v>30</v>
      </c>
      <c r="R87" s="173"/>
      <c r="S87" s="653"/>
      <c r="T87" s="653"/>
      <c r="U87" s="653"/>
      <c r="V87" s="653"/>
      <c r="W87" s="653"/>
      <c r="X87" s="653"/>
      <c r="Y87" s="653"/>
      <c r="Z87" s="653"/>
      <c r="AA87" s="653"/>
      <c r="AB87" s="653"/>
      <c r="AC87" s="653"/>
      <c r="AD87" s="653"/>
      <c r="AE87" s="653"/>
      <c r="AF87" s="653"/>
      <c r="AG87" s="653"/>
      <c r="AH87" s="653"/>
      <c r="AI87" s="653"/>
      <c r="AJ87" s="653"/>
      <c r="AK87" s="653"/>
      <c r="AL87" s="653"/>
      <c r="AM87" s="653"/>
      <c r="AN87" s="653"/>
      <c r="AO87" s="653"/>
      <c r="AP87" s="653"/>
      <c r="AQ87" s="653"/>
      <c r="AR87" s="653"/>
      <c r="AS87" s="653"/>
      <c r="AT87" s="653"/>
      <c r="AU87" s="653"/>
      <c r="AV87" s="653"/>
      <c r="AW87" s="653"/>
      <c r="AX87" s="653"/>
      <c r="AY87" s="653"/>
      <c r="AZ87" s="653"/>
      <c r="BA87" s="653"/>
      <c r="BB87" s="653"/>
    </row>
    <row r="88" spans="1:54" s="175" customFormat="1" ht="12.75" hidden="1" outlineLevel="1">
      <c r="A88" s="173" t="s">
        <v>2767</v>
      </c>
      <c r="B88" s="174"/>
      <c r="C88" s="174" t="s">
        <v>2768</v>
      </c>
      <c r="D88" s="174" t="s">
        <v>2769</v>
      </c>
      <c r="E88" s="210">
        <v>0</v>
      </c>
      <c r="F88" s="210">
        <v>0</v>
      </c>
      <c r="G88" s="210"/>
      <c r="H88" s="211">
        <v>0</v>
      </c>
      <c r="I88" s="211">
        <v>0</v>
      </c>
      <c r="J88" s="211">
        <v>0</v>
      </c>
      <c r="K88" s="211">
        <v>2985.37</v>
      </c>
      <c r="L88" s="211">
        <v>0</v>
      </c>
      <c r="M88" s="211">
        <v>0</v>
      </c>
      <c r="N88" s="211">
        <v>0</v>
      </c>
      <c r="O88" s="210">
        <v>2985.37</v>
      </c>
      <c r="P88" s="210">
        <v>0</v>
      </c>
      <c r="Q88" s="210">
        <f t="shared" si="3"/>
        <v>2985.37</v>
      </c>
      <c r="R88" s="173"/>
      <c r="S88" s="653"/>
      <c r="T88" s="653"/>
      <c r="U88" s="653"/>
      <c r="V88" s="653"/>
      <c r="W88" s="653"/>
      <c r="X88" s="653"/>
      <c r="Y88" s="653"/>
      <c r="Z88" s="653"/>
      <c r="AA88" s="653"/>
      <c r="AB88" s="653"/>
      <c r="AC88" s="653"/>
      <c r="AD88" s="653"/>
      <c r="AE88" s="653"/>
      <c r="AF88" s="653"/>
      <c r="AG88" s="653"/>
      <c r="AH88" s="653"/>
      <c r="AI88" s="653"/>
      <c r="AJ88" s="653"/>
      <c r="AK88" s="653"/>
      <c r="AL88" s="653"/>
      <c r="AM88" s="653"/>
      <c r="AN88" s="653"/>
      <c r="AO88" s="653"/>
      <c r="AP88" s="653"/>
      <c r="AQ88" s="653"/>
      <c r="AR88" s="653"/>
      <c r="AS88" s="653"/>
      <c r="AT88" s="653"/>
      <c r="AU88" s="653"/>
      <c r="AV88" s="653"/>
      <c r="AW88" s="653"/>
      <c r="AX88" s="653"/>
      <c r="AY88" s="653"/>
      <c r="AZ88" s="653"/>
      <c r="BA88" s="653"/>
      <c r="BB88" s="653"/>
    </row>
    <row r="89" spans="1:54" s="175" customFormat="1" ht="12.75" hidden="1" outlineLevel="1">
      <c r="A89" s="173" t="s">
        <v>2770</v>
      </c>
      <c r="B89" s="174"/>
      <c r="C89" s="174" t="s">
        <v>2771</v>
      </c>
      <c r="D89" s="174" t="s">
        <v>2772</v>
      </c>
      <c r="E89" s="210">
        <v>5250</v>
      </c>
      <c r="F89" s="210">
        <v>0</v>
      </c>
      <c r="G89" s="210"/>
      <c r="H89" s="211">
        <v>0</v>
      </c>
      <c r="I89" s="211">
        <v>0</v>
      </c>
      <c r="J89" s="211">
        <v>0</v>
      </c>
      <c r="K89" s="211">
        <v>0</v>
      </c>
      <c r="L89" s="211">
        <v>0</v>
      </c>
      <c r="M89" s="211">
        <v>0</v>
      </c>
      <c r="N89" s="211">
        <v>0</v>
      </c>
      <c r="O89" s="210">
        <v>0</v>
      </c>
      <c r="P89" s="210">
        <v>0</v>
      </c>
      <c r="Q89" s="210">
        <f t="shared" si="3"/>
        <v>5250</v>
      </c>
      <c r="R89" s="173"/>
      <c r="S89" s="653"/>
      <c r="T89" s="653"/>
      <c r="U89" s="653"/>
      <c r="V89" s="653"/>
      <c r="W89" s="653"/>
      <c r="X89" s="653"/>
      <c r="Y89" s="653"/>
      <c r="Z89" s="653"/>
      <c r="AA89" s="653"/>
      <c r="AB89" s="653"/>
      <c r="AC89" s="653"/>
      <c r="AD89" s="653"/>
      <c r="AE89" s="653"/>
      <c r="AF89" s="653"/>
      <c r="AG89" s="653"/>
      <c r="AH89" s="653"/>
      <c r="AI89" s="653"/>
      <c r="AJ89" s="653"/>
      <c r="AK89" s="653"/>
      <c r="AL89" s="653"/>
      <c r="AM89" s="653"/>
      <c r="AN89" s="653"/>
      <c r="AO89" s="653"/>
      <c r="AP89" s="653"/>
      <c r="AQ89" s="653"/>
      <c r="AR89" s="653"/>
      <c r="AS89" s="653"/>
      <c r="AT89" s="653"/>
      <c r="AU89" s="653"/>
      <c r="AV89" s="653"/>
      <c r="AW89" s="653"/>
      <c r="AX89" s="653"/>
      <c r="AY89" s="653"/>
      <c r="AZ89" s="653"/>
      <c r="BA89" s="653"/>
      <c r="BB89" s="653"/>
    </row>
    <row r="90" spans="1:54" s="175" customFormat="1" ht="12.75" hidden="1" outlineLevel="1">
      <c r="A90" s="173" t="s">
        <v>2773</v>
      </c>
      <c r="B90" s="174"/>
      <c r="C90" s="174" t="s">
        <v>2774</v>
      </c>
      <c r="D90" s="174" t="s">
        <v>2775</v>
      </c>
      <c r="E90" s="210">
        <v>0</v>
      </c>
      <c r="F90" s="210">
        <v>0</v>
      </c>
      <c r="G90" s="210"/>
      <c r="H90" s="211">
        <v>0</v>
      </c>
      <c r="I90" s="211">
        <v>0</v>
      </c>
      <c r="J90" s="211">
        <v>0</v>
      </c>
      <c r="K90" s="211">
        <v>1340</v>
      </c>
      <c r="L90" s="211">
        <v>0</v>
      </c>
      <c r="M90" s="211">
        <v>0</v>
      </c>
      <c r="N90" s="211">
        <v>0</v>
      </c>
      <c r="O90" s="210">
        <v>1340</v>
      </c>
      <c r="P90" s="210">
        <v>0</v>
      </c>
      <c r="Q90" s="210">
        <f t="shared" si="3"/>
        <v>1340</v>
      </c>
      <c r="R90" s="173"/>
      <c r="S90" s="653"/>
      <c r="T90" s="653"/>
      <c r="U90" s="653"/>
      <c r="V90" s="653"/>
      <c r="W90" s="653"/>
      <c r="X90" s="653"/>
      <c r="Y90" s="653"/>
      <c r="Z90" s="653"/>
      <c r="AA90" s="653"/>
      <c r="AB90" s="653"/>
      <c r="AC90" s="653"/>
      <c r="AD90" s="653"/>
      <c r="AE90" s="653"/>
      <c r="AF90" s="653"/>
      <c r="AG90" s="653"/>
      <c r="AH90" s="653"/>
      <c r="AI90" s="653"/>
      <c r="AJ90" s="653"/>
      <c r="AK90" s="653"/>
      <c r="AL90" s="653"/>
      <c r="AM90" s="653"/>
      <c r="AN90" s="653"/>
      <c r="AO90" s="653"/>
      <c r="AP90" s="653"/>
      <c r="AQ90" s="653"/>
      <c r="AR90" s="653"/>
      <c r="AS90" s="653"/>
      <c r="AT90" s="653"/>
      <c r="AU90" s="653"/>
      <c r="AV90" s="653"/>
      <c r="AW90" s="653"/>
      <c r="AX90" s="653"/>
      <c r="AY90" s="653"/>
      <c r="AZ90" s="653"/>
      <c r="BA90" s="653"/>
      <c r="BB90" s="653"/>
    </row>
    <row r="91" spans="1:54" s="175" customFormat="1" ht="12.75" hidden="1" outlineLevel="1">
      <c r="A91" s="173" t="s">
        <v>2776</v>
      </c>
      <c r="B91" s="174"/>
      <c r="C91" s="174" t="s">
        <v>2777</v>
      </c>
      <c r="D91" s="174" t="s">
        <v>2778</v>
      </c>
      <c r="E91" s="210">
        <v>5627672.54</v>
      </c>
      <c r="F91" s="210">
        <v>0</v>
      </c>
      <c r="G91" s="210"/>
      <c r="H91" s="211">
        <v>0</v>
      </c>
      <c r="I91" s="211">
        <v>0</v>
      </c>
      <c r="J91" s="211">
        <v>0</v>
      </c>
      <c r="K91" s="211">
        <v>0</v>
      </c>
      <c r="L91" s="211">
        <v>0</v>
      </c>
      <c r="M91" s="211">
        <v>0</v>
      </c>
      <c r="N91" s="211">
        <v>0</v>
      </c>
      <c r="O91" s="210">
        <v>0</v>
      </c>
      <c r="P91" s="210">
        <v>0</v>
      </c>
      <c r="Q91" s="210">
        <f t="shared" si="3"/>
        <v>5627672.54</v>
      </c>
      <c r="R91" s="173"/>
      <c r="S91" s="653"/>
      <c r="T91" s="653"/>
      <c r="U91" s="653"/>
      <c r="V91" s="653"/>
      <c r="W91" s="653"/>
      <c r="X91" s="653"/>
      <c r="Y91" s="653"/>
      <c r="Z91" s="653"/>
      <c r="AA91" s="653"/>
      <c r="AB91" s="653"/>
      <c r="AC91" s="653"/>
      <c r="AD91" s="653"/>
      <c r="AE91" s="653"/>
      <c r="AF91" s="653"/>
      <c r="AG91" s="653"/>
      <c r="AH91" s="653"/>
      <c r="AI91" s="653"/>
      <c r="AJ91" s="653"/>
      <c r="AK91" s="653"/>
      <c r="AL91" s="653"/>
      <c r="AM91" s="653"/>
      <c r="AN91" s="653"/>
      <c r="AO91" s="653"/>
      <c r="AP91" s="653"/>
      <c r="AQ91" s="653"/>
      <c r="AR91" s="653"/>
      <c r="AS91" s="653"/>
      <c r="AT91" s="653"/>
      <c r="AU91" s="653"/>
      <c r="AV91" s="653"/>
      <c r="AW91" s="653"/>
      <c r="AX91" s="653"/>
      <c r="AY91" s="653"/>
      <c r="AZ91" s="653"/>
      <c r="BA91" s="653"/>
      <c r="BB91" s="653"/>
    </row>
    <row r="92" spans="1:54" s="175" customFormat="1" ht="12.75" hidden="1" outlineLevel="1">
      <c r="A92" s="173" t="s">
        <v>2779</v>
      </c>
      <c r="B92" s="174"/>
      <c r="C92" s="174" t="s">
        <v>2780</v>
      </c>
      <c r="D92" s="174" t="s">
        <v>2781</v>
      </c>
      <c r="E92" s="210">
        <v>-5568.55</v>
      </c>
      <c r="F92" s="210">
        <v>0</v>
      </c>
      <c r="G92" s="210"/>
      <c r="H92" s="211">
        <v>0</v>
      </c>
      <c r="I92" s="211">
        <v>0</v>
      </c>
      <c r="J92" s="211">
        <v>0</v>
      </c>
      <c r="K92" s="211">
        <v>0</v>
      </c>
      <c r="L92" s="211">
        <v>0</v>
      </c>
      <c r="M92" s="211">
        <v>0</v>
      </c>
      <c r="N92" s="211">
        <v>0</v>
      </c>
      <c r="O92" s="210">
        <v>0</v>
      </c>
      <c r="P92" s="210">
        <v>0</v>
      </c>
      <c r="Q92" s="210">
        <f t="shared" si="3"/>
        <v>-5568.55</v>
      </c>
      <c r="R92" s="173"/>
      <c r="S92" s="653"/>
      <c r="T92" s="653"/>
      <c r="U92" s="653"/>
      <c r="V92" s="653"/>
      <c r="W92" s="653"/>
      <c r="X92" s="653"/>
      <c r="Y92" s="653"/>
      <c r="Z92" s="653"/>
      <c r="AA92" s="653"/>
      <c r="AB92" s="653"/>
      <c r="AC92" s="653"/>
      <c r="AD92" s="653"/>
      <c r="AE92" s="653"/>
      <c r="AF92" s="653"/>
      <c r="AG92" s="653"/>
      <c r="AH92" s="653"/>
      <c r="AI92" s="653"/>
      <c r="AJ92" s="653"/>
      <c r="AK92" s="653"/>
      <c r="AL92" s="653"/>
      <c r="AM92" s="653"/>
      <c r="AN92" s="653"/>
      <c r="AO92" s="653"/>
      <c r="AP92" s="653"/>
      <c r="AQ92" s="653"/>
      <c r="AR92" s="653"/>
      <c r="AS92" s="653"/>
      <c r="AT92" s="653"/>
      <c r="AU92" s="653"/>
      <c r="AV92" s="653"/>
      <c r="AW92" s="653"/>
      <c r="AX92" s="653"/>
      <c r="AY92" s="653"/>
      <c r="AZ92" s="653"/>
      <c r="BA92" s="653"/>
      <c r="BB92" s="653"/>
    </row>
    <row r="93" spans="1:54" s="202" customFormat="1" ht="12.75" customHeight="1" collapsed="1">
      <c r="A93" s="199" t="s">
        <v>2782</v>
      </c>
      <c r="B93" s="199"/>
      <c r="C93" s="201" t="s">
        <v>2175</v>
      </c>
      <c r="D93" s="207"/>
      <c r="E93" s="103">
        <v>6648306.98</v>
      </c>
      <c r="F93" s="103">
        <v>-43605.77</v>
      </c>
      <c r="G93" s="103">
        <v>0</v>
      </c>
      <c r="H93" s="102">
        <v>0</v>
      </c>
      <c r="I93" s="102">
        <v>0</v>
      </c>
      <c r="J93" s="102">
        <v>29310.96</v>
      </c>
      <c r="K93" s="102">
        <v>4325.37</v>
      </c>
      <c r="L93" s="102">
        <v>12773.16</v>
      </c>
      <c r="M93" s="102">
        <v>0</v>
      </c>
      <c r="N93" s="102">
        <v>298.24</v>
      </c>
      <c r="O93" s="103">
        <v>46707.73</v>
      </c>
      <c r="P93" s="103">
        <v>0</v>
      </c>
      <c r="Q93" s="103">
        <f t="shared" si="3"/>
        <v>6651408.940000001</v>
      </c>
      <c r="R93" s="201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</row>
    <row r="94" spans="1:54" s="202" customFormat="1" ht="12.75" customHeight="1">
      <c r="A94" s="213" t="s">
        <v>2108</v>
      </c>
      <c r="B94" s="214"/>
      <c r="C94" s="204" t="s">
        <v>2176</v>
      </c>
      <c r="D94" s="65"/>
      <c r="E94" s="105">
        <f aca="true" t="shared" si="4" ref="E94:Q94">+E56+E58+E59+E60+E73+E75+E76+E77+E78+E79+E80+E93</f>
        <v>36632943.82000002</v>
      </c>
      <c r="F94" s="105">
        <f t="shared" si="4"/>
        <v>3540958.21</v>
      </c>
      <c r="G94" s="105">
        <f t="shared" si="4"/>
        <v>9049635.49</v>
      </c>
      <c r="H94" s="215">
        <f t="shared" si="4"/>
        <v>0</v>
      </c>
      <c r="I94" s="215">
        <f t="shared" si="4"/>
        <v>0</v>
      </c>
      <c r="J94" s="215">
        <f t="shared" si="4"/>
        <v>29310.96</v>
      </c>
      <c r="K94" s="215">
        <f t="shared" si="4"/>
        <v>4325.37</v>
      </c>
      <c r="L94" s="215">
        <f t="shared" si="4"/>
        <v>12773.16</v>
      </c>
      <c r="M94" s="215">
        <f t="shared" si="4"/>
        <v>0</v>
      </c>
      <c r="N94" s="215">
        <f t="shared" si="4"/>
        <v>298.24</v>
      </c>
      <c r="O94" s="105">
        <f t="shared" si="4"/>
        <v>46707.73</v>
      </c>
      <c r="P94" s="105">
        <f t="shared" si="4"/>
        <v>0</v>
      </c>
      <c r="Q94" s="105">
        <f t="shared" si="4"/>
        <v>49270245.250000015</v>
      </c>
      <c r="R94" s="206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</row>
    <row r="95" spans="1:54" s="202" customFormat="1" ht="12.75" customHeight="1">
      <c r="A95" s="199"/>
      <c r="B95" s="199"/>
      <c r="C95" s="201"/>
      <c r="D95" s="207"/>
      <c r="E95" s="103"/>
      <c r="F95" s="103"/>
      <c r="G95" s="103"/>
      <c r="H95" s="102"/>
      <c r="I95" s="102"/>
      <c r="J95" s="102"/>
      <c r="K95" s="102"/>
      <c r="L95" s="102"/>
      <c r="M95" s="102"/>
      <c r="N95" s="102"/>
      <c r="O95" s="103"/>
      <c r="P95" s="103"/>
      <c r="Q95" s="103"/>
      <c r="R95" s="201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30"/>
      <c r="AY95" s="230"/>
      <c r="AZ95" s="230"/>
      <c r="BA95" s="230"/>
      <c r="BB95" s="230"/>
    </row>
    <row r="96" spans="1:54" s="202" customFormat="1" ht="12.75" customHeight="1">
      <c r="A96" s="203"/>
      <c r="B96" s="214" t="s">
        <v>2177</v>
      </c>
      <c r="C96" s="216"/>
      <c r="D96" s="74"/>
      <c r="E96" s="103"/>
      <c r="F96" s="103"/>
      <c r="G96" s="103"/>
      <c r="H96" s="212"/>
      <c r="I96" s="212"/>
      <c r="J96" s="212"/>
      <c r="K96" s="212"/>
      <c r="L96" s="212"/>
      <c r="M96" s="212"/>
      <c r="N96" s="212"/>
      <c r="O96" s="103"/>
      <c r="P96" s="103"/>
      <c r="Q96" s="103"/>
      <c r="R96" s="206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</row>
    <row r="97" spans="1:54" s="175" customFormat="1" ht="12.75" hidden="1" outlineLevel="1">
      <c r="A97" s="173" t="s">
        <v>2783</v>
      </c>
      <c r="B97" s="174"/>
      <c r="C97" s="174" t="s">
        <v>2784</v>
      </c>
      <c r="D97" s="174" t="s">
        <v>2785</v>
      </c>
      <c r="E97" s="210">
        <v>19908413.06</v>
      </c>
      <c r="F97" s="210">
        <v>228477.73</v>
      </c>
      <c r="G97" s="210"/>
      <c r="H97" s="211">
        <v>0</v>
      </c>
      <c r="I97" s="211">
        <v>0</v>
      </c>
      <c r="J97" s="211">
        <v>0</v>
      </c>
      <c r="K97" s="211">
        <v>0</v>
      </c>
      <c r="L97" s="211">
        <v>0</v>
      </c>
      <c r="M97" s="211">
        <v>0</v>
      </c>
      <c r="N97" s="211">
        <v>0</v>
      </c>
      <c r="O97" s="210">
        <v>0</v>
      </c>
      <c r="P97" s="210">
        <v>0</v>
      </c>
      <c r="Q97" s="210">
        <f aca="true" t="shared" si="5" ref="Q97:Q160">E97+F97+G97+O97+P97</f>
        <v>20136890.79</v>
      </c>
      <c r="R97" s="173"/>
      <c r="S97" s="653"/>
      <c r="T97" s="653"/>
      <c r="U97" s="653"/>
      <c r="V97" s="653"/>
      <c r="W97" s="653"/>
      <c r="X97" s="653"/>
      <c r="Y97" s="653"/>
      <c r="Z97" s="653"/>
      <c r="AA97" s="653"/>
      <c r="AB97" s="653"/>
      <c r="AC97" s="653"/>
      <c r="AD97" s="653"/>
      <c r="AE97" s="653"/>
      <c r="AF97" s="653"/>
      <c r="AG97" s="653"/>
      <c r="AH97" s="653"/>
      <c r="AI97" s="653"/>
      <c r="AJ97" s="653"/>
      <c r="AK97" s="653"/>
      <c r="AL97" s="653"/>
      <c r="AM97" s="653"/>
      <c r="AN97" s="653"/>
      <c r="AO97" s="653"/>
      <c r="AP97" s="653"/>
      <c r="AQ97" s="653"/>
      <c r="AR97" s="653"/>
      <c r="AS97" s="653"/>
      <c r="AT97" s="653"/>
      <c r="AU97" s="653"/>
      <c r="AV97" s="653"/>
      <c r="AW97" s="653"/>
      <c r="AX97" s="653"/>
      <c r="AY97" s="653"/>
      <c r="AZ97" s="653"/>
      <c r="BA97" s="653"/>
      <c r="BB97" s="653"/>
    </row>
    <row r="98" spans="1:54" s="175" customFormat="1" ht="12.75" hidden="1" outlineLevel="1">
      <c r="A98" s="173" t="s">
        <v>2786</v>
      </c>
      <c r="B98" s="174"/>
      <c r="C98" s="174" t="s">
        <v>2787</v>
      </c>
      <c r="D98" s="174" t="s">
        <v>2788</v>
      </c>
      <c r="E98" s="210">
        <v>1073881.99</v>
      </c>
      <c r="F98" s="210">
        <v>113240.74</v>
      </c>
      <c r="G98" s="210"/>
      <c r="H98" s="211">
        <v>0</v>
      </c>
      <c r="I98" s="211">
        <v>0</v>
      </c>
      <c r="J98" s="211">
        <v>0</v>
      </c>
      <c r="K98" s="211">
        <v>0</v>
      </c>
      <c r="L98" s="211">
        <v>0</v>
      </c>
      <c r="M98" s="211">
        <v>0</v>
      </c>
      <c r="N98" s="211">
        <v>0</v>
      </c>
      <c r="O98" s="210">
        <v>0</v>
      </c>
      <c r="P98" s="210">
        <v>0</v>
      </c>
      <c r="Q98" s="210">
        <f t="shared" si="5"/>
        <v>1187122.73</v>
      </c>
      <c r="R98" s="173"/>
      <c r="S98" s="653"/>
      <c r="T98" s="653"/>
      <c r="U98" s="653"/>
      <c r="V98" s="653"/>
      <c r="W98" s="653"/>
      <c r="X98" s="653"/>
      <c r="Y98" s="653"/>
      <c r="Z98" s="653"/>
      <c r="AA98" s="653"/>
      <c r="AB98" s="653"/>
      <c r="AC98" s="653"/>
      <c r="AD98" s="653"/>
      <c r="AE98" s="653"/>
      <c r="AF98" s="653"/>
      <c r="AG98" s="653"/>
      <c r="AH98" s="653"/>
      <c r="AI98" s="653"/>
      <c r="AJ98" s="653"/>
      <c r="AK98" s="653"/>
      <c r="AL98" s="653"/>
      <c r="AM98" s="653"/>
      <c r="AN98" s="653"/>
      <c r="AO98" s="653"/>
      <c r="AP98" s="653"/>
      <c r="AQ98" s="653"/>
      <c r="AR98" s="653"/>
      <c r="AS98" s="653"/>
      <c r="AT98" s="653"/>
      <c r="AU98" s="653"/>
      <c r="AV98" s="653"/>
      <c r="AW98" s="653"/>
      <c r="AX98" s="653"/>
      <c r="AY98" s="653"/>
      <c r="AZ98" s="653"/>
      <c r="BA98" s="653"/>
      <c r="BB98" s="653"/>
    </row>
    <row r="99" spans="1:54" s="175" customFormat="1" ht="12.75" hidden="1" outlineLevel="1">
      <c r="A99" s="173" t="s">
        <v>2789</v>
      </c>
      <c r="B99" s="174"/>
      <c r="C99" s="174" t="s">
        <v>2790</v>
      </c>
      <c r="D99" s="174" t="s">
        <v>2791</v>
      </c>
      <c r="E99" s="210">
        <v>3755859.41</v>
      </c>
      <c r="F99" s="210">
        <v>113556.69</v>
      </c>
      <c r="G99" s="210"/>
      <c r="H99" s="211">
        <v>0</v>
      </c>
      <c r="I99" s="211">
        <v>0</v>
      </c>
      <c r="J99" s="211">
        <v>0</v>
      </c>
      <c r="K99" s="211">
        <v>0</v>
      </c>
      <c r="L99" s="211">
        <v>0</v>
      </c>
      <c r="M99" s="211">
        <v>0</v>
      </c>
      <c r="N99" s="211">
        <v>0</v>
      </c>
      <c r="O99" s="210">
        <v>0</v>
      </c>
      <c r="P99" s="210">
        <v>0</v>
      </c>
      <c r="Q99" s="210">
        <f t="shared" si="5"/>
        <v>3869416.1</v>
      </c>
      <c r="R99" s="173"/>
      <c r="S99" s="653"/>
      <c r="T99" s="653"/>
      <c r="U99" s="653"/>
      <c r="V99" s="653"/>
      <c r="W99" s="653"/>
      <c r="X99" s="653"/>
      <c r="Y99" s="653"/>
      <c r="Z99" s="653"/>
      <c r="AA99" s="653"/>
      <c r="AB99" s="653"/>
      <c r="AC99" s="653"/>
      <c r="AD99" s="653"/>
      <c r="AE99" s="653"/>
      <c r="AF99" s="653"/>
      <c r="AG99" s="653"/>
      <c r="AH99" s="653"/>
      <c r="AI99" s="653"/>
      <c r="AJ99" s="653"/>
      <c r="AK99" s="653"/>
      <c r="AL99" s="653"/>
      <c r="AM99" s="653"/>
      <c r="AN99" s="653"/>
      <c r="AO99" s="653"/>
      <c r="AP99" s="653"/>
      <c r="AQ99" s="653"/>
      <c r="AR99" s="653"/>
      <c r="AS99" s="653"/>
      <c r="AT99" s="653"/>
      <c r="AU99" s="653"/>
      <c r="AV99" s="653"/>
      <c r="AW99" s="653"/>
      <c r="AX99" s="653"/>
      <c r="AY99" s="653"/>
      <c r="AZ99" s="653"/>
      <c r="BA99" s="653"/>
      <c r="BB99" s="653"/>
    </row>
    <row r="100" spans="1:54" s="175" customFormat="1" ht="12.75" hidden="1" outlineLevel="1">
      <c r="A100" s="173" t="s">
        <v>2792</v>
      </c>
      <c r="B100" s="174"/>
      <c r="C100" s="174" t="s">
        <v>2793</v>
      </c>
      <c r="D100" s="174" t="s">
        <v>2794</v>
      </c>
      <c r="E100" s="210">
        <v>3962129.52</v>
      </c>
      <c r="F100" s="210">
        <v>71405</v>
      </c>
      <c r="G100" s="210"/>
      <c r="H100" s="211">
        <v>0</v>
      </c>
      <c r="I100" s="211">
        <v>0</v>
      </c>
      <c r="J100" s="211">
        <v>0</v>
      </c>
      <c r="K100" s="211">
        <v>0</v>
      </c>
      <c r="L100" s="211">
        <v>0</v>
      </c>
      <c r="M100" s="211">
        <v>0</v>
      </c>
      <c r="N100" s="211">
        <v>0</v>
      </c>
      <c r="O100" s="210">
        <v>0</v>
      </c>
      <c r="P100" s="210">
        <v>0</v>
      </c>
      <c r="Q100" s="210">
        <f t="shared" si="5"/>
        <v>4033534.52</v>
      </c>
      <c r="R100" s="17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653"/>
      <c r="AE100" s="653"/>
      <c r="AF100" s="653"/>
      <c r="AG100" s="653"/>
      <c r="AH100" s="653"/>
      <c r="AI100" s="653"/>
      <c r="AJ100" s="653"/>
      <c r="AK100" s="653"/>
      <c r="AL100" s="653"/>
      <c r="AM100" s="653"/>
      <c r="AN100" s="653"/>
      <c r="AO100" s="653"/>
      <c r="AP100" s="653"/>
      <c r="AQ100" s="653"/>
      <c r="AR100" s="653"/>
      <c r="AS100" s="653"/>
      <c r="AT100" s="653"/>
      <c r="AU100" s="653"/>
      <c r="AV100" s="653"/>
      <c r="AW100" s="653"/>
      <c r="AX100" s="653"/>
      <c r="AY100" s="653"/>
      <c r="AZ100" s="653"/>
      <c r="BA100" s="653"/>
      <c r="BB100" s="653"/>
    </row>
    <row r="101" spans="1:54" s="175" customFormat="1" ht="12.75" hidden="1" outlineLevel="1">
      <c r="A101" s="173" t="s">
        <v>2795</v>
      </c>
      <c r="B101" s="174"/>
      <c r="C101" s="174" t="s">
        <v>2796</v>
      </c>
      <c r="D101" s="174" t="s">
        <v>2797</v>
      </c>
      <c r="E101" s="210">
        <v>7504519.09</v>
      </c>
      <c r="F101" s="210">
        <v>24719.66</v>
      </c>
      <c r="G101" s="210"/>
      <c r="H101" s="211">
        <v>0</v>
      </c>
      <c r="I101" s="211">
        <v>718.34</v>
      </c>
      <c r="J101" s="211">
        <v>0</v>
      </c>
      <c r="K101" s="211">
        <v>0</v>
      </c>
      <c r="L101" s="211">
        <v>43583.34</v>
      </c>
      <c r="M101" s="211">
        <v>0</v>
      </c>
      <c r="N101" s="211">
        <v>0</v>
      </c>
      <c r="O101" s="210">
        <v>44301.68</v>
      </c>
      <c r="P101" s="210">
        <v>0</v>
      </c>
      <c r="Q101" s="210">
        <f t="shared" si="5"/>
        <v>7573540.43</v>
      </c>
      <c r="R101" s="173"/>
      <c r="S101" s="653"/>
      <c r="T101" s="653"/>
      <c r="U101" s="653"/>
      <c r="V101" s="653"/>
      <c r="W101" s="653"/>
      <c r="X101" s="653"/>
      <c r="Y101" s="653"/>
      <c r="Z101" s="653"/>
      <c r="AA101" s="653"/>
      <c r="AB101" s="653"/>
      <c r="AC101" s="653"/>
      <c r="AD101" s="653"/>
      <c r="AE101" s="653"/>
      <c r="AF101" s="653"/>
      <c r="AG101" s="653"/>
      <c r="AH101" s="653"/>
      <c r="AI101" s="653"/>
      <c r="AJ101" s="653"/>
      <c r="AK101" s="653"/>
      <c r="AL101" s="653"/>
      <c r="AM101" s="653"/>
      <c r="AN101" s="653"/>
      <c r="AO101" s="653"/>
      <c r="AP101" s="653"/>
      <c r="AQ101" s="653"/>
      <c r="AR101" s="653"/>
      <c r="AS101" s="653"/>
      <c r="AT101" s="653"/>
      <c r="AU101" s="653"/>
      <c r="AV101" s="653"/>
      <c r="AW101" s="653"/>
      <c r="AX101" s="653"/>
      <c r="AY101" s="653"/>
      <c r="AZ101" s="653"/>
      <c r="BA101" s="653"/>
      <c r="BB101" s="653"/>
    </row>
    <row r="102" spans="1:54" s="175" customFormat="1" ht="12.75" hidden="1" outlineLevel="1">
      <c r="A102" s="173" t="s">
        <v>2798</v>
      </c>
      <c r="B102" s="174"/>
      <c r="C102" s="174" t="s">
        <v>2799</v>
      </c>
      <c r="D102" s="174" t="s">
        <v>2800</v>
      </c>
      <c r="E102" s="210">
        <v>5263767.5</v>
      </c>
      <c r="F102" s="210">
        <v>61959.76</v>
      </c>
      <c r="G102" s="210"/>
      <c r="H102" s="211">
        <v>37886.8</v>
      </c>
      <c r="I102" s="211">
        <v>102403.34</v>
      </c>
      <c r="J102" s="211">
        <v>0</v>
      </c>
      <c r="K102" s="211">
        <v>0</v>
      </c>
      <c r="L102" s="211">
        <v>0</v>
      </c>
      <c r="M102" s="211">
        <v>0</v>
      </c>
      <c r="N102" s="211">
        <v>0</v>
      </c>
      <c r="O102" s="210">
        <v>140290.14</v>
      </c>
      <c r="P102" s="210">
        <v>0</v>
      </c>
      <c r="Q102" s="210">
        <f t="shared" si="5"/>
        <v>5466017.399999999</v>
      </c>
      <c r="R102" s="173"/>
      <c r="S102" s="653"/>
      <c r="T102" s="653"/>
      <c r="U102" s="653"/>
      <c r="V102" s="653"/>
      <c r="W102" s="653"/>
      <c r="X102" s="653"/>
      <c r="Y102" s="653"/>
      <c r="Z102" s="653"/>
      <c r="AA102" s="653"/>
      <c r="AB102" s="653"/>
      <c r="AC102" s="653"/>
      <c r="AD102" s="653"/>
      <c r="AE102" s="653"/>
      <c r="AF102" s="653"/>
      <c r="AG102" s="653"/>
      <c r="AH102" s="653"/>
      <c r="AI102" s="653"/>
      <c r="AJ102" s="653"/>
      <c r="AK102" s="653"/>
      <c r="AL102" s="653"/>
      <c r="AM102" s="653"/>
      <c r="AN102" s="653"/>
      <c r="AO102" s="653"/>
      <c r="AP102" s="653"/>
      <c r="AQ102" s="653"/>
      <c r="AR102" s="653"/>
      <c r="AS102" s="653"/>
      <c r="AT102" s="653"/>
      <c r="AU102" s="653"/>
      <c r="AV102" s="653"/>
      <c r="AW102" s="653"/>
      <c r="AX102" s="653"/>
      <c r="AY102" s="653"/>
      <c r="AZ102" s="653"/>
      <c r="BA102" s="653"/>
      <c r="BB102" s="653"/>
    </row>
    <row r="103" spans="1:54" s="175" customFormat="1" ht="12.75" hidden="1" outlineLevel="1">
      <c r="A103" s="173" t="s">
        <v>2801</v>
      </c>
      <c r="B103" s="174"/>
      <c r="C103" s="174" t="s">
        <v>2802</v>
      </c>
      <c r="D103" s="174" t="s">
        <v>2803</v>
      </c>
      <c r="E103" s="210">
        <v>1488181.32</v>
      </c>
      <c r="F103" s="210">
        <v>1107.52</v>
      </c>
      <c r="G103" s="210"/>
      <c r="H103" s="211">
        <v>28858.42</v>
      </c>
      <c r="I103" s="211">
        <v>52448.3</v>
      </c>
      <c r="J103" s="211">
        <v>0</v>
      </c>
      <c r="K103" s="211">
        <v>0</v>
      </c>
      <c r="L103" s="211">
        <v>0</v>
      </c>
      <c r="M103" s="211">
        <v>0</v>
      </c>
      <c r="N103" s="211">
        <v>21906.98</v>
      </c>
      <c r="O103" s="210">
        <v>103213.7</v>
      </c>
      <c r="P103" s="210">
        <v>0</v>
      </c>
      <c r="Q103" s="210">
        <f t="shared" si="5"/>
        <v>1592502.54</v>
      </c>
      <c r="R103" s="173"/>
      <c r="S103" s="653"/>
      <c r="T103" s="653"/>
      <c r="U103" s="653"/>
      <c r="V103" s="653"/>
      <c r="W103" s="653"/>
      <c r="X103" s="653"/>
      <c r="Y103" s="653"/>
      <c r="Z103" s="653"/>
      <c r="AA103" s="653"/>
      <c r="AB103" s="653"/>
      <c r="AC103" s="653"/>
      <c r="AD103" s="653"/>
      <c r="AE103" s="653"/>
      <c r="AF103" s="653"/>
      <c r="AG103" s="653"/>
      <c r="AH103" s="653"/>
      <c r="AI103" s="653"/>
      <c r="AJ103" s="653"/>
      <c r="AK103" s="653"/>
      <c r="AL103" s="653"/>
      <c r="AM103" s="653"/>
      <c r="AN103" s="653"/>
      <c r="AO103" s="653"/>
      <c r="AP103" s="653"/>
      <c r="AQ103" s="653"/>
      <c r="AR103" s="653"/>
      <c r="AS103" s="653"/>
      <c r="AT103" s="653"/>
      <c r="AU103" s="653"/>
      <c r="AV103" s="653"/>
      <c r="AW103" s="653"/>
      <c r="AX103" s="653"/>
      <c r="AY103" s="653"/>
      <c r="AZ103" s="653"/>
      <c r="BA103" s="653"/>
      <c r="BB103" s="653"/>
    </row>
    <row r="104" spans="1:54" s="175" customFormat="1" ht="12.75" hidden="1" outlineLevel="1">
      <c r="A104" s="173" t="s">
        <v>2804</v>
      </c>
      <c r="B104" s="174"/>
      <c r="C104" s="174" t="s">
        <v>2805</v>
      </c>
      <c r="D104" s="174" t="s">
        <v>2806</v>
      </c>
      <c r="E104" s="210">
        <v>4727265.21</v>
      </c>
      <c r="F104" s="210">
        <v>122357.11</v>
      </c>
      <c r="G104" s="210"/>
      <c r="H104" s="211">
        <v>0</v>
      </c>
      <c r="I104" s="211">
        <v>36793.28</v>
      </c>
      <c r="J104" s="211">
        <v>0</v>
      </c>
      <c r="K104" s="211">
        <v>0</v>
      </c>
      <c r="L104" s="211">
        <v>17234.39</v>
      </c>
      <c r="M104" s="211">
        <v>0</v>
      </c>
      <c r="N104" s="211">
        <v>38275.77</v>
      </c>
      <c r="O104" s="210">
        <v>92303.44</v>
      </c>
      <c r="P104" s="210">
        <v>0</v>
      </c>
      <c r="Q104" s="210">
        <f t="shared" si="5"/>
        <v>4941925.760000001</v>
      </c>
      <c r="R104" s="173"/>
      <c r="S104" s="653"/>
      <c r="T104" s="653"/>
      <c r="U104" s="653"/>
      <c r="V104" s="653"/>
      <c r="W104" s="653"/>
      <c r="X104" s="653"/>
      <c r="Y104" s="653"/>
      <c r="Z104" s="653"/>
      <c r="AA104" s="653"/>
      <c r="AB104" s="653"/>
      <c r="AC104" s="653"/>
      <c r="AD104" s="653"/>
      <c r="AE104" s="653"/>
      <c r="AF104" s="653"/>
      <c r="AG104" s="653"/>
      <c r="AH104" s="653"/>
      <c r="AI104" s="653"/>
      <c r="AJ104" s="653"/>
      <c r="AK104" s="653"/>
      <c r="AL104" s="653"/>
      <c r="AM104" s="653"/>
      <c r="AN104" s="653"/>
      <c r="AO104" s="653"/>
      <c r="AP104" s="653"/>
      <c r="AQ104" s="653"/>
      <c r="AR104" s="653"/>
      <c r="AS104" s="653"/>
      <c r="AT104" s="653"/>
      <c r="AU104" s="653"/>
      <c r="AV104" s="653"/>
      <c r="AW104" s="653"/>
      <c r="AX104" s="653"/>
      <c r="AY104" s="653"/>
      <c r="AZ104" s="653"/>
      <c r="BA104" s="653"/>
      <c r="BB104" s="653"/>
    </row>
    <row r="105" spans="1:54" s="175" customFormat="1" ht="12.75" hidden="1" outlineLevel="1">
      <c r="A105" s="173" t="s">
        <v>2807</v>
      </c>
      <c r="B105" s="174"/>
      <c r="C105" s="174" t="s">
        <v>2808</v>
      </c>
      <c r="D105" s="174" t="s">
        <v>2809</v>
      </c>
      <c r="E105" s="210">
        <v>1526799.13</v>
      </c>
      <c r="F105" s="210">
        <v>0</v>
      </c>
      <c r="G105" s="210"/>
      <c r="H105" s="211">
        <v>400283.57</v>
      </c>
      <c r="I105" s="211">
        <v>0</v>
      </c>
      <c r="J105" s="211">
        <v>0</v>
      </c>
      <c r="K105" s="211">
        <v>0</v>
      </c>
      <c r="L105" s="211">
        <v>100342.87</v>
      </c>
      <c r="M105" s="211">
        <v>0</v>
      </c>
      <c r="N105" s="211">
        <v>0</v>
      </c>
      <c r="O105" s="210">
        <v>500626.44</v>
      </c>
      <c r="P105" s="210">
        <v>0</v>
      </c>
      <c r="Q105" s="210">
        <f t="shared" si="5"/>
        <v>2027425.5699999998</v>
      </c>
      <c r="R105" s="173"/>
      <c r="S105" s="653"/>
      <c r="T105" s="653"/>
      <c r="U105" s="653"/>
      <c r="V105" s="653"/>
      <c r="W105" s="653"/>
      <c r="X105" s="653"/>
      <c r="Y105" s="653"/>
      <c r="Z105" s="653"/>
      <c r="AA105" s="653"/>
      <c r="AB105" s="653"/>
      <c r="AC105" s="653"/>
      <c r="AD105" s="653"/>
      <c r="AE105" s="653"/>
      <c r="AF105" s="653"/>
      <c r="AG105" s="653"/>
      <c r="AH105" s="653"/>
      <c r="AI105" s="653"/>
      <c r="AJ105" s="653"/>
      <c r="AK105" s="653"/>
      <c r="AL105" s="653"/>
      <c r="AM105" s="653"/>
      <c r="AN105" s="653"/>
      <c r="AO105" s="653"/>
      <c r="AP105" s="653"/>
      <c r="AQ105" s="653"/>
      <c r="AR105" s="653"/>
      <c r="AS105" s="653"/>
      <c r="AT105" s="653"/>
      <c r="AU105" s="653"/>
      <c r="AV105" s="653"/>
      <c r="AW105" s="653"/>
      <c r="AX105" s="653"/>
      <c r="AY105" s="653"/>
      <c r="AZ105" s="653"/>
      <c r="BA105" s="653"/>
      <c r="BB105" s="653"/>
    </row>
    <row r="106" spans="1:54" s="175" customFormat="1" ht="12.75" hidden="1" outlineLevel="1">
      <c r="A106" s="173" t="s">
        <v>2810</v>
      </c>
      <c r="B106" s="174"/>
      <c r="C106" s="174" t="s">
        <v>2811</v>
      </c>
      <c r="D106" s="174" t="s">
        <v>2812</v>
      </c>
      <c r="E106" s="210">
        <v>1733526.52</v>
      </c>
      <c r="F106" s="210">
        <v>425.4</v>
      </c>
      <c r="G106" s="210"/>
      <c r="H106" s="211">
        <v>51341.49</v>
      </c>
      <c r="I106" s="211">
        <v>0</v>
      </c>
      <c r="J106" s="211">
        <v>68792.18</v>
      </c>
      <c r="K106" s="211">
        <v>0</v>
      </c>
      <c r="L106" s="211">
        <v>0</v>
      </c>
      <c r="M106" s="211">
        <v>0</v>
      </c>
      <c r="N106" s="211">
        <v>0</v>
      </c>
      <c r="O106" s="210">
        <v>120133.67</v>
      </c>
      <c r="P106" s="210">
        <v>0</v>
      </c>
      <c r="Q106" s="210">
        <f t="shared" si="5"/>
        <v>1854085.5899999999</v>
      </c>
      <c r="R106" s="173"/>
      <c r="S106" s="653"/>
      <c r="T106" s="653"/>
      <c r="U106" s="653"/>
      <c r="V106" s="653"/>
      <c r="W106" s="653"/>
      <c r="X106" s="653"/>
      <c r="Y106" s="653"/>
      <c r="Z106" s="653"/>
      <c r="AA106" s="653"/>
      <c r="AB106" s="653"/>
      <c r="AC106" s="653"/>
      <c r="AD106" s="653"/>
      <c r="AE106" s="653"/>
      <c r="AF106" s="653"/>
      <c r="AG106" s="653"/>
      <c r="AH106" s="653"/>
      <c r="AI106" s="653"/>
      <c r="AJ106" s="653"/>
      <c r="AK106" s="653"/>
      <c r="AL106" s="653"/>
      <c r="AM106" s="653"/>
      <c r="AN106" s="653"/>
      <c r="AO106" s="653"/>
      <c r="AP106" s="653"/>
      <c r="AQ106" s="653"/>
      <c r="AR106" s="653"/>
      <c r="AS106" s="653"/>
      <c r="AT106" s="653"/>
      <c r="AU106" s="653"/>
      <c r="AV106" s="653"/>
      <c r="AW106" s="653"/>
      <c r="AX106" s="653"/>
      <c r="AY106" s="653"/>
      <c r="AZ106" s="653"/>
      <c r="BA106" s="653"/>
      <c r="BB106" s="653"/>
    </row>
    <row r="107" spans="1:54" s="175" customFormat="1" ht="12.75" hidden="1" outlineLevel="1">
      <c r="A107" s="173" t="s">
        <v>2813</v>
      </c>
      <c r="B107" s="174"/>
      <c r="C107" s="174" t="s">
        <v>2814</v>
      </c>
      <c r="D107" s="174" t="s">
        <v>2815</v>
      </c>
      <c r="E107" s="210">
        <v>920073.98</v>
      </c>
      <c r="F107" s="210">
        <v>12930.41</v>
      </c>
      <c r="G107" s="210"/>
      <c r="H107" s="211">
        <v>1579.64</v>
      </c>
      <c r="I107" s="211">
        <v>2099.71</v>
      </c>
      <c r="J107" s="211">
        <v>0</v>
      </c>
      <c r="K107" s="211">
        <v>0</v>
      </c>
      <c r="L107" s="211">
        <v>5143.32</v>
      </c>
      <c r="M107" s="211">
        <v>0</v>
      </c>
      <c r="N107" s="211">
        <v>7624.34</v>
      </c>
      <c r="O107" s="210">
        <v>16447.01</v>
      </c>
      <c r="P107" s="210">
        <v>0</v>
      </c>
      <c r="Q107" s="210">
        <f t="shared" si="5"/>
        <v>949451.4</v>
      </c>
      <c r="R107" s="173"/>
      <c r="S107" s="653"/>
      <c r="T107" s="653"/>
      <c r="U107" s="653"/>
      <c r="V107" s="653"/>
      <c r="W107" s="653"/>
      <c r="X107" s="653"/>
      <c r="Y107" s="653"/>
      <c r="Z107" s="653"/>
      <c r="AA107" s="653"/>
      <c r="AB107" s="653"/>
      <c r="AC107" s="653"/>
      <c r="AD107" s="653"/>
      <c r="AE107" s="653"/>
      <c r="AF107" s="653"/>
      <c r="AG107" s="653"/>
      <c r="AH107" s="653"/>
      <c r="AI107" s="653"/>
      <c r="AJ107" s="653"/>
      <c r="AK107" s="653"/>
      <c r="AL107" s="653"/>
      <c r="AM107" s="653"/>
      <c r="AN107" s="653"/>
      <c r="AO107" s="653"/>
      <c r="AP107" s="653"/>
      <c r="AQ107" s="653"/>
      <c r="AR107" s="653"/>
      <c r="AS107" s="653"/>
      <c r="AT107" s="653"/>
      <c r="AU107" s="653"/>
      <c r="AV107" s="653"/>
      <c r="AW107" s="653"/>
      <c r="AX107" s="653"/>
      <c r="AY107" s="653"/>
      <c r="AZ107" s="653"/>
      <c r="BA107" s="653"/>
      <c r="BB107" s="653"/>
    </row>
    <row r="108" spans="1:54" s="175" customFormat="1" ht="12.75" hidden="1" outlineLevel="1">
      <c r="A108" s="173" t="s">
        <v>2816</v>
      </c>
      <c r="B108" s="174"/>
      <c r="C108" s="174" t="s">
        <v>2817</v>
      </c>
      <c r="D108" s="174" t="s">
        <v>2818</v>
      </c>
      <c r="E108" s="210">
        <v>27671.87</v>
      </c>
      <c r="F108" s="210">
        <v>0</v>
      </c>
      <c r="G108" s="210"/>
      <c r="H108" s="211">
        <v>0</v>
      </c>
      <c r="I108" s="211">
        <v>0</v>
      </c>
      <c r="J108" s="211">
        <v>0</v>
      </c>
      <c r="K108" s="211">
        <v>0</v>
      </c>
      <c r="L108" s="211">
        <v>0</v>
      </c>
      <c r="M108" s="211">
        <v>0</v>
      </c>
      <c r="N108" s="211">
        <v>0</v>
      </c>
      <c r="O108" s="210">
        <v>0</v>
      </c>
      <c r="P108" s="210">
        <v>0</v>
      </c>
      <c r="Q108" s="210">
        <f t="shared" si="5"/>
        <v>27671.87</v>
      </c>
      <c r="R108" s="173"/>
      <c r="S108" s="653"/>
      <c r="T108" s="653"/>
      <c r="U108" s="653"/>
      <c r="V108" s="653"/>
      <c r="W108" s="653"/>
      <c r="X108" s="653"/>
      <c r="Y108" s="653"/>
      <c r="Z108" s="653"/>
      <c r="AA108" s="653"/>
      <c r="AB108" s="653"/>
      <c r="AC108" s="653"/>
      <c r="AD108" s="653"/>
      <c r="AE108" s="653"/>
      <c r="AF108" s="653"/>
      <c r="AG108" s="653"/>
      <c r="AH108" s="653"/>
      <c r="AI108" s="653"/>
      <c r="AJ108" s="653"/>
      <c r="AK108" s="653"/>
      <c r="AL108" s="653"/>
      <c r="AM108" s="653"/>
      <c r="AN108" s="653"/>
      <c r="AO108" s="653"/>
      <c r="AP108" s="653"/>
      <c r="AQ108" s="653"/>
      <c r="AR108" s="653"/>
      <c r="AS108" s="653"/>
      <c r="AT108" s="653"/>
      <c r="AU108" s="653"/>
      <c r="AV108" s="653"/>
      <c r="AW108" s="653"/>
      <c r="AX108" s="653"/>
      <c r="AY108" s="653"/>
      <c r="AZ108" s="653"/>
      <c r="BA108" s="653"/>
      <c r="BB108" s="653"/>
    </row>
    <row r="109" spans="1:54" s="175" customFormat="1" ht="12.75" hidden="1" outlineLevel="1">
      <c r="A109" s="173" t="s">
        <v>2819</v>
      </c>
      <c r="B109" s="174"/>
      <c r="C109" s="174" t="s">
        <v>2820</v>
      </c>
      <c r="D109" s="174" t="s">
        <v>2821</v>
      </c>
      <c r="E109" s="210">
        <v>162363.5</v>
      </c>
      <c r="F109" s="210">
        <v>-6063.67</v>
      </c>
      <c r="G109" s="210"/>
      <c r="H109" s="211">
        <v>702.95</v>
      </c>
      <c r="I109" s="211">
        <v>1733.44</v>
      </c>
      <c r="J109" s="211">
        <v>-597.21</v>
      </c>
      <c r="K109" s="211">
        <v>0</v>
      </c>
      <c r="L109" s="211">
        <v>1409.1</v>
      </c>
      <c r="M109" s="211">
        <v>0</v>
      </c>
      <c r="N109" s="211">
        <v>-1971.45</v>
      </c>
      <c r="O109" s="210">
        <v>1276.83</v>
      </c>
      <c r="P109" s="210">
        <v>0</v>
      </c>
      <c r="Q109" s="210">
        <f t="shared" si="5"/>
        <v>157576.65999999997</v>
      </c>
      <c r="R109" s="173"/>
      <c r="S109" s="653"/>
      <c r="T109" s="653"/>
      <c r="U109" s="653"/>
      <c r="V109" s="653"/>
      <c r="W109" s="653"/>
      <c r="X109" s="653"/>
      <c r="Y109" s="653"/>
      <c r="Z109" s="653"/>
      <c r="AA109" s="653"/>
      <c r="AB109" s="653"/>
      <c r="AC109" s="653"/>
      <c r="AD109" s="653"/>
      <c r="AE109" s="653"/>
      <c r="AF109" s="653"/>
      <c r="AG109" s="653"/>
      <c r="AH109" s="653"/>
      <c r="AI109" s="653"/>
      <c r="AJ109" s="653"/>
      <c r="AK109" s="653"/>
      <c r="AL109" s="653"/>
      <c r="AM109" s="653"/>
      <c r="AN109" s="653"/>
      <c r="AO109" s="653"/>
      <c r="AP109" s="653"/>
      <c r="AQ109" s="653"/>
      <c r="AR109" s="653"/>
      <c r="AS109" s="653"/>
      <c r="AT109" s="653"/>
      <c r="AU109" s="653"/>
      <c r="AV109" s="653"/>
      <c r="AW109" s="653"/>
      <c r="AX109" s="653"/>
      <c r="AY109" s="653"/>
      <c r="AZ109" s="653"/>
      <c r="BA109" s="653"/>
      <c r="BB109" s="653"/>
    </row>
    <row r="110" spans="1:54" s="202" customFormat="1" ht="12.75" customHeight="1" collapsed="1">
      <c r="A110" s="199" t="s">
        <v>2822</v>
      </c>
      <c r="B110" s="199"/>
      <c r="C110" s="201" t="s">
        <v>2178</v>
      </c>
      <c r="D110" s="207"/>
      <c r="E110" s="103">
        <v>52054452.099999994</v>
      </c>
      <c r="F110" s="103">
        <v>744116.35</v>
      </c>
      <c r="G110" s="103">
        <v>1381225.06</v>
      </c>
      <c r="H110" s="102">
        <v>520652.87</v>
      </c>
      <c r="I110" s="102">
        <v>196196.41</v>
      </c>
      <c r="J110" s="102">
        <v>68194.97</v>
      </c>
      <c r="K110" s="102">
        <v>0</v>
      </c>
      <c r="L110" s="102">
        <v>167713.02</v>
      </c>
      <c r="M110" s="102">
        <v>0</v>
      </c>
      <c r="N110" s="102">
        <v>65835.64</v>
      </c>
      <c r="O110" s="103">
        <v>1018592.91</v>
      </c>
      <c r="P110" s="103">
        <v>0</v>
      </c>
      <c r="Q110" s="103">
        <f t="shared" si="5"/>
        <v>55198386.419999994</v>
      </c>
      <c r="R110" s="201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</row>
    <row r="111" spans="1:54" s="175" customFormat="1" ht="12.75" hidden="1" outlineLevel="1">
      <c r="A111" s="173" t="s">
        <v>2823</v>
      </c>
      <c r="B111" s="174"/>
      <c r="C111" s="174" t="s">
        <v>2179</v>
      </c>
      <c r="D111" s="174" t="s">
        <v>2824</v>
      </c>
      <c r="E111" s="210">
        <v>16.52</v>
      </c>
      <c r="F111" s="210">
        <v>0</v>
      </c>
      <c r="G111" s="210"/>
      <c r="H111" s="211">
        <v>0</v>
      </c>
      <c r="I111" s="211">
        <v>0</v>
      </c>
      <c r="J111" s="211">
        <v>0</v>
      </c>
      <c r="K111" s="211">
        <v>0</v>
      </c>
      <c r="L111" s="211">
        <v>0</v>
      </c>
      <c r="M111" s="211">
        <v>0</v>
      </c>
      <c r="N111" s="211">
        <v>0</v>
      </c>
      <c r="O111" s="210">
        <v>0</v>
      </c>
      <c r="P111" s="210">
        <v>0</v>
      </c>
      <c r="Q111" s="210">
        <f t="shared" si="5"/>
        <v>16.52</v>
      </c>
      <c r="R111" s="173"/>
      <c r="S111" s="653"/>
      <c r="T111" s="653"/>
      <c r="U111" s="653"/>
      <c r="V111" s="653"/>
      <c r="W111" s="653"/>
      <c r="X111" s="653"/>
      <c r="Y111" s="653"/>
      <c r="Z111" s="653"/>
      <c r="AA111" s="653"/>
      <c r="AB111" s="653"/>
      <c r="AC111" s="653"/>
      <c r="AD111" s="653"/>
      <c r="AE111" s="653"/>
      <c r="AF111" s="653"/>
      <c r="AG111" s="653"/>
      <c r="AH111" s="653"/>
      <c r="AI111" s="653"/>
      <c r="AJ111" s="653"/>
      <c r="AK111" s="653"/>
      <c r="AL111" s="653"/>
      <c r="AM111" s="653"/>
      <c r="AN111" s="653"/>
      <c r="AO111" s="653"/>
      <c r="AP111" s="653"/>
      <c r="AQ111" s="653"/>
      <c r="AR111" s="653"/>
      <c r="AS111" s="653"/>
      <c r="AT111" s="653"/>
      <c r="AU111" s="653"/>
      <c r="AV111" s="653"/>
      <c r="AW111" s="653"/>
      <c r="AX111" s="653"/>
      <c r="AY111" s="653"/>
      <c r="AZ111" s="653"/>
      <c r="BA111" s="653"/>
      <c r="BB111" s="653"/>
    </row>
    <row r="112" spans="1:54" s="175" customFormat="1" ht="12.75" hidden="1" outlineLevel="1">
      <c r="A112" s="173" t="s">
        <v>2825</v>
      </c>
      <c r="B112" s="174"/>
      <c r="C112" s="174" t="s">
        <v>2826</v>
      </c>
      <c r="D112" s="174" t="s">
        <v>2827</v>
      </c>
      <c r="E112" s="210">
        <v>5266236.37</v>
      </c>
      <c r="F112" s="210">
        <v>43517.03</v>
      </c>
      <c r="G112" s="210"/>
      <c r="H112" s="211">
        <v>0</v>
      </c>
      <c r="I112" s="211">
        <v>0</v>
      </c>
      <c r="J112" s="211">
        <v>0</v>
      </c>
      <c r="K112" s="211">
        <v>0</v>
      </c>
      <c r="L112" s="211">
        <v>0</v>
      </c>
      <c r="M112" s="211">
        <v>0</v>
      </c>
      <c r="N112" s="211">
        <v>0</v>
      </c>
      <c r="O112" s="210">
        <v>0</v>
      </c>
      <c r="P112" s="210">
        <v>0</v>
      </c>
      <c r="Q112" s="210">
        <f t="shared" si="5"/>
        <v>5309753.4</v>
      </c>
      <c r="R112" s="17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</row>
    <row r="113" spans="1:54" s="175" customFormat="1" ht="12.75" hidden="1" outlineLevel="1">
      <c r="A113" s="173" t="s">
        <v>2828</v>
      </c>
      <c r="B113" s="174"/>
      <c r="C113" s="174" t="s">
        <v>2829</v>
      </c>
      <c r="D113" s="174" t="s">
        <v>2830</v>
      </c>
      <c r="E113" s="210">
        <v>98717.89</v>
      </c>
      <c r="F113" s="210">
        <v>9036</v>
      </c>
      <c r="G113" s="210"/>
      <c r="H113" s="211">
        <v>0</v>
      </c>
      <c r="I113" s="211">
        <v>0</v>
      </c>
      <c r="J113" s="211">
        <v>0</v>
      </c>
      <c r="K113" s="211">
        <v>0</v>
      </c>
      <c r="L113" s="211">
        <v>0</v>
      </c>
      <c r="M113" s="211">
        <v>0</v>
      </c>
      <c r="N113" s="211">
        <v>0</v>
      </c>
      <c r="O113" s="210">
        <v>0</v>
      </c>
      <c r="P113" s="210">
        <v>0</v>
      </c>
      <c r="Q113" s="210">
        <f t="shared" si="5"/>
        <v>107753.89</v>
      </c>
      <c r="R113" s="173"/>
      <c r="S113" s="653"/>
      <c r="T113" s="653"/>
      <c r="U113" s="653"/>
      <c r="V113" s="653"/>
      <c r="W113" s="653"/>
      <c r="X113" s="653"/>
      <c r="Y113" s="653"/>
      <c r="Z113" s="653"/>
      <c r="AA113" s="653"/>
      <c r="AB113" s="653"/>
      <c r="AC113" s="653"/>
      <c r="AD113" s="653"/>
      <c r="AE113" s="653"/>
      <c r="AF113" s="653"/>
      <c r="AG113" s="653"/>
      <c r="AH113" s="653"/>
      <c r="AI113" s="653"/>
      <c r="AJ113" s="653"/>
      <c r="AK113" s="653"/>
      <c r="AL113" s="653"/>
      <c r="AM113" s="653"/>
      <c r="AN113" s="653"/>
      <c r="AO113" s="653"/>
      <c r="AP113" s="653"/>
      <c r="AQ113" s="653"/>
      <c r="AR113" s="653"/>
      <c r="AS113" s="653"/>
      <c r="AT113" s="653"/>
      <c r="AU113" s="653"/>
      <c r="AV113" s="653"/>
      <c r="AW113" s="653"/>
      <c r="AX113" s="653"/>
      <c r="AY113" s="653"/>
      <c r="AZ113" s="653"/>
      <c r="BA113" s="653"/>
      <c r="BB113" s="653"/>
    </row>
    <row r="114" spans="1:54" s="175" customFormat="1" ht="12.75" hidden="1" outlineLevel="1">
      <c r="A114" s="173" t="s">
        <v>2831</v>
      </c>
      <c r="B114" s="174"/>
      <c r="C114" s="174" t="s">
        <v>2832</v>
      </c>
      <c r="D114" s="174" t="s">
        <v>2833</v>
      </c>
      <c r="E114" s="210">
        <v>890537.84</v>
      </c>
      <c r="F114" s="210">
        <v>14601.67</v>
      </c>
      <c r="G114" s="210"/>
      <c r="H114" s="211">
        <v>0</v>
      </c>
      <c r="I114" s="211">
        <v>0</v>
      </c>
      <c r="J114" s="211">
        <v>0</v>
      </c>
      <c r="K114" s="211">
        <v>0</v>
      </c>
      <c r="L114" s="211">
        <v>0</v>
      </c>
      <c r="M114" s="211">
        <v>0</v>
      </c>
      <c r="N114" s="211">
        <v>0</v>
      </c>
      <c r="O114" s="210">
        <v>0</v>
      </c>
      <c r="P114" s="210">
        <v>0</v>
      </c>
      <c r="Q114" s="210">
        <f t="shared" si="5"/>
        <v>905139.51</v>
      </c>
      <c r="R114" s="173"/>
      <c r="S114" s="653"/>
      <c r="T114" s="653"/>
      <c r="U114" s="653"/>
      <c r="V114" s="653"/>
      <c r="W114" s="653"/>
      <c r="X114" s="653"/>
      <c r="Y114" s="653"/>
      <c r="Z114" s="653"/>
      <c r="AA114" s="653"/>
      <c r="AB114" s="653"/>
      <c r="AC114" s="653"/>
      <c r="AD114" s="653"/>
      <c r="AE114" s="653"/>
      <c r="AF114" s="653"/>
      <c r="AG114" s="653"/>
      <c r="AH114" s="653"/>
      <c r="AI114" s="653"/>
      <c r="AJ114" s="653"/>
      <c r="AK114" s="653"/>
      <c r="AL114" s="653"/>
      <c r="AM114" s="653"/>
      <c r="AN114" s="653"/>
      <c r="AO114" s="653"/>
      <c r="AP114" s="653"/>
      <c r="AQ114" s="653"/>
      <c r="AR114" s="653"/>
      <c r="AS114" s="653"/>
      <c r="AT114" s="653"/>
      <c r="AU114" s="653"/>
      <c r="AV114" s="653"/>
      <c r="AW114" s="653"/>
      <c r="AX114" s="653"/>
      <c r="AY114" s="653"/>
      <c r="AZ114" s="653"/>
      <c r="BA114" s="653"/>
      <c r="BB114" s="653"/>
    </row>
    <row r="115" spans="1:54" s="175" customFormat="1" ht="12.75" hidden="1" outlineLevel="1">
      <c r="A115" s="173" t="s">
        <v>2834</v>
      </c>
      <c r="B115" s="174"/>
      <c r="C115" s="174" t="s">
        <v>2835</v>
      </c>
      <c r="D115" s="174" t="s">
        <v>2836</v>
      </c>
      <c r="E115" s="210">
        <v>10129.65</v>
      </c>
      <c r="F115" s="210">
        <v>1860.47</v>
      </c>
      <c r="G115" s="210"/>
      <c r="H115" s="211">
        <v>0</v>
      </c>
      <c r="I115" s="211">
        <v>0</v>
      </c>
      <c r="J115" s="211">
        <v>0</v>
      </c>
      <c r="K115" s="211">
        <v>0</v>
      </c>
      <c r="L115" s="211">
        <v>0</v>
      </c>
      <c r="M115" s="211">
        <v>0</v>
      </c>
      <c r="N115" s="211">
        <v>0</v>
      </c>
      <c r="O115" s="210">
        <v>0</v>
      </c>
      <c r="P115" s="210">
        <v>0</v>
      </c>
      <c r="Q115" s="210">
        <f t="shared" si="5"/>
        <v>11990.119999999999</v>
      </c>
      <c r="R115" s="173"/>
      <c r="S115" s="653"/>
      <c r="T115" s="653"/>
      <c r="U115" s="653"/>
      <c r="V115" s="653"/>
      <c r="W115" s="653"/>
      <c r="X115" s="653"/>
      <c r="Y115" s="653"/>
      <c r="Z115" s="653"/>
      <c r="AA115" s="653"/>
      <c r="AB115" s="653"/>
      <c r="AC115" s="653"/>
      <c r="AD115" s="653"/>
      <c r="AE115" s="653"/>
      <c r="AF115" s="653"/>
      <c r="AG115" s="653"/>
      <c r="AH115" s="653"/>
      <c r="AI115" s="653"/>
      <c r="AJ115" s="653"/>
      <c r="AK115" s="653"/>
      <c r="AL115" s="653"/>
      <c r="AM115" s="653"/>
      <c r="AN115" s="653"/>
      <c r="AO115" s="653"/>
      <c r="AP115" s="653"/>
      <c r="AQ115" s="653"/>
      <c r="AR115" s="653"/>
      <c r="AS115" s="653"/>
      <c r="AT115" s="653"/>
      <c r="AU115" s="653"/>
      <c r="AV115" s="653"/>
      <c r="AW115" s="653"/>
      <c r="AX115" s="653"/>
      <c r="AY115" s="653"/>
      <c r="AZ115" s="653"/>
      <c r="BA115" s="653"/>
      <c r="BB115" s="653"/>
    </row>
    <row r="116" spans="1:54" s="175" customFormat="1" ht="12.75" hidden="1" outlineLevel="1">
      <c r="A116" s="173" t="s">
        <v>2837</v>
      </c>
      <c r="B116" s="174"/>
      <c r="C116" s="174" t="s">
        <v>2838</v>
      </c>
      <c r="D116" s="174" t="s">
        <v>2839</v>
      </c>
      <c r="E116" s="210">
        <v>1958278.63</v>
      </c>
      <c r="F116" s="210">
        <v>6697.66</v>
      </c>
      <c r="G116" s="210"/>
      <c r="H116" s="211">
        <v>0</v>
      </c>
      <c r="I116" s="211">
        <v>196.41</v>
      </c>
      <c r="J116" s="211">
        <v>0</v>
      </c>
      <c r="K116" s="211">
        <v>0</v>
      </c>
      <c r="L116" s="211">
        <v>12043.74</v>
      </c>
      <c r="M116" s="211">
        <v>0</v>
      </c>
      <c r="N116" s="211">
        <v>0</v>
      </c>
      <c r="O116" s="210">
        <v>12240.15</v>
      </c>
      <c r="P116" s="210">
        <v>0</v>
      </c>
      <c r="Q116" s="210">
        <f t="shared" si="5"/>
        <v>1977216.4399999997</v>
      </c>
      <c r="R116" s="173"/>
      <c r="S116" s="653"/>
      <c r="T116" s="653"/>
      <c r="U116" s="653"/>
      <c r="V116" s="653"/>
      <c r="W116" s="653"/>
      <c r="X116" s="653"/>
      <c r="Y116" s="653"/>
      <c r="Z116" s="653"/>
      <c r="AA116" s="653"/>
      <c r="AB116" s="653"/>
      <c r="AC116" s="653"/>
      <c r="AD116" s="653"/>
      <c r="AE116" s="653"/>
      <c r="AF116" s="653"/>
      <c r="AG116" s="653"/>
      <c r="AH116" s="653"/>
      <c r="AI116" s="653"/>
      <c r="AJ116" s="653"/>
      <c r="AK116" s="653"/>
      <c r="AL116" s="653"/>
      <c r="AM116" s="653"/>
      <c r="AN116" s="653"/>
      <c r="AO116" s="653"/>
      <c r="AP116" s="653"/>
      <c r="AQ116" s="653"/>
      <c r="AR116" s="653"/>
      <c r="AS116" s="653"/>
      <c r="AT116" s="653"/>
      <c r="AU116" s="653"/>
      <c r="AV116" s="653"/>
      <c r="AW116" s="653"/>
      <c r="AX116" s="653"/>
      <c r="AY116" s="653"/>
      <c r="AZ116" s="653"/>
      <c r="BA116" s="653"/>
      <c r="BB116" s="653"/>
    </row>
    <row r="117" spans="1:54" s="175" customFormat="1" ht="12.75" hidden="1" outlineLevel="1">
      <c r="A117" s="173" t="s">
        <v>2840</v>
      </c>
      <c r="B117" s="174"/>
      <c r="C117" s="174" t="s">
        <v>2841</v>
      </c>
      <c r="D117" s="174" t="s">
        <v>2842</v>
      </c>
      <c r="E117" s="210">
        <v>1391456.72</v>
      </c>
      <c r="F117" s="210">
        <v>16772.99</v>
      </c>
      <c r="G117" s="210"/>
      <c r="H117" s="211">
        <v>10272.25</v>
      </c>
      <c r="I117" s="211">
        <v>27818.3</v>
      </c>
      <c r="J117" s="211">
        <v>0</v>
      </c>
      <c r="K117" s="211">
        <v>0</v>
      </c>
      <c r="L117" s="211">
        <v>0</v>
      </c>
      <c r="M117" s="211">
        <v>0</v>
      </c>
      <c r="N117" s="211">
        <v>0</v>
      </c>
      <c r="O117" s="210">
        <v>38090.55</v>
      </c>
      <c r="P117" s="210">
        <v>0</v>
      </c>
      <c r="Q117" s="210">
        <f t="shared" si="5"/>
        <v>1446320.26</v>
      </c>
      <c r="R117" s="173"/>
      <c r="S117" s="653"/>
      <c r="T117" s="653"/>
      <c r="U117" s="653"/>
      <c r="V117" s="653"/>
      <c r="W117" s="653"/>
      <c r="X117" s="653"/>
      <c r="Y117" s="653"/>
      <c r="Z117" s="653"/>
      <c r="AA117" s="653"/>
      <c r="AB117" s="653"/>
      <c r="AC117" s="653"/>
      <c r="AD117" s="653"/>
      <c r="AE117" s="653"/>
      <c r="AF117" s="653"/>
      <c r="AG117" s="653"/>
      <c r="AH117" s="653"/>
      <c r="AI117" s="653"/>
      <c r="AJ117" s="653"/>
      <c r="AK117" s="653"/>
      <c r="AL117" s="653"/>
      <c r="AM117" s="653"/>
      <c r="AN117" s="653"/>
      <c r="AO117" s="653"/>
      <c r="AP117" s="653"/>
      <c r="AQ117" s="653"/>
      <c r="AR117" s="653"/>
      <c r="AS117" s="653"/>
      <c r="AT117" s="653"/>
      <c r="AU117" s="653"/>
      <c r="AV117" s="653"/>
      <c r="AW117" s="653"/>
      <c r="AX117" s="653"/>
      <c r="AY117" s="653"/>
      <c r="AZ117" s="653"/>
      <c r="BA117" s="653"/>
      <c r="BB117" s="653"/>
    </row>
    <row r="118" spans="1:54" s="175" customFormat="1" ht="12.75" hidden="1" outlineLevel="1">
      <c r="A118" s="173" t="s">
        <v>2843</v>
      </c>
      <c r="B118" s="174"/>
      <c r="C118" s="174" t="s">
        <v>2844</v>
      </c>
      <c r="D118" s="174" t="s">
        <v>2845</v>
      </c>
      <c r="E118" s="210">
        <v>427370.12</v>
      </c>
      <c r="F118" s="210">
        <v>-13.83</v>
      </c>
      <c r="G118" s="210"/>
      <c r="H118" s="211">
        <v>7895.56</v>
      </c>
      <c r="I118" s="211">
        <v>12086.29</v>
      </c>
      <c r="J118" s="211">
        <v>0</v>
      </c>
      <c r="K118" s="211">
        <v>0</v>
      </c>
      <c r="L118" s="211">
        <v>0</v>
      </c>
      <c r="M118" s="211">
        <v>0</v>
      </c>
      <c r="N118" s="211">
        <v>6060.42</v>
      </c>
      <c r="O118" s="210">
        <v>26042.27</v>
      </c>
      <c r="P118" s="210">
        <v>0</v>
      </c>
      <c r="Q118" s="210">
        <f t="shared" si="5"/>
        <v>453398.56</v>
      </c>
      <c r="R118" s="173"/>
      <c r="S118" s="653"/>
      <c r="T118" s="653"/>
      <c r="U118" s="653"/>
      <c r="V118" s="653"/>
      <c r="W118" s="653"/>
      <c r="X118" s="653"/>
      <c r="Y118" s="653"/>
      <c r="Z118" s="653"/>
      <c r="AA118" s="653"/>
      <c r="AB118" s="653"/>
      <c r="AC118" s="653"/>
      <c r="AD118" s="653"/>
      <c r="AE118" s="653"/>
      <c r="AF118" s="653"/>
      <c r="AG118" s="653"/>
      <c r="AH118" s="653"/>
      <c r="AI118" s="653"/>
      <c r="AJ118" s="653"/>
      <c r="AK118" s="653"/>
      <c r="AL118" s="653"/>
      <c r="AM118" s="653"/>
      <c r="AN118" s="653"/>
      <c r="AO118" s="653"/>
      <c r="AP118" s="653"/>
      <c r="AQ118" s="653"/>
      <c r="AR118" s="653"/>
      <c r="AS118" s="653"/>
      <c r="AT118" s="653"/>
      <c r="AU118" s="653"/>
      <c r="AV118" s="653"/>
      <c r="AW118" s="653"/>
      <c r="AX118" s="653"/>
      <c r="AY118" s="653"/>
      <c r="AZ118" s="653"/>
      <c r="BA118" s="653"/>
      <c r="BB118" s="653"/>
    </row>
    <row r="119" spans="1:54" s="175" customFormat="1" ht="12.75" hidden="1" outlineLevel="1">
      <c r="A119" s="173" t="s">
        <v>2846</v>
      </c>
      <c r="B119" s="174"/>
      <c r="C119" s="174" t="s">
        <v>2847</v>
      </c>
      <c r="D119" s="174" t="s">
        <v>2848</v>
      </c>
      <c r="E119" s="210">
        <v>1252132.11</v>
      </c>
      <c r="F119" s="210">
        <v>33291.26</v>
      </c>
      <c r="G119" s="210"/>
      <c r="H119" s="211">
        <v>0</v>
      </c>
      <c r="I119" s="211">
        <v>9979.28</v>
      </c>
      <c r="J119" s="211">
        <v>0</v>
      </c>
      <c r="K119" s="211">
        <v>0</v>
      </c>
      <c r="L119" s="211">
        <v>4548.1</v>
      </c>
      <c r="M119" s="211">
        <v>0</v>
      </c>
      <c r="N119" s="211">
        <v>10178.01</v>
      </c>
      <c r="O119" s="210">
        <v>24705.39</v>
      </c>
      <c r="P119" s="210">
        <v>0</v>
      </c>
      <c r="Q119" s="210">
        <f t="shared" si="5"/>
        <v>1310128.76</v>
      </c>
      <c r="R119" s="173"/>
      <c r="S119" s="653"/>
      <c r="T119" s="653"/>
      <c r="U119" s="653"/>
      <c r="V119" s="653"/>
      <c r="W119" s="653"/>
      <c r="X119" s="653"/>
      <c r="Y119" s="653"/>
      <c r="Z119" s="653"/>
      <c r="AA119" s="653"/>
      <c r="AB119" s="653"/>
      <c r="AC119" s="653"/>
      <c r="AD119" s="653"/>
      <c r="AE119" s="653"/>
      <c r="AF119" s="653"/>
      <c r="AG119" s="653"/>
      <c r="AH119" s="653"/>
      <c r="AI119" s="653"/>
      <c r="AJ119" s="653"/>
      <c r="AK119" s="653"/>
      <c r="AL119" s="653"/>
      <c r="AM119" s="653"/>
      <c r="AN119" s="653"/>
      <c r="AO119" s="653"/>
      <c r="AP119" s="653"/>
      <c r="AQ119" s="653"/>
      <c r="AR119" s="653"/>
      <c r="AS119" s="653"/>
      <c r="AT119" s="653"/>
      <c r="AU119" s="653"/>
      <c r="AV119" s="653"/>
      <c r="AW119" s="653"/>
      <c r="AX119" s="653"/>
      <c r="AY119" s="653"/>
      <c r="AZ119" s="653"/>
      <c r="BA119" s="653"/>
      <c r="BB119" s="653"/>
    </row>
    <row r="120" spans="1:54" s="175" customFormat="1" ht="12.75" hidden="1" outlineLevel="1">
      <c r="A120" s="173" t="s">
        <v>2849</v>
      </c>
      <c r="B120" s="174"/>
      <c r="C120" s="174" t="s">
        <v>2850</v>
      </c>
      <c r="D120" s="174" t="s">
        <v>2851</v>
      </c>
      <c r="E120" s="210">
        <v>397600.69</v>
      </c>
      <c r="F120" s="210">
        <v>0</v>
      </c>
      <c r="G120" s="210"/>
      <c r="H120" s="211">
        <v>109396.02</v>
      </c>
      <c r="I120" s="211">
        <v>0</v>
      </c>
      <c r="J120" s="211">
        <v>0</v>
      </c>
      <c r="K120" s="211">
        <v>0</v>
      </c>
      <c r="L120" s="211">
        <v>26172.53</v>
      </c>
      <c r="M120" s="211">
        <v>0</v>
      </c>
      <c r="N120" s="211">
        <v>0</v>
      </c>
      <c r="O120" s="210">
        <v>135568.55</v>
      </c>
      <c r="P120" s="210">
        <v>0</v>
      </c>
      <c r="Q120" s="210">
        <f t="shared" si="5"/>
        <v>533169.24</v>
      </c>
      <c r="R120" s="17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653"/>
      <c r="AJ120" s="653"/>
      <c r="AK120" s="653"/>
      <c r="AL120" s="653"/>
      <c r="AM120" s="653"/>
      <c r="AN120" s="653"/>
      <c r="AO120" s="653"/>
      <c r="AP120" s="653"/>
      <c r="AQ120" s="653"/>
      <c r="AR120" s="653"/>
      <c r="AS120" s="653"/>
      <c r="AT120" s="653"/>
      <c r="AU120" s="653"/>
      <c r="AV120" s="653"/>
      <c r="AW120" s="653"/>
      <c r="AX120" s="653"/>
      <c r="AY120" s="653"/>
      <c r="AZ120" s="653"/>
      <c r="BA120" s="653"/>
      <c r="BB120" s="653"/>
    </row>
    <row r="121" spans="1:54" s="175" customFormat="1" ht="12.75" hidden="1" outlineLevel="1">
      <c r="A121" s="173" t="s">
        <v>2852</v>
      </c>
      <c r="B121" s="174"/>
      <c r="C121" s="174" t="s">
        <v>2853</v>
      </c>
      <c r="D121" s="174" t="s">
        <v>2854</v>
      </c>
      <c r="E121" s="210">
        <v>424050.7</v>
      </c>
      <c r="F121" s="210">
        <v>32.55</v>
      </c>
      <c r="G121" s="210"/>
      <c r="H121" s="211">
        <v>12806.11</v>
      </c>
      <c r="I121" s="211">
        <v>0</v>
      </c>
      <c r="J121" s="211">
        <v>18666.32</v>
      </c>
      <c r="K121" s="211">
        <v>0</v>
      </c>
      <c r="L121" s="211">
        <v>0</v>
      </c>
      <c r="M121" s="211">
        <v>0</v>
      </c>
      <c r="N121" s="211">
        <v>0</v>
      </c>
      <c r="O121" s="210">
        <v>31472.43</v>
      </c>
      <c r="P121" s="210">
        <v>0</v>
      </c>
      <c r="Q121" s="210">
        <f t="shared" si="5"/>
        <v>455555.68</v>
      </c>
      <c r="R121" s="173"/>
      <c r="S121" s="653"/>
      <c r="T121" s="653"/>
      <c r="U121" s="653"/>
      <c r="V121" s="653"/>
      <c r="W121" s="653"/>
      <c r="X121" s="653"/>
      <c r="Y121" s="653"/>
      <c r="Z121" s="653"/>
      <c r="AA121" s="653"/>
      <c r="AB121" s="653"/>
      <c r="AC121" s="653"/>
      <c r="AD121" s="653"/>
      <c r="AE121" s="653"/>
      <c r="AF121" s="653"/>
      <c r="AG121" s="653"/>
      <c r="AH121" s="653"/>
      <c r="AI121" s="653"/>
      <c r="AJ121" s="653"/>
      <c r="AK121" s="653"/>
      <c r="AL121" s="653"/>
      <c r="AM121" s="653"/>
      <c r="AN121" s="653"/>
      <c r="AO121" s="653"/>
      <c r="AP121" s="653"/>
      <c r="AQ121" s="653"/>
      <c r="AR121" s="653"/>
      <c r="AS121" s="653"/>
      <c r="AT121" s="653"/>
      <c r="AU121" s="653"/>
      <c r="AV121" s="653"/>
      <c r="AW121" s="653"/>
      <c r="AX121" s="653"/>
      <c r="AY121" s="653"/>
      <c r="AZ121" s="653"/>
      <c r="BA121" s="653"/>
      <c r="BB121" s="653"/>
    </row>
    <row r="122" spans="1:54" s="175" customFormat="1" ht="12.75" hidden="1" outlineLevel="1">
      <c r="A122" s="173" t="s">
        <v>2855</v>
      </c>
      <c r="B122" s="174"/>
      <c r="C122" s="174" t="s">
        <v>2856</v>
      </c>
      <c r="D122" s="174" t="s">
        <v>2857</v>
      </c>
      <c r="E122" s="210">
        <v>11535.02</v>
      </c>
      <c r="F122" s="210">
        <v>0.17</v>
      </c>
      <c r="G122" s="210"/>
      <c r="H122" s="211">
        <v>68.39</v>
      </c>
      <c r="I122" s="211">
        <v>44.64</v>
      </c>
      <c r="J122" s="211">
        <v>0</v>
      </c>
      <c r="K122" s="211">
        <v>0</v>
      </c>
      <c r="L122" s="211">
        <v>0</v>
      </c>
      <c r="M122" s="211">
        <v>0</v>
      </c>
      <c r="N122" s="211">
        <v>0</v>
      </c>
      <c r="O122" s="210">
        <v>113.03</v>
      </c>
      <c r="P122" s="210">
        <v>0</v>
      </c>
      <c r="Q122" s="210">
        <f t="shared" si="5"/>
        <v>11648.220000000001</v>
      </c>
      <c r="R122" s="173"/>
      <c r="S122" s="653"/>
      <c r="T122" s="653"/>
      <c r="U122" s="653"/>
      <c r="V122" s="653"/>
      <c r="W122" s="653"/>
      <c r="X122" s="653"/>
      <c r="Y122" s="653"/>
      <c r="Z122" s="653"/>
      <c r="AA122" s="653"/>
      <c r="AB122" s="653"/>
      <c r="AC122" s="653"/>
      <c r="AD122" s="653"/>
      <c r="AE122" s="653"/>
      <c r="AF122" s="653"/>
      <c r="AG122" s="653"/>
      <c r="AH122" s="653"/>
      <c r="AI122" s="653"/>
      <c r="AJ122" s="653"/>
      <c r="AK122" s="653"/>
      <c r="AL122" s="653"/>
      <c r="AM122" s="653"/>
      <c r="AN122" s="653"/>
      <c r="AO122" s="653"/>
      <c r="AP122" s="653"/>
      <c r="AQ122" s="653"/>
      <c r="AR122" s="653"/>
      <c r="AS122" s="653"/>
      <c r="AT122" s="653"/>
      <c r="AU122" s="653"/>
      <c r="AV122" s="653"/>
      <c r="AW122" s="653"/>
      <c r="AX122" s="653"/>
      <c r="AY122" s="653"/>
      <c r="AZ122" s="653"/>
      <c r="BA122" s="653"/>
      <c r="BB122" s="653"/>
    </row>
    <row r="123" spans="1:54" s="175" customFormat="1" ht="12.75" hidden="1" outlineLevel="1">
      <c r="A123" s="173" t="s">
        <v>2858</v>
      </c>
      <c r="B123" s="174"/>
      <c r="C123" s="174" t="s">
        <v>2859</v>
      </c>
      <c r="D123" s="174" t="s">
        <v>2860</v>
      </c>
      <c r="E123" s="210">
        <v>-873.46</v>
      </c>
      <c r="F123" s="210">
        <v>0</v>
      </c>
      <c r="G123" s="210"/>
      <c r="H123" s="211">
        <v>0</v>
      </c>
      <c r="I123" s="211">
        <v>0</v>
      </c>
      <c r="J123" s="211">
        <v>0</v>
      </c>
      <c r="K123" s="211">
        <v>0</v>
      </c>
      <c r="L123" s="211">
        <v>0</v>
      </c>
      <c r="M123" s="211">
        <v>0</v>
      </c>
      <c r="N123" s="211">
        <v>0</v>
      </c>
      <c r="O123" s="210">
        <v>0</v>
      </c>
      <c r="P123" s="210">
        <v>0</v>
      </c>
      <c r="Q123" s="210">
        <f t="shared" si="5"/>
        <v>-873.46</v>
      </c>
      <c r="R123" s="173"/>
      <c r="S123" s="653"/>
      <c r="T123" s="653"/>
      <c r="U123" s="653"/>
      <c r="V123" s="653"/>
      <c r="W123" s="653"/>
      <c r="X123" s="653"/>
      <c r="Y123" s="653"/>
      <c r="Z123" s="653"/>
      <c r="AA123" s="653"/>
      <c r="AB123" s="653"/>
      <c r="AC123" s="653"/>
      <c r="AD123" s="653"/>
      <c r="AE123" s="653"/>
      <c r="AF123" s="653"/>
      <c r="AG123" s="653"/>
      <c r="AH123" s="653"/>
      <c r="AI123" s="653"/>
      <c r="AJ123" s="653"/>
      <c r="AK123" s="653"/>
      <c r="AL123" s="653"/>
      <c r="AM123" s="653"/>
      <c r="AN123" s="653"/>
      <c r="AO123" s="653"/>
      <c r="AP123" s="653"/>
      <c r="AQ123" s="653"/>
      <c r="AR123" s="653"/>
      <c r="AS123" s="653"/>
      <c r="AT123" s="653"/>
      <c r="AU123" s="653"/>
      <c r="AV123" s="653"/>
      <c r="AW123" s="653"/>
      <c r="AX123" s="653"/>
      <c r="AY123" s="653"/>
      <c r="AZ123" s="653"/>
      <c r="BA123" s="653"/>
      <c r="BB123" s="653"/>
    </row>
    <row r="124" spans="1:54" s="175" customFormat="1" ht="12.75" hidden="1" outlineLevel="1">
      <c r="A124" s="173" t="s">
        <v>2861</v>
      </c>
      <c r="B124" s="174"/>
      <c r="C124" s="174" t="s">
        <v>2862</v>
      </c>
      <c r="D124" s="174" t="s">
        <v>2863</v>
      </c>
      <c r="E124" s="210">
        <v>602.14</v>
      </c>
      <c r="F124" s="210">
        <v>0</v>
      </c>
      <c r="G124" s="210"/>
      <c r="H124" s="211">
        <v>0</v>
      </c>
      <c r="I124" s="211">
        <v>0</v>
      </c>
      <c r="J124" s="211">
        <v>0</v>
      </c>
      <c r="K124" s="211">
        <v>0</v>
      </c>
      <c r="L124" s="211">
        <v>0</v>
      </c>
      <c r="M124" s="211">
        <v>0</v>
      </c>
      <c r="N124" s="211">
        <v>0</v>
      </c>
      <c r="O124" s="210">
        <v>0</v>
      </c>
      <c r="P124" s="210">
        <v>0</v>
      </c>
      <c r="Q124" s="210">
        <f t="shared" si="5"/>
        <v>602.14</v>
      </c>
      <c r="R124" s="173"/>
      <c r="S124" s="653"/>
      <c r="T124" s="653"/>
      <c r="U124" s="653"/>
      <c r="V124" s="653"/>
      <c r="W124" s="653"/>
      <c r="X124" s="653"/>
      <c r="Y124" s="653"/>
      <c r="Z124" s="653"/>
      <c r="AA124" s="653"/>
      <c r="AB124" s="653"/>
      <c r="AC124" s="653"/>
      <c r="AD124" s="653"/>
      <c r="AE124" s="653"/>
      <c r="AF124" s="653"/>
      <c r="AG124" s="653"/>
      <c r="AH124" s="653"/>
      <c r="AI124" s="653"/>
      <c r="AJ124" s="653"/>
      <c r="AK124" s="653"/>
      <c r="AL124" s="653"/>
      <c r="AM124" s="653"/>
      <c r="AN124" s="653"/>
      <c r="AO124" s="653"/>
      <c r="AP124" s="653"/>
      <c r="AQ124" s="653"/>
      <c r="AR124" s="653"/>
      <c r="AS124" s="653"/>
      <c r="AT124" s="653"/>
      <c r="AU124" s="653"/>
      <c r="AV124" s="653"/>
      <c r="AW124" s="653"/>
      <c r="AX124" s="653"/>
      <c r="AY124" s="653"/>
      <c r="AZ124" s="653"/>
      <c r="BA124" s="653"/>
      <c r="BB124" s="653"/>
    </row>
    <row r="125" spans="1:54" s="175" customFormat="1" ht="12.75" hidden="1" outlineLevel="1">
      <c r="A125" s="173" t="s">
        <v>2864</v>
      </c>
      <c r="B125" s="174"/>
      <c r="C125" s="174" t="s">
        <v>2865</v>
      </c>
      <c r="D125" s="174" t="s">
        <v>2866</v>
      </c>
      <c r="E125" s="210">
        <v>22496.03</v>
      </c>
      <c r="F125" s="210">
        <v>0</v>
      </c>
      <c r="G125" s="210"/>
      <c r="H125" s="211">
        <v>0</v>
      </c>
      <c r="I125" s="211">
        <v>0</v>
      </c>
      <c r="J125" s="211">
        <v>0</v>
      </c>
      <c r="K125" s="211">
        <v>0</v>
      </c>
      <c r="L125" s="211">
        <v>0</v>
      </c>
      <c r="M125" s="211">
        <v>0</v>
      </c>
      <c r="N125" s="211">
        <v>0</v>
      </c>
      <c r="O125" s="210">
        <v>0</v>
      </c>
      <c r="P125" s="210">
        <v>0</v>
      </c>
      <c r="Q125" s="210">
        <f t="shared" si="5"/>
        <v>22496.03</v>
      </c>
      <c r="R125" s="173"/>
      <c r="S125" s="653"/>
      <c r="T125" s="653"/>
      <c r="U125" s="653"/>
      <c r="V125" s="653"/>
      <c r="W125" s="653"/>
      <c r="X125" s="653"/>
      <c r="Y125" s="653"/>
      <c r="Z125" s="653"/>
      <c r="AA125" s="653"/>
      <c r="AB125" s="653"/>
      <c r="AC125" s="653"/>
      <c r="AD125" s="653"/>
      <c r="AE125" s="653"/>
      <c r="AF125" s="653"/>
      <c r="AG125" s="653"/>
      <c r="AH125" s="653"/>
      <c r="AI125" s="653"/>
      <c r="AJ125" s="653"/>
      <c r="AK125" s="653"/>
      <c r="AL125" s="653"/>
      <c r="AM125" s="653"/>
      <c r="AN125" s="653"/>
      <c r="AO125" s="653"/>
      <c r="AP125" s="653"/>
      <c r="AQ125" s="653"/>
      <c r="AR125" s="653"/>
      <c r="AS125" s="653"/>
      <c r="AT125" s="653"/>
      <c r="AU125" s="653"/>
      <c r="AV125" s="653"/>
      <c r="AW125" s="653"/>
      <c r="AX125" s="653"/>
      <c r="AY125" s="653"/>
      <c r="AZ125" s="653"/>
      <c r="BA125" s="653"/>
      <c r="BB125" s="653"/>
    </row>
    <row r="126" spans="1:54" s="175" customFormat="1" ht="12.75" hidden="1" outlineLevel="1">
      <c r="A126" s="173" t="s">
        <v>2867</v>
      </c>
      <c r="B126" s="174"/>
      <c r="C126" s="174" t="s">
        <v>2868</v>
      </c>
      <c r="D126" s="174" t="s">
        <v>2869</v>
      </c>
      <c r="E126" s="210">
        <v>-43702.69</v>
      </c>
      <c r="F126" s="210">
        <v>-1928.96</v>
      </c>
      <c r="G126" s="210"/>
      <c r="H126" s="211">
        <v>-1169.68</v>
      </c>
      <c r="I126" s="211">
        <v>-453.02</v>
      </c>
      <c r="J126" s="211">
        <v>-431.38</v>
      </c>
      <c r="K126" s="211">
        <v>0</v>
      </c>
      <c r="L126" s="211">
        <v>-430.06</v>
      </c>
      <c r="M126" s="211">
        <v>0</v>
      </c>
      <c r="N126" s="211">
        <v>-491.71</v>
      </c>
      <c r="O126" s="210">
        <v>-2975.85</v>
      </c>
      <c r="P126" s="210">
        <v>0</v>
      </c>
      <c r="Q126" s="210">
        <f t="shared" si="5"/>
        <v>-48607.5</v>
      </c>
      <c r="R126" s="173"/>
      <c r="S126" s="653"/>
      <c r="T126" s="653"/>
      <c r="U126" s="653"/>
      <c r="V126" s="653"/>
      <c r="W126" s="653"/>
      <c r="X126" s="653"/>
      <c r="Y126" s="653"/>
      <c r="Z126" s="653"/>
      <c r="AA126" s="653"/>
      <c r="AB126" s="653"/>
      <c r="AC126" s="653"/>
      <c r="AD126" s="653"/>
      <c r="AE126" s="653"/>
      <c r="AF126" s="653"/>
      <c r="AG126" s="653"/>
      <c r="AH126" s="653"/>
      <c r="AI126" s="653"/>
      <c r="AJ126" s="653"/>
      <c r="AK126" s="653"/>
      <c r="AL126" s="653"/>
      <c r="AM126" s="653"/>
      <c r="AN126" s="653"/>
      <c r="AO126" s="653"/>
      <c r="AP126" s="653"/>
      <c r="AQ126" s="653"/>
      <c r="AR126" s="653"/>
      <c r="AS126" s="653"/>
      <c r="AT126" s="653"/>
      <c r="AU126" s="653"/>
      <c r="AV126" s="653"/>
      <c r="AW126" s="653"/>
      <c r="AX126" s="653"/>
      <c r="AY126" s="653"/>
      <c r="AZ126" s="653"/>
      <c r="BA126" s="653"/>
      <c r="BB126" s="653"/>
    </row>
    <row r="127" spans="1:54" s="175" customFormat="1" ht="12.75" hidden="1" outlineLevel="1">
      <c r="A127" s="173" t="s">
        <v>2870</v>
      </c>
      <c r="B127" s="174"/>
      <c r="C127" s="174" t="s">
        <v>2871</v>
      </c>
      <c r="D127" s="174" t="s">
        <v>2872</v>
      </c>
      <c r="E127" s="210">
        <v>1078.6</v>
      </c>
      <c r="F127" s="210">
        <v>0</v>
      </c>
      <c r="G127" s="210"/>
      <c r="H127" s="211">
        <v>0</v>
      </c>
      <c r="I127" s="211">
        <v>0</v>
      </c>
      <c r="J127" s="211">
        <v>0</v>
      </c>
      <c r="K127" s="211">
        <v>0</v>
      </c>
      <c r="L127" s="211">
        <v>0</v>
      </c>
      <c r="M127" s="211">
        <v>0</v>
      </c>
      <c r="N127" s="211">
        <v>0</v>
      </c>
      <c r="O127" s="210">
        <v>0</v>
      </c>
      <c r="P127" s="210">
        <v>0</v>
      </c>
      <c r="Q127" s="210">
        <f t="shared" si="5"/>
        <v>1078.6</v>
      </c>
      <c r="R127" s="173"/>
      <c r="S127" s="653"/>
      <c r="T127" s="653"/>
      <c r="U127" s="653"/>
      <c r="V127" s="653"/>
      <c r="W127" s="653"/>
      <c r="X127" s="653"/>
      <c r="Y127" s="653"/>
      <c r="Z127" s="653"/>
      <c r="AA127" s="653"/>
      <c r="AB127" s="653"/>
      <c r="AC127" s="653"/>
      <c r="AD127" s="653"/>
      <c r="AE127" s="653"/>
      <c r="AF127" s="653"/>
      <c r="AG127" s="653"/>
      <c r="AH127" s="653"/>
      <c r="AI127" s="653"/>
      <c r="AJ127" s="653"/>
      <c r="AK127" s="653"/>
      <c r="AL127" s="653"/>
      <c r="AM127" s="653"/>
      <c r="AN127" s="653"/>
      <c r="AO127" s="653"/>
      <c r="AP127" s="653"/>
      <c r="AQ127" s="653"/>
      <c r="AR127" s="653"/>
      <c r="AS127" s="653"/>
      <c r="AT127" s="653"/>
      <c r="AU127" s="653"/>
      <c r="AV127" s="653"/>
      <c r="AW127" s="653"/>
      <c r="AX127" s="653"/>
      <c r="AY127" s="653"/>
      <c r="AZ127" s="653"/>
      <c r="BA127" s="653"/>
      <c r="BB127" s="653"/>
    </row>
    <row r="128" spans="1:54" s="202" customFormat="1" ht="12.75" customHeight="1" collapsed="1">
      <c r="A128" s="199" t="s">
        <v>2873</v>
      </c>
      <c r="B128" s="199"/>
      <c r="C128" s="201" t="s">
        <v>2179</v>
      </c>
      <c r="D128" s="207"/>
      <c r="E128" s="103">
        <v>12107662.879999995</v>
      </c>
      <c r="F128" s="103">
        <v>123867.01</v>
      </c>
      <c r="G128" s="103">
        <v>284180.3</v>
      </c>
      <c r="H128" s="102">
        <v>139268.65</v>
      </c>
      <c r="I128" s="102">
        <v>49671.9</v>
      </c>
      <c r="J128" s="102">
        <v>18234.94</v>
      </c>
      <c r="K128" s="102">
        <v>0</v>
      </c>
      <c r="L128" s="102">
        <v>42334.31</v>
      </c>
      <c r="M128" s="102">
        <v>0</v>
      </c>
      <c r="N128" s="102">
        <v>15746.72</v>
      </c>
      <c r="O128" s="103">
        <v>265256.52</v>
      </c>
      <c r="P128" s="103">
        <v>0</v>
      </c>
      <c r="Q128" s="103">
        <f t="shared" si="5"/>
        <v>12780966.709999995</v>
      </c>
      <c r="R128" s="201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0"/>
      <c r="AL128" s="230"/>
      <c r="AM128" s="230"/>
      <c r="AN128" s="230"/>
      <c r="AO128" s="230"/>
      <c r="AP128" s="230"/>
      <c r="AQ128" s="230"/>
      <c r="AR128" s="230"/>
      <c r="AS128" s="230"/>
      <c r="AT128" s="230"/>
      <c r="AU128" s="230"/>
      <c r="AV128" s="230"/>
      <c r="AW128" s="230"/>
      <c r="AX128" s="230"/>
      <c r="AY128" s="230"/>
      <c r="AZ128" s="230"/>
      <c r="BA128" s="230"/>
      <c r="BB128" s="230"/>
    </row>
    <row r="129" spans="1:54" s="175" customFormat="1" ht="12.75" hidden="1" outlineLevel="1">
      <c r="A129" s="173" t="s">
        <v>2874</v>
      </c>
      <c r="B129" s="174"/>
      <c r="C129" s="174" t="s">
        <v>2875</v>
      </c>
      <c r="D129" s="174" t="s">
        <v>2876</v>
      </c>
      <c r="E129" s="210">
        <v>-671688</v>
      </c>
      <c r="F129" s="210">
        <v>0</v>
      </c>
      <c r="G129" s="210"/>
      <c r="H129" s="211">
        <v>-3269090.26</v>
      </c>
      <c r="I129" s="211">
        <v>-710692.25</v>
      </c>
      <c r="J129" s="211">
        <v>-356528.94</v>
      </c>
      <c r="K129" s="211">
        <v>0</v>
      </c>
      <c r="L129" s="211">
        <v>-328532.5</v>
      </c>
      <c r="M129" s="211">
        <v>0</v>
      </c>
      <c r="N129" s="211">
        <v>-615375.69</v>
      </c>
      <c r="O129" s="210">
        <v>-5280219.64</v>
      </c>
      <c r="P129" s="210">
        <v>0</v>
      </c>
      <c r="Q129" s="210">
        <f t="shared" si="5"/>
        <v>-5951907.64</v>
      </c>
      <c r="R129" s="173"/>
      <c r="T129" s="653"/>
      <c r="U129" s="653"/>
      <c r="V129" s="653"/>
      <c r="W129" s="653"/>
      <c r="X129" s="653"/>
      <c r="Y129" s="653"/>
      <c r="Z129" s="653"/>
      <c r="AA129" s="653"/>
      <c r="AB129" s="653"/>
      <c r="AC129" s="653"/>
      <c r="AD129" s="653"/>
      <c r="AE129" s="653"/>
      <c r="AF129" s="653"/>
      <c r="AG129" s="653"/>
      <c r="AH129" s="653"/>
      <c r="AI129" s="653"/>
      <c r="AJ129" s="653"/>
      <c r="AK129" s="653"/>
      <c r="AL129" s="653"/>
      <c r="AM129" s="653"/>
      <c r="AN129" s="653"/>
      <c r="AO129" s="653"/>
      <c r="AP129" s="653"/>
      <c r="AQ129" s="653"/>
      <c r="AR129" s="653"/>
      <c r="AS129" s="653"/>
      <c r="AT129" s="653"/>
      <c r="AU129" s="653"/>
      <c r="AV129" s="653"/>
      <c r="AW129" s="653"/>
      <c r="AX129" s="653"/>
      <c r="AY129" s="653"/>
      <c r="AZ129" s="653"/>
      <c r="BA129" s="653"/>
      <c r="BB129" s="653"/>
    </row>
    <row r="130" spans="1:54" s="175" customFormat="1" ht="12.75" hidden="1" outlineLevel="1">
      <c r="A130" s="173" t="s">
        <v>2877</v>
      </c>
      <c r="B130" s="174"/>
      <c r="C130" s="174" t="s">
        <v>2878</v>
      </c>
      <c r="D130" s="174" t="s">
        <v>2879</v>
      </c>
      <c r="E130" s="210">
        <v>1103.65</v>
      </c>
      <c r="F130" s="210">
        <v>0</v>
      </c>
      <c r="G130" s="210"/>
      <c r="H130" s="211">
        <v>0</v>
      </c>
      <c r="I130" s="211">
        <v>0</v>
      </c>
      <c r="J130" s="211">
        <v>0</v>
      </c>
      <c r="K130" s="211">
        <v>0</v>
      </c>
      <c r="L130" s="211">
        <v>0</v>
      </c>
      <c r="M130" s="211">
        <v>-10000</v>
      </c>
      <c r="N130" s="211">
        <v>0</v>
      </c>
      <c r="O130" s="210">
        <v>-10000</v>
      </c>
      <c r="P130" s="210">
        <v>0</v>
      </c>
      <c r="Q130" s="210">
        <f t="shared" si="5"/>
        <v>-8896.35</v>
      </c>
      <c r="R130" s="173"/>
      <c r="T130" s="653"/>
      <c r="U130" s="653"/>
      <c r="V130" s="653"/>
      <c r="W130" s="653"/>
      <c r="X130" s="653"/>
      <c r="Y130" s="653"/>
      <c r="Z130" s="653"/>
      <c r="AA130" s="653"/>
      <c r="AB130" s="653"/>
      <c r="AC130" s="653"/>
      <c r="AD130" s="653"/>
      <c r="AE130" s="653"/>
      <c r="AF130" s="653"/>
      <c r="AG130" s="653"/>
      <c r="AH130" s="653"/>
      <c r="AI130" s="653"/>
      <c r="AJ130" s="653"/>
      <c r="AK130" s="653"/>
      <c r="AL130" s="653"/>
      <c r="AM130" s="653"/>
      <c r="AN130" s="653"/>
      <c r="AO130" s="653"/>
      <c r="AP130" s="653"/>
      <c r="AQ130" s="653"/>
      <c r="AR130" s="653"/>
      <c r="AS130" s="653"/>
      <c r="AT130" s="653"/>
      <c r="AU130" s="653"/>
      <c r="AV130" s="653"/>
      <c r="AW130" s="653"/>
      <c r="AX130" s="653"/>
      <c r="AY130" s="653"/>
      <c r="AZ130" s="653"/>
      <c r="BA130" s="653"/>
      <c r="BB130" s="653"/>
    </row>
    <row r="131" spans="1:54" s="175" customFormat="1" ht="12.75" hidden="1" outlineLevel="1">
      <c r="A131" s="173" t="s">
        <v>2880</v>
      </c>
      <c r="B131" s="174"/>
      <c r="C131" s="174" t="s">
        <v>2881</v>
      </c>
      <c r="D131" s="174" t="s">
        <v>2882</v>
      </c>
      <c r="E131" s="210">
        <v>-100</v>
      </c>
      <c r="F131" s="210">
        <v>0</v>
      </c>
      <c r="G131" s="210"/>
      <c r="H131" s="211">
        <v>0</v>
      </c>
      <c r="I131" s="211">
        <v>0</v>
      </c>
      <c r="J131" s="211">
        <v>0</v>
      </c>
      <c r="K131" s="211">
        <v>0</v>
      </c>
      <c r="L131" s="211">
        <v>0</v>
      </c>
      <c r="M131" s="211">
        <v>0</v>
      </c>
      <c r="N131" s="211">
        <v>0</v>
      </c>
      <c r="O131" s="210">
        <v>0</v>
      </c>
      <c r="P131" s="210">
        <v>0</v>
      </c>
      <c r="Q131" s="210">
        <f t="shared" si="5"/>
        <v>-100</v>
      </c>
      <c r="R131" s="173"/>
      <c r="T131" s="653"/>
      <c r="U131" s="653"/>
      <c r="V131" s="653"/>
      <c r="W131" s="653"/>
      <c r="X131" s="653"/>
      <c r="Y131" s="653"/>
      <c r="Z131" s="653"/>
      <c r="AA131" s="653"/>
      <c r="AB131" s="653"/>
      <c r="AC131" s="653"/>
      <c r="AD131" s="653"/>
      <c r="AE131" s="653"/>
      <c r="AF131" s="653"/>
      <c r="AG131" s="653"/>
      <c r="AH131" s="653"/>
      <c r="AI131" s="653"/>
      <c r="AJ131" s="653"/>
      <c r="AK131" s="653"/>
      <c r="AL131" s="653"/>
      <c r="AM131" s="653"/>
      <c r="AN131" s="653"/>
      <c r="AO131" s="653"/>
      <c r="AP131" s="653"/>
      <c r="AQ131" s="653"/>
      <c r="AR131" s="653"/>
      <c r="AS131" s="653"/>
      <c r="AT131" s="653"/>
      <c r="AU131" s="653"/>
      <c r="AV131" s="653"/>
      <c r="AW131" s="653"/>
      <c r="AX131" s="653"/>
      <c r="AY131" s="653"/>
      <c r="AZ131" s="653"/>
      <c r="BA131" s="653"/>
      <c r="BB131" s="653"/>
    </row>
    <row r="132" spans="1:54" s="175" customFormat="1" ht="12.75" hidden="1" outlineLevel="1">
      <c r="A132" s="173" t="s">
        <v>2883</v>
      </c>
      <c r="B132" s="174"/>
      <c r="C132" s="174" t="s">
        <v>2884</v>
      </c>
      <c r="D132" s="174" t="s">
        <v>2885</v>
      </c>
      <c r="E132" s="210">
        <v>83504.35</v>
      </c>
      <c r="F132" s="210">
        <v>0</v>
      </c>
      <c r="G132" s="210"/>
      <c r="H132" s="211">
        <v>183463.57</v>
      </c>
      <c r="I132" s="211">
        <v>0</v>
      </c>
      <c r="J132" s="211">
        <v>280500</v>
      </c>
      <c r="K132" s="211">
        <v>0</v>
      </c>
      <c r="L132" s="211">
        <v>78609.06</v>
      </c>
      <c r="M132" s="211">
        <v>0</v>
      </c>
      <c r="N132" s="211">
        <v>0</v>
      </c>
      <c r="O132" s="210">
        <v>542572.63</v>
      </c>
      <c r="P132" s="210">
        <v>0</v>
      </c>
      <c r="Q132" s="210">
        <f t="shared" si="5"/>
        <v>626076.98</v>
      </c>
      <c r="R132" s="173"/>
      <c r="T132" s="653"/>
      <c r="U132" s="653"/>
      <c r="V132" s="653"/>
      <c r="W132" s="653"/>
      <c r="X132" s="653"/>
      <c r="Y132" s="653"/>
      <c r="Z132" s="653"/>
      <c r="AA132" s="653"/>
      <c r="AB132" s="653"/>
      <c r="AC132" s="653"/>
      <c r="AD132" s="653"/>
      <c r="AE132" s="653"/>
      <c r="AF132" s="653"/>
      <c r="AG132" s="653"/>
      <c r="AH132" s="653"/>
      <c r="AI132" s="653"/>
      <c r="AJ132" s="653"/>
      <c r="AK132" s="653"/>
      <c r="AL132" s="653"/>
      <c r="AM132" s="653"/>
      <c r="AN132" s="653"/>
      <c r="AO132" s="653"/>
      <c r="AP132" s="653"/>
      <c r="AQ132" s="653"/>
      <c r="AR132" s="653"/>
      <c r="AS132" s="653"/>
      <c r="AT132" s="653"/>
      <c r="AU132" s="653"/>
      <c r="AV132" s="653"/>
      <c r="AW132" s="653"/>
      <c r="AX132" s="653"/>
      <c r="AY132" s="653"/>
      <c r="AZ132" s="653"/>
      <c r="BA132" s="653"/>
      <c r="BB132" s="653"/>
    </row>
    <row r="133" spans="1:54" s="175" customFormat="1" ht="12.75" hidden="1" outlineLevel="1">
      <c r="A133" s="173" t="s">
        <v>2886</v>
      </c>
      <c r="B133" s="174"/>
      <c r="C133" s="174" t="s">
        <v>2887</v>
      </c>
      <c r="D133" s="174" t="s">
        <v>2888</v>
      </c>
      <c r="E133" s="210">
        <v>135.87</v>
      </c>
      <c r="F133" s="210">
        <v>0</v>
      </c>
      <c r="G133" s="210"/>
      <c r="H133" s="211">
        <v>0</v>
      </c>
      <c r="I133" s="211">
        <v>0</v>
      </c>
      <c r="J133" s="211">
        <v>0</v>
      </c>
      <c r="K133" s="211">
        <v>0</v>
      </c>
      <c r="L133" s="211">
        <v>0</v>
      </c>
      <c r="M133" s="211">
        <v>0</v>
      </c>
      <c r="N133" s="211">
        <v>0</v>
      </c>
      <c r="O133" s="210">
        <v>0</v>
      </c>
      <c r="P133" s="210">
        <v>0</v>
      </c>
      <c r="Q133" s="210">
        <f t="shared" si="5"/>
        <v>135.87</v>
      </c>
      <c r="R133" s="173"/>
      <c r="T133" s="653"/>
      <c r="U133" s="653"/>
      <c r="V133" s="653"/>
      <c r="W133" s="653"/>
      <c r="X133" s="653"/>
      <c r="Y133" s="653"/>
      <c r="Z133" s="653"/>
      <c r="AA133" s="653"/>
      <c r="AB133" s="653"/>
      <c r="AC133" s="653"/>
      <c r="AD133" s="653"/>
      <c r="AE133" s="653"/>
      <c r="AF133" s="653"/>
      <c r="AG133" s="653"/>
      <c r="AH133" s="653"/>
      <c r="AI133" s="653"/>
      <c r="AJ133" s="653"/>
      <c r="AK133" s="653"/>
      <c r="AL133" s="653"/>
      <c r="AM133" s="653"/>
      <c r="AN133" s="653"/>
      <c r="AO133" s="653"/>
      <c r="AP133" s="653"/>
      <c r="AQ133" s="653"/>
      <c r="AR133" s="653"/>
      <c r="AS133" s="653"/>
      <c r="AT133" s="653"/>
      <c r="AU133" s="653"/>
      <c r="AV133" s="653"/>
      <c r="AW133" s="653"/>
      <c r="AX133" s="653"/>
      <c r="AY133" s="653"/>
      <c r="AZ133" s="653"/>
      <c r="BA133" s="653"/>
      <c r="BB133" s="653"/>
    </row>
    <row r="134" spans="1:54" s="175" customFormat="1" ht="12.75" hidden="1" outlineLevel="1">
      <c r="A134" s="173" t="s">
        <v>2889</v>
      </c>
      <c r="B134" s="174"/>
      <c r="C134" s="174" t="s">
        <v>2890</v>
      </c>
      <c r="D134" s="174" t="s">
        <v>2891</v>
      </c>
      <c r="E134" s="210">
        <v>4008.87</v>
      </c>
      <c r="F134" s="210">
        <v>0</v>
      </c>
      <c r="G134" s="210"/>
      <c r="H134" s="211">
        <v>0</v>
      </c>
      <c r="I134" s="211">
        <v>0</v>
      </c>
      <c r="J134" s="211">
        <v>0</v>
      </c>
      <c r="K134" s="211">
        <v>0</v>
      </c>
      <c r="L134" s="211">
        <v>0</v>
      </c>
      <c r="M134" s="211">
        <v>0</v>
      </c>
      <c r="N134" s="211">
        <v>0</v>
      </c>
      <c r="O134" s="210">
        <v>0</v>
      </c>
      <c r="P134" s="210">
        <v>0</v>
      </c>
      <c r="Q134" s="210">
        <f t="shared" si="5"/>
        <v>4008.87</v>
      </c>
      <c r="R134" s="173"/>
      <c r="T134" s="653"/>
      <c r="U134" s="653"/>
      <c r="V134" s="653"/>
      <c r="W134" s="653"/>
      <c r="X134" s="653"/>
      <c r="Y134" s="653"/>
      <c r="Z134" s="653"/>
      <c r="AA134" s="653"/>
      <c r="AB134" s="653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  <c r="AM134" s="653"/>
      <c r="AN134" s="653"/>
      <c r="AO134" s="653"/>
      <c r="AP134" s="653"/>
      <c r="AQ134" s="653"/>
      <c r="AR134" s="653"/>
      <c r="AS134" s="653"/>
      <c r="AT134" s="653"/>
      <c r="AU134" s="653"/>
      <c r="AV134" s="653"/>
      <c r="AW134" s="653"/>
      <c r="AX134" s="653"/>
      <c r="AY134" s="653"/>
      <c r="AZ134" s="653"/>
      <c r="BA134" s="653"/>
      <c r="BB134" s="653"/>
    </row>
    <row r="135" spans="1:54" s="175" customFormat="1" ht="12.75" hidden="1" outlineLevel="1">
      <c r="A135" s="173" t="s">
        <v>2892</v>
      </c>
      <c r="B135" s="174"/>
      <c r="C135" s="174" t="s">
        <v>2893</v>
      </c>
      <c r="D135" s="174" t="s">
        <v>2894</v>
      </c>
      <c r="E135" s="210">
        <v>133.97</v>
      </c>
      <c r="F135" s="210">
        <v>0</v>
      </c>
      <c r="G135" s="210"/>
      <c r="H135" s="211">
        <v>0</v>
      </c>
      <c r="I135" s="211">
        <v>0</v>
      </c>
      <c r="J135" s="211">
        <v>0</v>
      </c>
      <c r="K135" s="211">
        <v>-958.68</v>
      </c>
      <c r="L135" s="211">
        <v>0</v>
      </c>
      <c r="M135" s="211">
        <v>0</v>
      </c>
      <c r="N135" s="211">
        <v>0</v>
      </c>
      <c r="O135" s="210">
        <v>-958.68</v>
      </c>
      <c r="P135" s="210">
        <v>0</v>
      </c>
      <c r="Q135" s="210">
        <f t="shared" si="5"/>
        <v>-824.7099999999999</v>
      </c>
      <c r="R135" s="173"/>
      <c r="T135" s="653"/>
      <c r="U135" s="653"/>
      <c r="V135" s="653"/>
      <c r="W135" s="653"/>
      <c r="X135" s="653"/>
      <c r="Y135" s="653"/>
      <c r="Z135" s="653"/>
      <c r="AA135" s="653"/>
      <c r="AB135" s="653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  <c r="AM135" s="653"/>
      <c r="AN135" s="653"/>
      <c r="AO135" s="653"/>
      <c r="AP135" s="653"/>
      <c r="AQ135" s="653"/>
      <c r="AR135" s="653"/>
      <c r="AS135" s="653"/>
      <c r="AT135" s="653"/>
      <c r="AU135" s="653"/>
      <c r="AV135" s="653"/>
      <c r="AW135" s="653"/>
      <c r="AX135" s="653"/>
      <c r="AY135" s="653"/>
      <c r="AZ135" s="653"/>
      <c r="BA135" s="653"/>
      <c r="BB135" s="653"/>
    </row>
    <row r="136" spans="1:54" s="175" customFormat="1" ht="12.75" hidden="1" outlineLevel="1">
      <c r="A136" s="173" t="s">
        <v>2895</v>
      </c>
      <c r="B136" s="174"/>
      <c r="C136" s="174" t="s">
        <v>2896</v>
      </c>
      <c r="D136" s="174" t="s">
        <v>2897</v>
      </c>
      <c r="E136" s="210">
        <v>0</v>
      </c>
      <c r="F136" s="210">
        <v>0</v>
      </c>
      <c r="G136" s="210"/>
      <c r="H136" s="211">
        <v>0</v>
      </c>
      <c r="I136" s="211">
        <v>0</v>
      </c>
      <c r="J136" s="211">
        <v>0</v>
      </c>
      <c r="K136" s="211">
        <v>0</v>
      </c>
      <c r="L136" s="211">
        <v>43379.71</v>
      </c>
      <c r="M136" s="211">
        <v>0</v>
      </c>
      <c r="N136" s="211">
        <v>0</v>
      </c>
      <c r="O136" s="210">
        <v>43379.71</v>
      </c>
      <c r="P136" s="210">
        <v>0</v>
      </c>
      <c r="Q136" s="210">
        <f t="shared" si="5"/>
        <v>43379.71</v>
      </c>
      <c r="R136" s="173"/>
      <c r="T136" s="653"/>
      <c r="U136" s="653"/>
      <c r="V136" s="653"/>
      <c r="W136" s="653"/>
      <c r="X136" s="653"/>
      <c r="Y136" s="653"/>
      <c r="Z136" s="653"/>
      <c r="AA136" s="653"/>
      <c r="AB136" s="653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  <c r="AM136" s="653"/>
      <c r="AN136" s="653"/>
      <c r="AO136" s="653"/>
      <c r="AP136" s="653"/>
      <c r="AQ136" s="653"/>
      <c r="AR136" s="653"/>
      <c r="AS136" s="653"/>
      <c r="AT136" s="653"/>
      <c r="AU136" s="653"/>
      <c r="AV136" s="653"/>
      <c r="AW136" s="653"/>
      <c r="AX136" s="653"/>
      <c r="AY136" s="653"/>
      <c r="AZ136" s="653"/>
      <c r="BA136" s="653"/>
      <c r="BB136" s="653"/>
    </row>
    <row r="137" spans="1:54" s="175" customFormat="1" ht="12.75" hidden="1" outlineLevel="1">
      <c r="A137" s="173" t="s">
        <v>2898</v>
      </c>
      <c r="B137" s="174"/>
      <c r="C137" s="174" t="s">
        <v>2899</v>
      </c>
      <c r="D137" s="174" t="s">
        <v>2900</v>
      </c>
      <c r="E137" s="210">
        <v>0</v>
      </c>
      <c r="F137" s="210">
        <v>2099.76</v>
      </c>
      <c r="G137" s="210"/>
      <c r="H137" s="211">
        <v>0</v>
      </c>
      <c r="I137" s="211">
        <v>0</v>
      </c>
      <c r="J137" s="211">
        <v>0</v>
      </c>
      <c r="K137" s="211">
        <v>0</v>
      </c>
      <c r="L137" s="211">
        <v>0</v>
      </c>
      <c r="M137" s="211">
        <v>0</v>
      </c>
      <c r="N137" s="211">
        <v>0</v>
      </c>
      <c r="O137" s="210">
        <v>0</v>
      </c>
      <c r="P137" s="210">
        <v>0</v>
      </c>
      <c r="Q137" s="210">
        <f t="shared" si="5"/>
        <v>2099.76</v>
      </c>
      <c r="R137" s="173"/>
      <c r="T137" s="653"/>
      <c r="U137" s="653"/>
      <c r="V137" s="653"/>
      <c r="W137" s="653"/>
      <c r="X137" s="653"/>
      <c r="Y137" s="653"/>
      <c r="Z137" s="653"/>
      <c r="AA137" s="653"/>
      <c r="AB137" s="653"/>
      <c r="AC137" s="653"/>
      <c r="AD137" s="653"/>
      <c r="AE137" s="653"/>
      <c r="AF137" s="653"/>
      <c r="AG137" s="653"/>
      <c r="AH137" s="653"/>
      <c r="AI137" s="653"/>
      <c r="AJ137" s="653"/>
      <c r="AK137" s="653"/>
      <c r="AL137" s="653"/>
      <c r="AM137" s="653"/>
      <c r="AN137" s="653"/>
      <c r="AO137" s="653"/>
      <c r="AP137" s="653"/>
      <c r="AQ137" s="653"/>
      <c r="AR137" s="653"/>
      <c r="AS137" s="653"/>
      <c r="AT137" s="653"/>
      <c r="AU137" s="653"/>
      <c r="AV137" s="653"/>
      <c r="AW137" s="653"/>
      <c r="AX137" s="653"/>
      <c r="AY137" s="653"/>
      <c r="AZ137" s="653"/>
      <c r="BA137" s="653"/>
      <c r="BB137" s="653"/>
    </row>
    <row r="138" spans="1:54" s="175" customFormat="1" ht="12.75" hidden="1" outlineLevel="1">
      <c r="A138" s="173" t="s">
        <v>2901</v>
      </c>
      <c r="B138" s="174"/>
      <c r="C138" s="174" t="s">
        <v>2902</v>
      </c>
      <c r="D138" s="174" t="s">
        <v>2903</v>
      </c>
      <c r="E138" s="210">
        <v>-1281.96</v>
      </c>
      <c r="F138" s="210">
        <v>0</v>
      </c>
      <c r="G138" s="210"/>
      <c r="H138" s="211">
        <v>0</v>
      </c>
      <c r="I138" s="211">
        <v>0</v>
      </c>
      <c r="J138" s="211">
        <v>0</v>
      </c>
      <c r="K138" s="211">
        <v>0</v>
      </c>
      <c r="L138" s="211">
        <v>0</v>
      </c>
      <c r="M138" s="211">
        <v>0</v>
      </c>
      <c r="N138" s="211">
        <v>0</v>
      </c>
      <c r="O138" s="210">
        <v>0</v>
      </c>
      <c r="P138" s="210">
        <v>0</v>
      </c>
      <c r="Q138" s="210">
        <f t="shared" si="5"/>
        <v>-1281.96</v>
      </c>
      <c r="R138" s="173"/>
      <c r="T138" s="653"/>
      <c r="U138" s="653"/>
      <c r="V138" s="653"/>
      <c r="W138" s="653"/>
      <c r="X138" s="653"/>
      <c r="Y138" s="653"/>
      <c r="Z138" s="653"/>
      <c r="AA138" s="653"/>
      <c r="AB138" s="653"/>
      <c r="AC138" s="653"/>
      <c r="AD138" s="653"/>
      <c r="AE138" s="653"/>
      <c r="AF138" s="653"/>
      <c r="AG138" s="653"/>
      <c r="AH138" s="653"/>
      <c r="AI138" s="653"/>
      <c r="AJ138" s="653"/>
      <c r="AK138" s="653"/>
      <c r="AL138" s="653"/>
      <c r="AM138" s="653"/>
      <c r="AN138" s="653"/>
      <c r="AO138" s="653"/>
      <c r="AP138" s="653"/>
      <c r="AQ138" s="653"/>
      <c r="AR138" s="653"/>
      <c r="AS138" s="653"/>
      <c r="AT138" s="653"/>
      <c r="AU138" s="653"/>
      <c r="AV138" s="653"/>
      <c r="AW138" s="653"/>
      <c r="AX138" s="653"/>
      <c r="AY138" s="653"/>
      <c r="AZ138" s="653"/>
      <c r="BA138" s="653"/>
      <c r="BB138" s="653"/>
    </row>
    <row r="139" spans="1:54" s="175" customFormat="1" ht="12.75" hidden="1" outlineLevel="1">
      <c r="A139" s="173" t="s">
        <v>2904</v>
      </c>
      <c r="B139" s="174"/>
      <c r="C139" s="174" t="s">
        <v>2905</v>
      </c>
      <c r="D139" s="174" t="s">
        <v>2906</v>
      </c>
      <c r="E139" s="210">
        <v>-24118.76</v>
      </c>
      <c r="F139" s="210">
        <v>4323.06</v>
      </c>
      <c r="G139" s="210"/>
      <c r="H139" s="211">
        <v>0</v>
      </c>
      <c r="I139" s="211">
        <v>0</v>
      </c>
      <c r="J139" s="211">
        <v>900.6</v>
      </c>
      <c r="K139" s="211">
        <v>0</v>
      </c>
      <c r="L139" s="211">
        <v>0</v>
      </c>
      <c r="M139" s="211">
        <v>0</v>
      </c>
      <c r="N139" s="211">
        <v>0</v>
      </c>
      <c r="O139" s="210">
        <v>900.6</v>
      </c>
      <c r="P139" s="210">
        <v>0</v>
      </c>
      <c r="Q139" s="210">
        <f t="shared" si="5"/>
        <v>-18895.1</v>
      </c>
      <c r="R139" s="173"/>
      <c r="T139" s="653"/>
      <c r="U139" s="653"/>
      <c r="V139" s="653"/>
      <c r="W139" s="653"/>
      <c r="X139" s="653"/>
      <c r="Y139" s="653"/>
      <c r="Z139" s="653"/>
      <c r="AA139" s="653"/>
      <c r="AB139" s="653"/>
      <c r="AC139" s="653"/>
      <c r="AD139" s="653"/>
      <c r="AE139" s="653"/>
      <c r="AF139" s="653"/>
      <c r="AG139" s="653"/>
      <c r="AH139" s="653"/>
      <c r="AI139" s="653"/>
      <c r="AJ139" s="653"/>
      <c r="AK139" s="653"/>
      <c r="AL139" s="653"/>
      <c r="AM139" s="653"/>
      <c r="AN139" s="653"/>
      <c r="AO139" s="653"/>
      <c r="AP139" s="653"/>
      <c r="AQ139" s="653"/>
      <c r="AR139" s="653"/>
      <c r="AS139" s="653"/>
      <c r="AT139" s="653"/>
      <c r="AU139" s="653"/>
      <c r="AV139" s="653"/>
      <c r="AW139" s="653"/>
      <c r="AX139" s="653"/>
      <c r="AY139" s="653"/>
      <c r="AZ139" s="653"/>
      <c r="BA139" s="653"/>
      <c r="BB139" s="653"/>
    </row>
    <row r="140" spans="1:54" s="175" customFormat="1" ht="12.75" hidden="1" outlineLevel="1">
      <c r="A140" s="173" t="s">
        <v>2907</v>
      </c>
      <c r="B140" s="174"/>
      <c r="C140" s="174" t="s">
        <v>2908</v>
      </c>
      <c r="D140" s="174" t="s">
        <v>2909</v>
      </c>
      <c r="E140" s="210">
        <v>655923.29</v>
      </c>
      <c r="F140" s="210">
        <v>38435.59</v>
      </c>
      <c r="G140" s="210"/>
      <c r="H140" s="211">
        <v>0</v>
      </c>
      <c r="I140" s="211">
        <v>0</v>
      </c>
      <c r="J140" s="211">
        <v>0</v>
      </c>
      <c r="K140" s="211">
        <v>0</v>
      </c>
      <c r="L140" s="211">
        <v>135.98</v>
      </c>
      <c r="M140" s="211">
        <v>0</v>
      </c>
      <c r="N140" s="211">
        <v>1980</v>
      </c>
      <c r="O140" s="210">
        <v>2115.98</v>
      </c>
      <c r="P140" s="210">
        <v>0</v>
      </c>
      <c r="Q140" s="210">
        <f t="shared" si="5"/>
        <v>696474.86</v>
      </c>
      <c r="R140" s="173"/>
      <c r="T140" s="653"/>
      <c r="U140" s="653"/>
      <c r="V140" s="653"/>
      <c r="W140" s="653"/>
      <c r="X140" s="653"/>
      <c r="Y140" s="653"/>
      <c r="Z140" s="653"/>
      <c r="AA140" s="653"/>
      <c r="AB140" s="653"/>
      <c r="AC140" s="653"/>
      <c r="AD140" s="653"/>
      <c r="AE140" s="653"/>
      <c r="AF140" s="653"/>
      <c r="AG140" s="653"/>
      <c r="AH140" s="653"/>
      <c r="AI140" s="653"/>
      <c r="AJ140" s="653"/>
      <c r="AK140" s="653"/>
      <c r="AL140" s="653"/>
      <c r="AM140" s="653"/>
      <c r="AN140" s="653"/>
      <c r="AO140" s="653"/>
      <c r="AP140" s="653"/>
      <c r="AQ140" s="653"/>
      <c r="AR140" s="653"/>
      <c r="AS140" s="653"/>
      <c r="AT140" s="653"/>
      <c r="AU140" s="653"/>
      <c r="AV140" s="653"/>
      <c r="AW140" s="653"/>
      <c r="AX140" s="653"/>
      <c r="AY140" s="653"/>
      <c r="AZ140" s="653"/>
      <c r="BA140" s="653"/>
      <c r="BB140" s="653"/>
    </row>
    <row r="141" spans="1:54" s="175" customFormat="1" ht="12.75" hidden="1" outlineLevel="1">
      <c r="A141" s="173" t="s">
        <v>2910</v>
      </c>
      <c r="B141" s="174"/>
      <c r="C141" s="174" t="s">
        <v>2911</v>
      </c>
      <c r="D141" s="174" t="s">
        <v>2912</v>
      </c>
      <c r="E141" s="210">
        <v>162412.64</v>
      </c>
      <c r="F141" s="210">
        <v>2810.9</v>
      </c>
      <c r="G141" s="210"/>
      <c r="H141" s="211">
        <v>6339.58</v>
      </c>
      <c r="I141" s="211">
        <v>5605.83</v>
      </c>
      <c r="J141" s="211">
        <v>0</v>
      </c>
      <c r="K141" s="211">
        <v>0</v>
      </c>
      <c r="L141" s="211">
        <v>0</v>
      </c>
      <c r="M141" s="211">
        <v>0</v>
      </c>
      <c r="N141" s="211">
        <v>0</v>
      </c>
      <c r="O141" s="210">
        <v>11945.41</v>
      </c>
      <c r="P141" s="210">
        <v>0</v>
      </c>
      <c r="Q141" s="210">
        <f t="shared" si="5"/>
        <v>177168.95</v>
      </c>
      <c r="R141" s="173"/>
      <c r="T141" s="653"/>
      <c r="U141" s="653"/>
      <c r="V141" s="653"/>
      <c r="W141" s="653"/>
      <c r="X141" s="653"/>
      <c r="Y141" s="653"/>
      <c r="Z141" s="653"/>
      <c r="AA141" s="653"/>
      <c r="AB141" s="653"/>
      <c r="AC141" s="653"/>
      <c r="AD141" s="653"/>
      <c r="AE141" s="653"/>
      <c r="AF141" s="653"/>
      <c r="AG141" s="653"/>
      <c r="AH141" s="653"/>
      <c r="AI141" s="653"/>
      <c r="AJ141" s="653"/>
      <c r="AK141" s="653"/>
      <c r="AL141" s="653"/>
      <c r="AM141" s="653"/>
      <c r="AN141" s="653"/>
      <c r="AO141" s="653"/>
      <c r="AP141" s="653"/>
      <c r="AQ141" s="653"/>
      <c r="AR141" s="653"/>
      <c r="AS141" s="653"/>
      <c r="AT141" s="653"/>
      <c r="AU141" s="653"/>
      <c r="AV141" s="653"/>
      <c r="AW141" s="653"/>
      <c r="AX141" s="653"/>
      <c r="AY141" s="653"/>
      <c r="AZ141" s="653"/>
      <c r="BA141" s="653"/>
      <c r="BB141" s="653"/>
    </row>
    <row r="142" spans="1:54" s="175" customFormat="1" ht="12.75" hidden="1" outlineLevel="1">
      <c r="A142" s="173" t="s">
        <v>2913</v>
      </c>
      <c r="B142" s="174"/>
      <c r="C142" s="174" t="s">
        <v>2914</v>
      </c>
      <c r="D142" s="174" t="s">
        <v>2915</v>
      </c>
      <c r="E142" s="210">
        <v>390781.35</v>
      </c>
      <c r="F142" s="210">
        <v>23728.13</v>
      </c>
      <c r="G142" s="210"/>
      <c r="H142" s="211">
        <v>1497.36</v>
      </c>
      <c r="I142" s="211">
        <v>478</v>
      </c>
      <c r="J142" s="211">
        <v>0</v>
      </c>
      <c r="K142" s="211">
        <v>0</v>
      </c>
      <c r="L142" s="211">
        <v>0</v>
      </c>
      <c r="M142" s="211">
        <v>0</v>
      </c>
      <c r="N142" s="211">
        <v>1187.47</v>
      </c>
      <c r="O142" s="210">
        <v>3162.83</v>
      </c>
      <c r="P142" s="210">
        <v>0</v>
      </c>
      <c r="Q142" s="210">
        <f t="shared" si="5"/>
        <v>417672.31</v>
      </c>
      <c r="R142" s="173"/>
      <c r="T142" s="653"/>
      <c r="U142" s="653"/>
      <c r="V142" s="653"/>
      <c r="W142" s="653"/>
      <c r="X142" s="653"/>
      <c r="Y142" s="653"/>
      <c r="Z142" s="653"/>
      <c r="AA142" s="653"/>
      <c r="AB142" s="653"/>
      <c r="AC142" s="653"/>
      <c r="AD142" s="653"/>
      <c r="AE142" s="653"/>
      <c r="AF142" s="653"/>
      <c r="AG142" s="653"/>
      <c r="AH142" s="653"/>
      <c r="AI142" s="653"/>
      <c r="AJ142" s="653"/>
      <c r="AK142" s="653"/>
      <c r="AL142" s="653"/>
      <c r="AM142" s="653"/>
      <c r="AN142" s="653"/>
      <c r="AO142" s="653"/>
      <c r="AP142" s="653"/>
      <c r="AQ142" s="653"/>
      <c r="AR142" s="653"/>
      <c r="AS142" s="653"/>
      <c r="AT142" s="653"/>
      <c r="AU142" s="653"/>
      <c r="AV142" s="653"/>
      <c r="AW142" s="653"/>
      <c r="AX142" s="653"/>
      <c r="AY142" s="653"/>
      <c r="AZ142" s="653"/>
      <c r="BA142" s="653"/>
      <c r="BB142" s="653"/>
    </row>
    <row r="143" spans="1:54" s="175" customFormat="1" ht="12.75" hidden="1" outlineLevel="1">
      <c r="A143" s="173" t="s">
        <v>2916</v>
      </c>
      <c r="B143" s="174"/>
      <c r="C143" s="174" t="s">
        <v>2917</v>
      </c>
      <c r="D143" s="174" t="s">
        <v>2918</v>
      </c>
      <c r="E143" s="210">
        <v>128152.41</v>
      </c>
      <c r="F143" s="210">
        <v>347.26</v>
      </c>
      <c r="G143" s="210"/>
      <c r="H143" s="211">
        <v>0</v>
      </c>
      <c r="I143" s="211">
        <v>0</v>
      </c>
      <c r="J143" s="211">
        <v>0</v>
      </c>
      <c r="K143" s="211">
        <v>0</v>
      </c>
      <c r="L143" s="211">
        <v>0</v>
      </c>
      <c r="M143" s="211">
        <v>0</v>
      </c>
      <c r="N143" s="211">
        <v>0</v>
      </c>
      <c r="O143" s="210">
        <v>0</v>
      </c>
      <c r="P143" s="210">
        <v>0</v>
      </c>
      <c r="Q143" s="210">
        <f t="shared" si="5"/>
        <v>128499.67</v>
      </c>
      <c r="R143" s="173"/>
      <c r="T143" s="653"/>
      <c r="U143" s="653"/>
      <c r="V143" s="653"/>
      <c r="W143" s="653"/>
      <c r="X143" s="653"/>
      <c r="Y143" s="653"/>
      <c r="Z143" s="653"/>
      <c r="AA143" s="653"/>
      <c r="AB143" s="653"/>
      <c r="AC143" s="653"/>
      <c r="AD143" s="653"/>
      <c r="AE143" s="653"/>
      <c r="AF143" s="653"/>
      <c r="AG143" s="653"/>
      <c r="AH143" s="653"/>
      <c r="AI143" s="653"/>
      <c r="AJ143" s="653"/>
      <c r="AK143" s="653"/>
      <c r="AL143" s="653"/>
      <c r="AM143" s="653"/>
      <c r="AN143" s="653"/>
      <c r="AO143" s="653"/>
      <c r="AP143" s="653"/>
      <c r="AQ143" s="653"/>
      <c r="AR143" s="653"/>
      <c r="AS143" s="653"/>
      <c r="AT143" s="653"/>
      <c r="AU143" s="653"/>
      <c r="AV143" s="653"/>
      <c r="AW143" s="653"/>
      <c r="AX143" s="653"/>
      <c r="AY143" s="653"/>
      <c r="AZ143" s="653"/>
      <c r="BA143" s="653"/>
      <c r="BB143" s="653"/>
    </row>
    <row r="144" spans="1:54" s="175" customFormat="1" ht="12.75" hidden="1" outlineLevel="1">
      <c r="A144" s="173" t="s">
        <v>2919</v>
      </c>
      <c r="B144" s="174"/>
      <c r="C144" s="174" t="s">
        <v>2920</v>
      </c>
      <c r="D144" s="174" t="s">
        <v>2921</v>
      </c>
      <c r="E144" s="210">
        <v>15177.52</v>
      </c>
      <c r="F144" s="210">
        <v>0</v>
      </c>
      <c r="G144" s="210"/>
      <c r="H144" s="211">
        <v>0</v>
      </c>
      <c r="I144" s="211">
        <v>0</v>
      </c>
      <c r="J144" s="211">
        <v>0</v>
      </c>
      <c r="K144" s="211">
        <v>0</v>
      </c>
      <c r="L144" s="211">
        <v>0</v>
      </c>
      <c r="M144" s="211">
        <v>0</v>
      </c>
      <c r="N144" s="211">
        <v>0</v>
      </c>
      <c r="O144" s="210">
        <v>0</v>
      </c>
      <c r="P144" s="210">
        <v>0</v>
      </c>
      <c r="Q144" s="210">
        <f t="shared" si="5"/>
        <v>15177.52</v>
      </c>
      <c r="R144" s="173"/>
      <c r="T144" s="653"/>
      <c r="U144" s="653"/>
      <c r="V144" s="653"/>
      <c r="W144" s="653"/>
      <c r="X144" s="653"/>
      <c r="Y144" s="653"/>
      <c r="Z144" s="653"/>
      <c r="AA144" s="653"/>
      <c r="AB144" s="653"/>
      <c r="AC144" s="653"/>
      <c r="AD144" s="653"/>
      <c r="AE144" s="653"/>
      <c r="AF144" s="653"/>
      <c r="AG144" s="653"/>
      <c r="AH144" s="653"/>
      <c r="AI144" s="653"/>
      <c r="AJ144" s="653"/>
      <c r="AK144" s="653"/>
      <c r="AL144" s="653"/>
      <c r="AM144" s="653"/>
      <c r="AN144" s="653"/>
      <c r="AO144" s="653"/>
      <c r="AP144" s="653"/>
      <c r="AQ144" s="653"/>
      <c r="AR144" s="653"/>
      <c r="AS144" s="653"/>
      <c r="AT144" s="653"/>
      <c r="AU144" s="653"/>
      <c r="AV144" s="653"/>
      <c r="AW144" s="653"/>
      <c r="AX144" s="653"/>
      <c r="AY144" s="653"/>
      <c r="AZ144" s="653"/>
      <c r="BA144" s="653"/>
      <c r="BB144" s="653"/>
    </row>
    <row r="145" spans="1:54" s="175" customFormat="1" ht="12.75" hidden="1" outlineLevel="1">
      <c r="A145" s="173" t="s">
        <v>2922</v>
      </c>
      <c r="B145" s="174"/>
      <c r="C145" s="174" t="s">
        <v>2923</v>
      </c>
      <c r="D145" s="174" t="s">
        <v>2924</v>
      </c>
      <c r="E145" s="210">
        <v>2605.39</v>
      </c>
      <c r="F145" s="210">
        <v>3700</v>
      </c>
      <c r="G145" s="210"/>
      <c r="H145" s="211">
        <v>0</v>
      </c>
      <c r="I145" s="211">
        <v>0</v>
      </c>
      <c r="J145" s="211">
        <v>0</v>
      </c>
      <c r="K145" s="211">
        <v>0</v>
      </c>
      <c r="L145" s="211">
        <v>0</v>
      </c>
      <c r="M145" s="211">
        <v>0</v>
      </c>
      <c r="N145" s="211">
        <v>0</v>
      </c>
      <c r="O145" s="210">
        <v>0</v>
      </c>
      <c r="P145" s="210">
        <v>0</v>
      </c>
      <c r="Q145" s="210">
        <f t="shared" si="5"/>
        <v>6305.389999999999</v>
      </c>
      <c r="R145" s="173"/>
      <c r="T145" s="653"/>
      <c r="U145" s="653"/>
      <c r="V145" s="653"/>
      <c r="W145" s="653"/>
      <c r="X145" s="653"/>
      <c r="Y145" s="653"/>
      <c r="Z145" s="653"/>
      <c r="AA145" s="653"/>
      <c r="AB145" s="653"/>
      <c r="AC145" s="653"/>
      <c r="AD145" s="653"/>
      <c r="AE145" s="653"/>
      <c r="AF145" s="653"/>
      <c r="AG145" s="653"/>
      <c r="AH145" s="653"/>
      <c r="AI145" s="653"/>
      <c r="AJ145" s="653"/>
      <c r="AK145" s="653"/>
      <c r="AL145" s="653"/>
      <c r="AM145" s="653"/>
      <c r="AN145" s="653"/>
      <c r="AO145" s="653"/>
      <c r="AP145" s="653"/>
      <c r="AQ145" s="653"/>
      <c r="AR145" s="653"/>
      <c r="AS145" s="653"/>
      <c r="AT145" s="653"/>
      <c r="AU145" s="653"/>
      <c r="AV145" s="653"/>
      <c r="AW145" s="653"/>
      <c r="AX145" s="653"/>
      <c r="AY145" s="653"/>
      <c r="AZ145" s="653"/>
      <c r="BA145" s="653"/>
      <c r="BB145" s="653"/>
    </row>
    <row r="146" spans="1:54" s="175" customFormat="1" ht="12.75" hidden="1" outlineLevel="1">
      <c r="A146" s="173" t="s">
        <v>2925</v>
      </c>
      <c r="B146" s="174"/>
      <c r="C146" s="174" t="s">
        <v>2926</v>
      </c>
      <c r="D146" s="174" t="s">
        <v>2927</v>
      </c>
      <c r="E146" s="210">
        <v>848.49</v>
      </c>
      <c r="F146" s="210">
        <v>0</v>
      </c>
      <c r="G146" s="210"/>
      <c r="H146" s="211">
        <v>0</v>
      </c>
      <c r="I146" s="211">
        <v>0</v>
      </c>
      <c r="J146" s="211">
        <v>0</v>
      </c>
      <c r="K146" s="211">
        <v>0</v>
      </c>
      <c r="L146" s="211">
        <v>0</v>
      </c>
      <c r="M146" s="211">
        <v>0</v>
      </c>
      <c r="N146" s="211">
        <v>0</v>
      </c>
      <c r="O146" s="210">
        <v>0</v>
      </c>
      <c r="P146" s="210">
        <v>0</v>
      </c>
      <c r="Q146" s="210">
        <f t="shared" si="5"/>
        <v>848.49</v>
      </c>
      <c r="R146" s="173"/>
      <c r="T146" s="653"/>
      <c r="U146" s="653"/>
      <c r="V146" s="653"/>
      <c r="W146" s="653"/>
      <c r="X146" s="653"/>
      <c r="Y146" s="653"/>
      <c r="Z146" s="653"/>
      <c r="AA146" s="653"/>
      <c r="AB146" s="653"/>
      <c r="AC146" s="653"/>
      <c r="AD146" s="653"/>
      <c r="AE146" s="653"/>
      <c r="AF146" s="653"/>
      <c r="AG146" s="653"/>
      <c r="AH146" s="653"/>
      <c r="AI146" s="653"/>
      <c r="AJ146" s="653"/>
      <c r="AK146" s="653"/>
      <c r="AL146" s="653"/>
      <c r="AM146" s="653"/>
      <c r="AN146" s="653"/>
      <c r="AO146" s="653"/>
      <c r="AP146" s="653"/>
      <c r="AQ146" s="653"/>
      <c r="AR146" s="653"/>
      <c r="AS146" s="653"/>
      <c r="AT146" s="653"/>
      <c r="AU146" s="653"/>
      <c r="AV146" s="653"/>
      <c r="AW146" s="653"/>
      <c r="AX146" s="653"/>
      <c r="AY146" s="653"/>
      <c r="AZ146" s="653"/>
      <c r="BA146" s="653"/>
      <c r="BB146" s="653"/>
    </row>
    <row r="147" spans="1:54" s="175" customFormat="1" ht="12.75" hidden="1" outlineLevel="1">
      <c r="A147" s="173" t="s">
        <v>2928</v>
      </c>
      <c r="B147" s="174"/>
      <c r="C147" s="174" t="s">
        <v>2929</v>
      </c>
      <c r="D147" s="174" t="s">
        <v>2930</v>
      </c>
      <c r="E147" s="210">
        <v>51261.5</v>
      </c>
      <c r="F147" s="210">
        <v>0</v>
      </c>
      <c r="G147" s="210"/>
      <c r="H147" s="211">
        <v>0</v>
      </c>
      <c r="I147" s="211">
        <v>0</v>
      </c>
      <c r="J147" s="211">
        <v>0</v>
      </c>
      <c r="K147" s="211">
        <v>0</v>
      </c>
      <c r="L147" s="211">
        <v>0</v>
      </c>
      <c r="M147" s="211">
        <v>0</v>
      </c>
      <c r="N147" s="211">
        <v>0</v>
      </c>
      <c r="O147" s="210">
        <v>0</v>
      </c>
      <c r="P147" s="210">
        <v>0</v>
      </c>
      <c r="Q147" s="210">
        <f t="shared" si="5"/>
        <v>51261.5</v>
      </c>
      <c r="R147" s="173"/>
      <c r="T147" s="653"/>
      <c r="U147" s="653"/>
      <c r="V147" s="653"/>
      <c r="W147" s="653"/>
      <c r="X147" s="653"/>
      <c r="Y147" s="653"/>
      <c r="Z147" s="653"/>
      <c r="AA147" s="653"/>
      <c r="AB147" s="653"/>
      <c r="AC147" s="653"/>
      <c r="AD147" s="653"/>
      <c r="AE147" s="653"/>
      <c r="AF147" s="653"/>
      <c r="AG147" s="653"/>
      <c r="AH147" s="653"/>
      <c r="AI147" s="653"/>
      <c r="AJ147" s="653"/>
      <c r="AK147" s="653"/>
      <c r="AL147" s="653"/>
      <c r="AM147" s="653"/>
      <c r="AN147" s="653"/>
      <c r="AO147" s="653"/>
      <c r="AP147" s="653"/>
      <c r="AQ147" s="653"/>
      <c r="AR147" s="653"/>
      <c r="AS147" s="653"/>
      <c r="AT147" s="653"/>
      <c r="AU147" s="653"/>
      <c r="AV147" s="653"/>
      <c r="AW147" s="653"/>
      <c r="AX147" s="653"/>
      <c r="AY147" s="653"/>
      <c r="AZ147" s="653"/>
      <c r="BA147" s="653"/>
      <c r="BB147" s="653"/>
    </row>
    <row r="148" spans="1:54" s="175" customFormat="1" ht="12.75" hidden="1" outlineLevel="1">
      <c r="A148" s="173" t="s">
        <v>2931</v>
      </c>
      <c r="B148" s="174"/>
      <c r="C148" s="174" t="s">
        <v>2932</v>
      </c>
      <c r="D148" s="174" t="s">
        <v>2933</v>
      </c>
      <c r="E148" s="210">
        <v>-6589.93</v>
      </c>
      <c r="F148" s="210">
        <v>0</v>
      </c>
      <c r="G148" s="210"/>
      <c r="H148" s="211">
        <v>0</v>
      </c>
      <c r="I148" s="211">
        <v>0</v>
      </c>
      <c r="J148" s="211">
        <v>0</v>
      </c>
      <c r="K148" s="211">
        <v>0</v>
      </c>
      <c r="L148" s="211">
        <v>0</v>
      </c>
      <c r="M148" s="211">
        <v>0</v>
      </c>
      <c r="N148" s="211">
        <v>0</v>
      </c>
      <c r="O148" s="210">
        <v>0</v>
      </c>
      <c r="P148" s="210">
        <v>0</v>
      </c>
      <c r="Q148" s="210">
        <f t="shared" si="5"/>
        <v>-6589.93</v>
      </c>
      <c r="R148" s="173"/>
      <c r="T148" s="653"/>
      <c r="U148" s="653"/>
      <c r="V148" s="653"/>
      <c r="W148" s="653"/>
      <c r="X148" s="653"/>
      <c r="Y148" s="653"/>
      <c r="Z148" s="653"/>
      <c r="AA148" s="653"/>
      <c r="AB148" s="653"/>
      <c r="AC148" s="653"/>
      <c r="AD148" s="653"/>
      <c r="AE148" s="653"/>
      <c r="AF148" s="653"/>
      <c r="AG148" s="653"/>
      <c r="AH148" s="653"/>
      <c r="AI148" s="653"/>
      <c r="AJ148" s="653"/>
      <c r="AK148" s="653"/>
      <c r="AL148" s="653"/>
      <c r="AM148" s="653"/>
      <c r="AN148" s="653"/>
      <c r="AO148" s="653"/>
      <c r="AP148" s="653"/>
      <c r="AQ148" s="653"/>
      <c r="AR148" s="653"/>
      <c r="AS148" s="653"/>
      <c r="AT148" s="653"/>
      <c r="AU148" s="653"/>
      <c r="AV148" s="653"/>
      <c r="AW148" s="653"/>
      <c r="AX148" s="653"/>
      <c r="AY148" s="653"/>
      <c r="AZ148" s="653"/>
      <c r="BA148" s="653"/>
      <c r="BB148" s="653"/>
    </row>
    <row r="149" spans="1:54" s="175" customFormat="1" ht="12.75" hidden="1" outlineLevel="1">
      <c r="A149" s="173" t="s">
        <v>2934</v>
      </c>
      <c r="B149" s="174"/>
      <c r="C149" s="174" t="s">
        <v>2935</v>
      </c>
      <c r="D149" s="174" t="s">
        <v>2936</v>
      </c>
      <c r="E149" s="210">
        <v>5064.99</v>
      </c>
      <c r="F149" s="210">
        <v>5898.36</v>
      </c>
      <c r="G149" s="210"/>
      <c r="H149" s="211">
        <v>0</v>
      </c>
      <c r="I149" s="211">
        <v>0</v>
      </c>
      <c r="J149" s="211">
        <v>0</v>
      </c>
      <c r="K149" s="211">
        <v>0</v>
      </c>
      <c r="L149" s="211">
        <v>0</v>
      </c>
      <c r="M149" s="211">
        <v>0</v>
      </c>
      <c r="N149" s="211">
        <v>0</v>
      </c>
      <c r="O149" s="210">
        <v>0</v>
      </c>
      <c r="P149" s="210">
        <v>0</v>
      </c>
      <c r="Q149" s="210">
        <f t="shared" si="5"/>
        <v>10963.349999999999</v>
      </c>
      <c r="R149" s="173"/>
      <c r="T149" s="653"/>
      <c r="U149" s="653"/>
      <c r="V149" s="653"/>
      <c r="W149" s="653"/>
      <c r="X149" s="653"/>
      <c r="Y149" s="653"/>
      <c r="Z149" s="653"/>
      <c r="AA149" s="653"/>
      <c r="AB149" s="653"/>
      <c r="AC149" s="653"/>
      <c r="AD149" s="653"/>
      <c r="AE149" s="653"/>
      <c r="AF149" s="653"/>
      <c r="AG149" s="653"/>
      <c r="AH149" s="653"/>
      <c r="AI149" s="653"/>
      <c r="AJ149" s="653"/>
      <c r="AK149" s="653"/>
      <c r="AL149" s="653"/>
      <c r="AM149" s="653"/>
      <c r="AN149" s="653"/>
      <c r="AO149" s="653"/>
      <c r="AP149" s="653"/>
      <c r="AQ149" s="653"/>
      <c r="AR149" s="653"/>
      <c r="AS149" s="653"/>
      <c r="AT149" s="653"/>
      <c r="AU149" s="653"/>
      <c r="AV149" s="653"/>
      <c r="AW149" s="653"/>
      <c r="AX149" s="653"/>
      <c r="AY149" s="653"/>
      <c r="AZ149" s="653"/>
      <c r="BA149" s="653"/>
      <c r="BB149" s="653"/>
    </row>
    <row r="150" spans="1:54" s="175" customFormat="1" ht="12.75" hidden="1" outlineLevel="1">
      <c r="A150" s="173" t="s">
        <v>2937</v>
      </c>
      <c r="B150" s="174"/>
      <c r="C150" s="174" t="s">
        <v>2938</v>
      </c>
      <c r="D150" s="174" t="s">
        <v>2939</v>
      </c>
      <c r="E150" s="210">
        <v>10088.08</v>
      </c>
      <c r="F150" s="210">
        <v>15917.57</v>
      </c>
      <c r="G150" s="210"/>
      <c r="H150" s="211">
        <v>0</v>
      </c>
      <c r="I150" s="211">
        <v>0</v>
      </c>
      <c r="J150" s="211">
        <v>0</v>
      </c>
      <c r="K150" s="211">
        <v>0</v>
      </c>
      <c r="L150" s="211">
        <v>0</v>
      </c>
      <c r="M150" s="211">
        <v>0</v>
      </c>
      <c r="N150" s="211">
        <v>0</v>
      </c>
      <c r="O150" s="210">
        <v>0</v>
      </c>
      <c r="P150" s="210">
        <v>0</v>
      </c>
      <c r="Q150" s="210">
        <f t="shared" si="5"/>
        <v>26005.65</v>
      </c>
      <c r="R150" s="173"/>
      <c r="T150" s="653"/>
      <c r="U150" s="653"/>
      <c r="V150" s="653"/>
      <c r="W150" s="653"/>
      <c r="X150" s="653"/>
      <c r="Y150" s="653"/>
      <c r="Z150" s="653"/>
      <c r="AA150" s="653"/>
      <c r="AB150" s="653"/>
      <c r="AC150" s="653"/>
      <c r="AD150" s="653"/>
      <c r="AE150" s="653"/>
      <c r="AF150" s="653"/>
      <c r="AG150" s="653"/>
      <c r="AH150" s="653"/>
      <c r="AI150" s="653"/>
      <c r="AJ150" s="653"/>
      <c r="AK150" s="653"/>
      <c r="AL150" s="653"/>
      <c r="AM150" s="653"/>
      <c r="AN150" s="653"/>
      <c r="AO150" s="653"/>
      <c r="AP150" s="653"/>
      <c r="AQ150" s="653"/>
      <c r="AR150" s="653"/>
      <c r="AS150" s="653"/>
      <c r="AT150" s="653"/>
      <c r="AU150" s="653"/>
      <c r="AV150" s="653"/>
      <c r="AW150" s="653"/>
      <c r="AX150" s="653"/>
      <c r="AY150" s="653"/>
      <c r="AZ150" s="653"/>
      <c r="BA150" s="653"/>
      <c r="BB150" s="653"/>
    </row>
    <row r="151" spans="1:54" s="175" customFormat="1" ht="12.75" hidden="1" outlineLevel="1">
      <c r="A151" s="173" t="s">
        <v>2940</v>
      </c>
      <c r="B151" s="174"/>
      <c r="C151" s="174" t="s">
        <v>2941</v>
      </c>
      <c r="D151" s="174" t="s">
        <v>2942</v>
      </c>
      <c r="E151" s="210">
        <v>198216.7</v>
      </c>
      <c r="F151" s="210">
        <v>79789.6</v>
      </c>
      <c r="G151" s="210"/>
      <c r="H151" s="211">
        <v>0</v>
      </c>
      <c r="I151" s="211">
        <v>0</v>
      </c>
      <c r="J151" s="211">
        <v>0</v>
      </c>
      <c r="K151" s="211">
        <v>0</v>
      </c>
      <c r="L151" s="211">
        <v>0</v>
      </c>
      <c r="M151" s="211">
        <v>0</v>
      </c>
      <c r="N151" s="211">
        <v>0</v>
      </c>
      <c r="O151" s="210">
        <v>0</v>
      </c>
      <c r="P151" s="210">
        <v>0</v>
      </c>
      <c r="Q151" s="210">
        <f t="shared" si="5"/>
        <v>278006.30000000005</v>
      </c>
      <c r="R151" s="173"/>
      <c r="T151" s="653"/>
      <c r="U151" s="653"/>
      <c r="V151" s="653"/>
      <c r="W151" s="653"/>
      <c r="X151" s="653"/>
      <c r="Y151" s="653"/>
      <c r="Z151" s="653"/>
      <c r="AA151" s="653"/>
      <c r="AB151" s="653"/>
      <c r="AC151" s="653"/>
      <c r="AD151" s="653"/>
      <c r="AE151" s="653"/>
      <c r="AF151" s="653"/>
      <c r="AG151" s="653"/>
      <c r="AH151" s="653"/>
      <c r="AI151" s="653"/>
      <c r="AJ151" s="653"/>
      <c r="AK151" s="653"/>
      <c r="AL151" s="653"/>
      <c r="AM151" s="653"/>
      <c r="AN151" s="653"/>
      <c r="AO151" s="653"/>
      <c r="AP151" s="653"/>
      <c r="AQ151" s="653"/>
      <c r="AR151" s="653"/>
      <c r="AS151" s="653"/>
      <c r="AT151" s="653"/>
      <c r="AU151" s="653"/>
      <c r="AV151" s="653"/>
      <c r="AW151" s="653"/>
      <c r="AX151" s="653"/>
      <c r="AY151" s="653"/>
      <c r="AZ151" s="653"/>
      <c r="BA151" s="653"/>
      <c r="BB151" s="653"/>
    </row>
    <row r="152" spans="1:54" s="175" customFormat="1" ht="12.75" hidden="1" outlineLevel="1">
      <c r="A152" s="173" t="s">
        <v>2943</v>
      </c>
      <c r="B152" s="174"/>
      <c r="C152" s="174" t="s">
        <v>2944</v>
      </c>
      <c r="D152" s="174" t="s">
        <v>2945</v>
      </c>
      <c r="E152" s="210">
        <v>25420.91</v>
      </c>
      <c r="F152" s="210">
        <v>9747.28</v>
      </c>
      <c r="G152" s="210"/>
      <c r="H152" s="211">
        <v>0</v>
      </c>
      <c r="I152" s="211">
        <v>0</v>
      </c>
      <c r="J152" s="211">
        <v>0</v>
      </c>
      <c r="K152" s="211">
        <v>0</v>
      </c>
      <c r="L152" s="211">
        <v>0</v>
      </c>
      <c r="M152" s="211">
        <v>0</v>
      </c>
      <c r="N152" s="211">
        <v>0</v>
      </c>
      <c r="O152" s="210">
        <v>0</v>
      </c>
      <c r="P152" s="210">
        <v>0</v>
      </c>
      <c r="Q152" s="210">
        <f t="shared" si="5"/>
        <v>35168.19</v>
      </c>
      <c r="R152" s="173"/>
      <c r="T152" s="653"/>
      <c r="U152" s="653"/>
      <c r="V152" s="653"/>
      <c r="W152" s="653"/>
      <c r="X152" s="653"/>
      <c r="Y152" s="653"/>
      <c r="Z152" s="653"/>
      <c r="AA152" s="653"/>
      <c r="AB152" s="653"/>
      <c r="AC152" s="653"/>
      <c r="AD152" s="653"/>
      <c r="AE152" s="653"/>
      <c r="AF152" s="653"/>
      <c r="AG152" s="653"/>
      <c r="AH152" s="653"/>
      <c r="AI152" s="653"/>
      <c r="AJ152" s="653"/>
      <c r="AK152" s="653"/>
      <c r="AL152" s="653"/>
      <c r="AM152" s="653"/>
      <c r="AN152" s="653"/>
      <c r="AO152" s="653"/>
      <c r="AP152" s="653"/>
      <c r="AQ152" s="653"/>
      <c r="AR152" s="653"/>
      <c r="AS152" s="653"/>
      <c r="AT152" s="653"/>
      <c r="AU152" s="653"/>
      <c r="AV152" s="653"/>
      <c r="AW152" s="653"/>
      <c r="AX152" s="653"/>
      <c r="AY152" s="653"/>
      <c r="AZ152" s="653"/>
      <c r="BA152" s="653"/>
      <c r="BB152" s="653"/>
    </row>
    <row r="153" spans="1:54" s="175" customFormat="1" ht="12.75" hidden="1" outlineLevel="1">
      <c r="A153" s="173" t="s">
        <v>2946</v>
      </c>
      <c r="B153" s="174"/>
      <c r="C153" s="174" t="s">
        <v>2947</v>
      </c>
      <c r="D153" s="174" t="s">
        <v>2948</v>
      </c>
      <c r="E153" s="210">
        <v>4132.76</v>
      </c>
      <c r="F153" s="210">
        <v>0</v>
      </c>
      <c r="G153" s="210"/>
      <c r="H153" s="211">
        <v>0</v>
      </c>
      <c r="I153" s="211">
        <v>0</v>
      </c>
      <c r="J153" s="211">
        <v>0</v>
      </c>
      <c r="K153" s="211">
        <v>0</v>
      </c>
      <c r="L153" s="211">
        <v>0</v>
      </c>
      <c r="M153" s="211">
        <v>0</v>
      </c>
      <c r="N153" s="211">
        <v>0</v>
      </c>
      <c r="O153" s="210">
        <v>0</v>
      </c>
      <c r="P153" s="210">
        <v>0</v>
      </c>
      <c r="Q153" s="210">
        <f t="shared" si="5"/>
        <v>4132.76</v>
      </c>
      <c r="R153" s="173"/>
      <c r="T153" s="653"/>
      <c r="U153" s="653"/>
      <c r="V153" s="653"/>
      <c r="W153" s="653"/>
      <c r="X153" s="653"/>
      <c r="Y153" s="653"/>
      <c r="Z153" s="653"/>
      <c r="AA153" s="653"/>
      <c r="AB153" s="653"/>
      <c r="AC153" s="653"/>
      <c r="AD153" s="653"/>
      <c r="AE153" s="653"/>
      <c r="AF153" s="653"/>
      <c r="AG153" s="653"/>
      <c r="AH153" s="653"/>
      <c r="AI153" s="653"/>
      <c r="AJ153" s="653"/>
      <c r="AK153" s="653"/>
      <c r="AL153" s="653"/>
      <c r="AM153" s="653"/>
      <c r="AN153" s="653"/>
      <c r="AO153" s="653"/>
      <c r="AP153" s="653"/>
      <c r="AQ153" s="653"/>
      <c r="AR153" s="653"/>
      <c r="AS153" s="653"/>
      <c r="AT153" s="653"/>
      <c r="AU153" s="653"/>
      <c r="AV153" s="653"/>
      <c r="AW153" s="653"/>
      <c r="AX153" s="653"/>
      <c r="AY153" s="653"/>
      <c r="AZ153" s="653"/>
      <c r="BA153" s="653"/>
      <c r="BB153" s="653"/>
    </row>
    <row r="154" spans="1:54" s="175" customFormat="1" ht="12.75" hidden="1" outlineLevel="1">
      <c r="A154" s="173" t="s">
        <v>2949</v>
      </c>
      <c r="B154" s="174"/>
      <c r="C154" s="174" t="s">
        <v>2950</v>
      </c>
      <c r="D154" s="174" t="s">
        <v>2951</v>
      </c>
      <c r="E154" s="210">
        <v>27769.5</v>
      </c>
      <c r="F154" s="210">
        <v>0</v>
      </c>
      <c r="G154" s="210"/>
      <c r="H154" s="211">
        <v>0</v>
      </c>
      <c r="I154" s="211">
        <v>0</v>
      </c>
      <c r="J154" s="211">
        <v>0</v>
      </c>
      <c r="K154" s="211">
        <v>0</v>
      </c>
      <c r="L154" s="211">
        <v>0</v>
      </c>
      <c r="M154" s="211">
        <v>0</v>
      </c>
      <c r="N154" s="211">
        <v>0</v>
      </c>
      <c r="O154" s="210">
        <v>0</v>
      </c>
      <c r="P154" s="210">
        <v>0</v>
      </c>
      <c r="Q154" s="210">
        <f t="shared" si="5"/>
        <v>27769.5</v>
      </c>
      <c r="R154" s="173"/>
      <c r="T154" s="653"/>
      <c r="U154" s="653"/>
      <c r="V154" s="653"/>
      <c r="W154" s="653"/>
      <c r="X154" s="653"/>
      <c r="Y154" s="653"/>
      <c r="Z154" s="653"/>
      <c r="AA154" s="653"/>
      <c r="AB154" s="653"/>
      <c r="AC154" s="653"/>
      <c r="AD154" s="653"/>
      <c r="AE154" s="653"/>
      <c r="AF154" s="653"/>
      <c r="AG154" s="653"/>
      <c r="AH154" s="653"/>
      <c r="AI154" s="653"/>
      <c r="AJ154" s="653"/>
      <c r="AK154" s="653"/>
      <c r="AL154" s="653"/>
      <c r="AM154" s="653"/>
      <c r="AN154" s="653"/>
      <c r="AO154" s="653"/>
      <c r="AP154" s="653"/>
      <c r="AQ154" s="653"/>
      <c r="AR154" s="653"/>
      <c r="AS154" s="653"/>
      <c r="AT154" s="653"/>
      <c r="AU154" s="653"/>
      <c r="AV154" s="653"/>
      <c r="AW154" s="653"/>
      <c r="AX154" s="653"/>
      <c r="AY154" s="653"/>
      <c r="AZ154" s="653"/>
      <c r="BA154" s="653"/>
      <c r="BB154" s="653"/>
    </row>
    <row r="155" spans="1:54" s="175" customFormat="1" ht="12.75" hidden="1" outlineLevel="1">
      <c r="A155" s="173" t="s">
        <v>2952</v>
      </c>
      <c r="B155" s="174"/>
      <c r="C155" s="174" t="s">
        <v>2953</v>
      </c>
      <c r="D155" s="174" t="s">
        <v>2954</v>
      </c>
      <c r="E155" s="210">
        <v>15943.75</v>
      </c>
      <c r="F155" s="210">
        <v>0</v>
      </c>
      <c r="G155" s="210"/>
      <c r="H155" s="211">
        <v>0</v>
      </c>
      <c r="I155" s="211">
        <v>0</v>
      </c>
      <c r="J155" s="211">
        <v>0</v>
      </c>
      <c r="K155" s="211">
        <v>0</v>
      </c>
      <c r="L155" s="211">
        <v>0</v>
      </c>
      <c r="M155" s="211">
        <v>0</v>
      </c>
      <c r="N155" s="211">
        <v>0</v>
      </c>
      <c r="O155" s="210">
        <v>0</v>
      </c>
      <c r="P155" s="210">
        <v>0</v>
      </c>
      <c r="Q155" s="210">
        <f t="shared" si="5"/>
        <v>15943.75</v>
      </c>
      <c r="R155" s="173"/>
      <c r="T155" s="653"/>
      <c r="U155" s="653"/>
      <c r="V155" s="653"/>
      <c r="W155" s="653"/>
      <c r="X155" s="653"/>
      <c r="Y155" s="653"/>
      <c r="Z155" s="653"/>
      <c r="AA155" s="653"/>
      <c r="AB155" s="653"/>
      <c r="AC155" s="653"/>
      <c r="AD155" s="653"/>
      <c r="AE155" s="653"/>
      <c r="AF155" s="653"/>
      <c r="AG155" s="653"/>
      <c r="AH155" s="653"/>
      <c r="AI155" s="653"/>
      <c r="AJ155" s="653"/>
      <c r="AK155" s="653"/>
      <c r="AL155" s="653"/>
      <c r="AM155" s="653"/>
      <c r="AN155" s="653"/>
      <c r="AO155" s="653"/>
      <c r="AP155" s="653"/>
      <c r="AQ155" s="653"/>
      <c r="AR155" s="653"/>
      <c r="AS155" s="653"/>
      <c r="AT155" s="653"/>
      <c r="AU155" s="653"/>
      <c r="AV155" s="653"/>
      <c r="AW155" s="653"/>
      <c r="AX155" s="653"/>
      <c r="AY155" s="653"/>
      <c r="AZ155" s="653"/>
      <c r="BA155" s="653"/>
      <c r="BB155" s="653"/>
    </row>
    <row r="156" spans="1:54" s="175" customFormat="1" ht="12.75" hidden="1" outlineLevel="1">
      <c r="A156" s="173" t="s">
        <v>2955</v>
      </c>
      <c r="B156" s="174"/>
      <c r="C156" s="174" t="s">
        <v>2956</v>
      </c>
      <c r="D156" s="174" t="s">
        <v>2957</v>
      </c>
      <c r="E156" s="210">
        <v>0</v>
      </c>
      <c r="F156" s="210">
        <v>0</v>
      </c>
      <c r="G156" s="210"/>
      <c r="H156" s="211">
        <v>0</v>
      </c>
      <c r="I156" s="211">
        <v>0</v>
      </c>
      <c r="J156" s="211">
        <v>0</v>
      </c>
      <c r="K156" s="211">
        <v>0</v>
      </c>
      <c r="L156" s="211">
        <v>0</v>
      </c>
      <c r="M156" s="211">
        <v>0</v>
      </c>
      <c r="N156" s="211">
        <v>2697.07</v>
      </c>
      <c r="O156" s="210">
        <v>2697.07</v>
      </c>
      <c r="P156" s="210">
        <v>0</v>
      </c>
      <c r="Q156" s="210">
        <f t="shared" si="5"/>
        <v>2697.07</v>
      </c>
      <c r="R156" s="173"/>
      <c r="T156" s="653"/>
      <c r="U156" s="653"/>
      <c r="V156" s="653"/>
      <c r="W156" s="653"/>
      <c r="X156" s="653"/>
      <c r="Y156" s="653"/>
      <c r="Z156" s="653"/>
      <c r="AA156" s="653"/>
      <c r="AB156" s="653"/>
      <c r="AC156" s="653"/>
      <c r="AD156" s="653"/>
      <c r="AE156" s="653"/>
      <c r="AF156" s="653"/>
      <c r="AG156" s="653"/>
      <c r="AH156" s="653"/>
      <c r="AI156" s="653"/>
      <c r="AJ156" s="653"/>
      <c r="AK156" s="653"/>
      <c r="AL156" s="653"/>
      <c r="AM156" s="653"/>
      <c r="AN156" s="653"/>
      <c r="AO156" s="653"/>
      <c r="AP156" s="653"/>
      <c r="AQ156" s="653"/>
      <c r="AR156" s="653"/>
      <c r="AS156" s="653"/>
      <c r="AT156" s="653"/>
      <c r="AU156" s="653"/>
      <c r="AV156" s="653"/>
      <c r="AW156" s="653"/>
      <c r="AX156" s="653"/>
      <c r="AY156" s="653"/>
      <c r="AZ156" s="653"/>
      <c r="BA156" s="653"/>
      <c r="BB156" s="653"/>
    </row>
    <row r="157" spans="1:54" s="175" customFormat="1" ht="12.75" hidden="1" outlineLevel="1">
      <c r="A157" s="173" t="s">
        <v>2958</v>
      </c>
      <c r="B157" s="174"/>
      <c r="C157" s="174" t="s">
        <v>2959</v>
      </c>
      <c r="D157" s="174" t="s">
        <v>2960</v>
      </c>
      <c r="E157" s="210">
        <v>1111.24</v>
      </c>
      <c r="F157" s="210">
        <v>0</v>
      </c>
      <c r="G157" s="210"/>
      <c r="H157" s="211">
        <v>0</v>
      </c>
      <c r="I157" s="211">
        <v>0</v>
      </c>
      <c r="J157" s="211">
        <v>0</v>
      </c>
      <c r="K157" s="211">
        <v>0</v>
      </c>
      <c r="L157" s="211">
        <v>0</v>
      </c>
      <c r="M157" s="211">
        <v>0</v>
      </c>
      <c r="N157" s="211">
        <v>0</v>
      </c>
      <c r="O157" s="210">
        <v>0</v>
      </c>
      <c r="P157" s="210">
        <v>0</v>
      </c>
      <c r="Q157" s="210">
        <f t="shared" si="5"/>
        <v>1111.24</v>
      </c>
      <c r="R157" s="173"/>
      <c r="T157" s="653"/>
      <c r="U157" s="653"/>
      <c r="V157" s="653"/>
      <c r="W157" s="653"/>
      <c r="X157" s="653"/>
      <c r="Y157" s="653"/>
      <c r="Z157" s="653"/>
      <c r="AA157" s="653"/>
      <c r="AB157" s="653"/>
      <c r="AC157" s="653"/>
      <c r="AD157" s="653"/>
      <c r="AE157" s="653"/>
      <c r="AF157" s="653"/>
      <c r="AG157" s="653"/>
      <c r="AH157" s="653"/>
      <c r="AI157" s="653"/>
      <c r="AJ157" s="653"/>
      <c r="AK157" s="653"/>
      <c r="AL157" s="653"/>
      <c r="AM157" s="653"/>
      <c r="AN157" s="653"/>
      <c r="AO157" s="653"/>
      <c r="AP157" s="653"/>
      <c r="AQ157" s="653"/>
      <c r="AR157" s="653"/>
      <c r="AS157" s="653"/>
      <c r="AT157" s="653"/>
      <c r="AU157" s="653"/>
      <c r="AV157" s="653"/>
      <c r="AW157" s="653"/>
      <c r="AX157" s="653"/>
      <c r="AY157" s="653"/>
      <c r="AZ157" s="653"/>
      <c r="BA157" s="653"/>
      <c r="BB157" s="653"/>
    </row>
    <row r="158" spans="1:54" s="175" customFormat="1" ht="12.75" hidden="1" outlineLevel="1">
      <c r="A158" s="173" t="s">
        <v>2961</v>
      </c>
      <c r="B158" s="174"/>
      <c r="C158" s="174" t="s">
        <v>2962</v>
      </c>
      <c r="D158" s="174" t="s">
        <v>2963</v>
      </c>
      <c r="E158" s="210">
        <v>5037.87</v>
      </c>
      <c r="F158" s="210">
        <v>0</v>
      </c>
      <c r="G158" s="210"/>
      <c r="H158" s="211">
        <v>0</v>
      </c>
      <c r="I158" s="211">
        <v>0</v>
      </c>
      <c r="J158" s="211">
        <v>0</v>
      </c>
      <c r="K158" s="211">
        <v>0</v>
      </c>
      <c r="L158" s="211">
        <v>0</v>
      </c>
      <c r="M158" s="211">
        <v>0</v>
      </c>
      <c r="N158" s="211">
        <v>0</v>
      </c>
      <c r="O158" s="210">
        <v>0</v>
      </c>
      <c r="P158" s="210">
        <v>0</v>
      </c>
      <c r="Q158" s="210">
        <f t="shared" si="5"/>
        <v>5037.87</v>
      </c>
      <c r="R158" s="173"/>
      <c r="T158" s="653"/>
      <c r="U158" s="653"/>
      <c r="V158" s="653"/>
      <c r="W158" s="653"/>
      <c r="X158" s="653"/>
      <c r="Y158" s="653"/>
      <c r="Z158" s="653"/>
      <c r="AA158" s="653"/>
      <c r="AB158" s="653"/>
      <c r="AC158" s="653"/>
      <c r="AD158" s="653"/>
      <c r="AE158" s="653"/>
      <c r="AF158" s="653"/>
      <c r="AG158" s="653"/>
      <c r="AH158" s="653"/>
      <c r="AI158" s="653"/>
      <c r="AJ158" s="653"/>
      <c r="AK158" s="653"/>
      <c r="AL158" s="653"/>
      <c r="AM158" s="653"/>
      <c r="AN158" s="653"/>
      <c r="AO158" s="653"/>
      <c r="AP158" s="653"/>
      <c r="AQ158" s="653"/>
      <c r="AR158" s="653"/>
      <c r="AS158" s="653"/>
      <c r="AT158" s="653"/>
      <c r="AU158" s="653"/>
      <c r="AV158" s="653"/>
      <c r="AW158" s="653"/>
      <c r="AX158" s="653"/>
      <c r="AY158" s="653"/>
      <c r="AZ158" s="653"/>
      <c r="BA158" s="653"/>
      <c r="BB158" s="653"/>
    </row>
    <row r="159" spans="1:54" s="175" customFormat="1" ht="12.75" hidden="1" outlineLevel="1">
      <c r="A159" s="173" t="s">
        <v>2964</v>
      </c>
      <c r="B159" s="174"/>
      <c r="C159" s="174" t="s">
        <v>2965</v>
      </c>
      <c r="D159" s="174" t="s">
        <v>2966</v>
      </c>
      <c r="E159" s="210">
        <v>336864.16</v>
      </c>
      <c r="F159" s="210">
        <v>1082.7</v>
      </c>
      <c r="G159" s="210"/>
      <c r="H159" s="211">
        <v>6.29</v>
      </c>
      <c r="I159" s="211">
        <v>0</v>
      </c>
      <c r="J159" s="211">
        <v>0</v>
      </c>
      <c r="K159" s="211">
        <v>0</v>
      </c>
      <c r="L159" s="211">
        <v>0</v>
      </c>
      <c r="M159" s="211">
        <v>0</v>
      </c>
      <c r="N159" s="211">
        <v>0</v>
      </c>
      <c r="O159" s="210">
        <v>6.29</v>
      </c>
      <c r="P159" s="210">
        <v>0</v>
      </c>
      <c r="Q159" s="210">
        <f t="shared" si="5"/>
        <v>337953.14999999997</v>
      </c>
      <c r="R159" s="173"/>
      <c r="T159" s="653"/>
      <c r="U159" s="653"/>
      <c r="V159" s="653"/>
      <c r="W159" s="653"/>
      <c r="X159" s="653"/>
      <c r="Y159" s="653"/>
      <c r="Z159" s="653"/>
      <c r="AA159" s="653"/>
      <c r="AB159" s="653"/>
      <c r="AC159" s="653"/>
      <c r="AD159" s="653"/>
      <c r="AE159" s="653"/>
      <c r="AF159" s="653"/>
      <c r="AG159" s="653"/>
      <c r="AH159" s="653"/>
      <c r="AI159" s="653"/>
      <c r="AJ159" s="653"/>
      <c r="AK159" s="653"/>
      <c r="AL159" s="653"/>
      <c r="AM159" s="653"/>
      <c r="AN159" s="653"/>
      <c r="AO159" s="653"/>
      <c r="AP159" s="653"/>
      <c r="AQ159" s="653"/>
      <c r="AR159" s="653"/>
      <c r="AS159" s="653"/>
      <c r="AT159" s="653"/>
      <c r="AU159" s="653"/>
      <c r="AV159" s="653"/>
      <c r="AW159" s="653"/>
      <c r="AX159" s="653"/>
      <c r="AY159" s="653"/>
      <c r="AZ159" s="653"/>
      <c r="BA159" s="653"/>
      <c r="BB159" s="653"/>
    </row>
    <row r="160" spans="1:54" s="175" customFormat="1" ht="12.75" hidden="1" outlineLevel="1">
      <c r="A160" s="173" t="s">
        <v>2967</v>
      </c>
      <c r="B160" s="174"/>
      <c r="C160" s="174" t="s">
        <v>2968</v>
      </c>
      <c r="D160" s="174" t="s">
        <v>2969</v>
      </c>
      <c r="E160" s="210">
        <v>103720.68</v>
      </c>
      <c r="F160" s="210">
        <v>22468.46</v>
      </c>
      <c r="G160" s="210"/>
      <c r="H160" s="211">
        <v>60.18</v>
      </c>
      <c r="I160" s="211">
        <v>0.47</v>
      </c>
      <c r="J160" s="211">
        <v>0</v>
      </c>
      <c r="K160" s="211">
        <v>0</v>
      </c>
      <c r="L160" s="211">
        <v>48.73</v>
      </c>
      <c r="M160" s="211">
        <v>0</v>
      </c>
      <c r="N160" s="211">
        <v>0</v>
      </c>
      <c r="O160" s="210">
        <v>109.38</v>
      </c>
      <c r="P160" s="210">
        <v>0</v>
      </c>
      <c r="Q160" s="210">
        <f t="shared" si="5"/>
        <v>126298.51999999999</v>
      </c>
      <c r="R160" s="173"/>
      <c r="T160" s="653"/>
      <c r="U160" s="653"/>
      <c r="V160" s="653"/>
      <c r="W160" s="653"/>
      <c r="X160" s="653"/>
      <c r="Y160" s="653"/>
      <c r="Z160" s="653"/>
      <c r="AA160" s="653"/>
      <c r="AB160" s="653"/>
      <c r="AC160" s="653"/>
      <c r="AD160" s="653"/>
      <c r="AE160" s="653"/>
      <c r="AF160" s="653"/>
      <c r="AG160" s="653"/>
      <c r="AH160" s="653"/>
      <c r="AI160" s="653"/>
      <c r="AJ160" s="653"/>
      <c r="AK160" s="653"/>
      <c r="AL160" s="653"/>
      <c r="AM160" s="653"/>
      <c r="AN160" s="653"/>
      <c r="AO160" s="653"/>
      <c r="AP160" s="653"/>
      <c r="AQ160" s="653"/>
      <c r="AR160" s="653"/>
      <c r="AS160" s="653"/>
      <c r="AT160" s="653"/>
      <c r="AU160" s="653"/>
      <c r="AV160" s="653"/>
      <c r="AW160" s="653"/>
      <c r="AX160" s="653"/>
      <c r="AY160" s="653"/>
      <c r="AZ160" s="653"/>
      <c r="BA160" s="653"/>
      <c r="BB160" s="653"/>
    </row>
    <row r="161" spans="1:54" s="175" customFormat="1" ht="12.75" hidden="1" outlineLevel="1">
      <c r="A161" s="173" t="s">
        <v>2970</v>
      </c>
      <c r="B161" s="174"/>
      <c r="C161" s="174" t="s">
        <v>2971</v>
      </c>
      <c r="D161" s="174" t="s">
        <v>2972</v>
      </c>
      <c r="E161" s="210">
        <v>5348.52</v>
      </c>
      <c r="F161" s="210">
        <v>3420.9</v>
      </c>
      <c r="G161" s="210"/>
      <c r="H161" s="211">
        <v>0</v>
      </c>
      <c r="I161" s="211">
        <v>0</v>
      </c>
      <c r="J161" s="211">
        <v>0</v>
      </c>
      <c r="K161" s="211">
        <v>0</v>
      </c>
      <c r="L161" s="211">
        <v>0</v>
      </c>
      <c r="M161" s="211">
        <v>0</v>
      </c>
      <c r="N161" s="211">
        <v>0</v>
      </c>
      <c r="O161" s="210">
        <v>0</v>
      </c>
      <c r="P161" s="210">
        <v>0</v>
      </c>
      <c r="Q161" s="210">
        <f aca="true" t="shared" si="6" ref="Q161:Q224">E161+F161+G161+O161+P161</f>
        <v>8769.42</v>
      </c>
      <c r="R161" s="173"/>
      <c r="T161" s="653"/>
      <c r="U161" s="653"/>
      <c r="V161" s="653"/>
      <c r="W161" s="653"/>
      <c r="X161" s="653"/>
      <c r="Y161" s="653"/>
      <c r="Z161" s="653"/>
      <c r="AA161" s="653"/>
      <c r="AB161" s="653"/>
      <c r="AC161" s="653"/>
      <c r="AD161" s="653"/>
      <c r="AE161" s="653"/>
      <c r="AF161" s="653"/>
      <c r="AG161" s="653"/>
      <c r="AH161" s="653"/>
      <c r="AI161" s="653"/>
      <c r="AJ161" s="653"/>
      <c r="AK161" s="653"/>
      <c r="AL161" s="653"/>
      <c r="AM161" s="653"/>
      <c r="AN161" s="653"/>
      <c r="AO161" s="653"/>
      <c r="AP161" s="653"/>
      <c r="AQ161" s="653"/>
      <c r="AR161" s="653"/>
      <c r="AS161" s="653"/>
      <c r="AT161" s="653"/>
      <c r="AU161" s="653"/>
      <c r="AV161" s="653"/>
      <c r="AW161" s="653"/>
      <c r="AX161" s="653"/>
      <c r="AY161" s="653"/>
      <c r="AZ161" s="653"/>
      <c r="BA161" s="653"/>
      <c r="BB161" s="653"/>
    </row>
    <row r="162" spans="1:54" s="175" customFormat="1" ht="12.75" hidden="1" outlineLevel="1">
      <c r="A162" s="173" t="s">
        <v>2973</v>
      </c>
      <c r="B162" s="174"/>
      <c r="C162" s="174" t="s">
        <v>2974</v>
      </c>
      <c r="D162" s="174" t="s">
        <v>2975</v>
      </c>
      <c r="E162" s="210">
        <v>19643.41</v>
      </c>
      <c r="F162" s="210">
        <v>3188.16</v>
      </c>
      <c r="G162" s="210"/>
      <c r="H162" s="211">
        <v>721.72</v>
      </c>
      <c r="I162" s="211">
        <v>0</v>
      </c>
      <c r="J162" s="211">
        <v>0</v>
      </c>
      <c r="K162" s="211">
        <v>0</v>
      </c>
      <c r="L162" s="211">
        <v>0</v>
      </c>
      <c r="M162" s="211">
        <v>0</v>
      </c>
      <c r="N162" s="211">
        <v>0</v>
      </c>
      <c r="O162" s="210">
        <v>721.72</v>
      </c>
      <c r="P162" s="210">
        <v>0</v>
      </c>
      <c r="Q162" s="210">
        <f t="shared" si="6"/>
        <v>23553.29</v>
      </c>
      <c r="R162" s="173"/>
      <c r="T162" s="653"/>
      <c r="U162" s="653"/>
      <c r="V162" s="653"/>
      <c r="W162" s="653"/>
      <c r="X162" s="653"/>
      <c r="Y162" s="653"/>
      <c r="Z162" s="653"/>
      <c r="AA162" s="653"/>
      <c r="AB162" s="653"/>
      <c r="AC162" s="653"/>
      <c r="AD162" s="653"/>
      <c r="AE162" s="653"/>
      <c r="AF162" s="653"/>
      <c r="AG162" s="653"/>
      <c r="AH162" s="653"/>
      <c r="AI162" s="653"/>
      <c r="AJ162" s="653"/>
      <c r="AK162" s="653"/>
      <c r="AL162" s="653"/>
      <c r="AM162" s="653"/>
      <c r="AN162" s="653"/>
      <c r="AO162" s="653"/>
      <c r="AP162" s="653"/>
      <c r="AQ162" s="653"/>
      <c r="AR162" s="653"/>
      <c r="AS162" s="653"/>
      <c r="AT162" s="653"/>
      <c r="AU162" s="653"/>
      <c r="AV162" s="653"/>
      <c r="AW162" s="653"/>
      <c r="AX162" s="653"/>
      <c r="AY162" s="653"/>
      <c r="AZ162" s="653"/>
      <c r="BA162" s="653"/>
      <c r="BB162" s="653"/>
    </row>
    <row r="163" spans="1:54" s="175" customFormat="1" ht="12.75" hidden="1" outlineLevel="1">
      <c r="A163" s="173" t="s">
        <v>2976</v>
      </c>
      <c r="B163" s="174"/>
      <c r="C163" s="174" t="s">
        <v>2977</v>
      </c>
      <c r="D163" s="174" t="s">
        <v>2978</v>
      </c>
      <c r="E163" s="210">
        <v>3609.88</v>
      </c>
      <c r="F163" s="210">
        <v>-230</v>
      </c>
      <c r="G163" s="210"/>
      <c r="H163" s="211">
        <v>966.75</v>
      </c>
      <c r="I163" s="211">
        <v>13.9</v>
      </c>
      <c r="J163" s="211">
        <v>0</v>
      </c>
      <c r="K163" s="211">
        <v>0</v>
      </c>
      <c r="L163" s="211">
        <v>0</v>
      </c>
      <c r="M163" s="211">
        <v>0</v>
      </c>
      <c r="N163" s="211">
        <v>0</v>
      </c>
      <c r="O163" s="210">
        <v>980.65</v>
      </c>
      <c r="P163" s="210">
        <v>0</v>
      </c>
      <c r="Q163" s="210">
        <f t="shared" si="6"/>
        <v>4360.53</v>
      </c>
      <c r="R163" s="173"/>
      <c r="T163" s="653"/>
      <c r="U163" s="653"/>
      <c r="V163" s="653"/>
      <c r="W163" s="653"/>
      <c r="X163" s="653"/>
      <c r="Y163" s="653"/>
      <c r="Z163" s="653"/>
      <c r="AA163" s="653"/>
      <c r="AB163" s="653"/>
      <c r="AC163" s="653"/>
      <c r="AD163" s="653"/>
      <c r="AE163" s="653"/>
      <c r="AF163" s="653"/>
      <c r="AG163" s="653"/>
      <c r="AH163" s="653"/>
      <c r="AI163" s="653"/>
      <c r="AJ163" s="653"/>
      <c r="AK163" s="653"/>
      <c r="AL163" s="653"/>
      <c r="AM163" s="653"/>
      <c r="AN163" s="653"/>
      <c r="AO163" s="653"/>
      <c r="AP163" s="653"/>
      <c r="AQ163" s="653"/>
      <c r="AR163" s="653"/>
      <c r="AS163" s="653"/>
      <c r="AT163" s="653"/>
      <c r="AU163" s="653"/>
      <c r="AV163" s="653"/>
      <c r="AW163" s="653"/>
      <c r="AX163" s="653"/>
      <c r="AY163" s="653"/>
      <c r="AZ163" s="653"/>
      <c r="BA163" s="653"/>
      <c r="BB163" s="653"/>
    </row>
    <row r="164" spans="1:54" s="175" customFormat="1" ht="12.75" hidden="1" outlineLevel="1">
      <c r="A164" s="173" t="s">
        <v>2979</v>
      </c>
      <c r="B164" s="174"/>
      <c r="C164" s="174" t="s">
        <v>2980</v>
      </c>
      <c r="D164" s="174" t="s">
        <v>2981</v>
      </c>
      <c r="E164" s="210">
        <v>18.46</v>
      </c>
      <c r="F164" s="210">
        <v>0</v>
      </c>
      <c r="G164" s="210"/>
      <c r="H164" s="211">
        <v>0</v>
      </c>
      <c r="I164" s="211">
        <v>0</v>
      </c>
      <c r="J164" s="211">
        <v>0</v>
      </c>
      <c r="K164" s="211">
        <v>0</v>
      </c>
      <c r="L164" s="211">
        <v>0</v>
      </c>
      <c r="M164" s="211">
        <v>0</v>
      </c>
      <c r="N164" s="211">
        <v>0</v>
      </c>
      <c r="O164" s="210">
        <v>0</v>
      </c>
      <c r="P164" s="210">
        <v>0</v>
      </c>
      <c r="Q164" s="210">
        <f t="shared" si="6"/>
        <v>18.46</v>
      </c>
      <c r="R164" s="173"/>
      <c r="T164" s="653"/>
      <c r="U164" s="653"/>
      <c r="V164" s="653"/>
      <c r="W164" s="653"/>
      <c r="X164" s="653"/>
      <c r="Y164" s="653"/>
      <c r="Z164" s="653"/>
      <c r="AA164" s="653"/>
      <c r="AB164" s="653"/>
      <c r="AC164" s="653"/>
      <c r="AD164" s="653"/>
      <c r="AE164" s="653"/>
      <c r="AF164" s="653"/>
      <c r="AG164" s="653"/>
      <c r="AH164" s="653"/>
      <c r="AI164" s="653"/>
      <c r="AJ164" s="653"/>
      <c r="AK164" s="653"/>
      <c r="AL164" s="653"/>
      <c r="AM164" s="653"/>
      <c r="AN164" s="653"/>
      <c r="AO164" s="653"/>
      <c r="AP164" s="653"/>
      <c r="AQ164" s="653"/>
      <c r="AR164" s="653"/>
      <c r="AS164" s="653"/>
      <c r="AT164" s="653"/>
      <c r="AU164" s="653"/>
      <c r="AV164" s="653"/>
      <c r="AW164" s="653"/>
      <c r="AX164" s="653"/>
      <c r="AY164" s="653"/>
      <c r="AZ164" s="653"/>
      <c r="BA164" s="653"/>
      <c r="BB164" s="653"/>
    </row>
    <row r="165" spans="1:54" s="175" customFormat="1" ht="12.75" hidden="1" outlineLevel="1">
      <c r="A165" s="173" t="s">
        <v>2982</v>
      </c>
      <c r="B165" s="174"/>
      <c r="C165" s="174" t="s">
        <v>235</v>
      </c>
      <c r="D165" s="174" t="s">
        <v>236</v>
      </c>
      <c r="E165" s="210">
        <v>397496.08</v>
      </c>
      <c r="F165" s="210">
        <v>3657.07</v>
      </c>
      <c r="G165" s="210"/>
      <c r="H165" s="211">
        <v>0</v>
      </c>
      <c r="I165" s="211">
        <v>2190</v>
      </c>
      <c r="J165" s="211">
        <v>0</v>
      </c>
      <c r="K165" s="211">
        <v>0</v>
      </c>
      <c r="L165" s="211">
        <v>997.73</v>
      </c>
      <c r="M165" s="211">
        <v>0</v>
      </c>
      <c r="N165" s="211">
        <v>271009.5</v>
      </c>
      <c r="O165" s="210">
        <v>274197.23</v>
      </c>
      <c r="P165" s="210">
        <v>0</v>
      </c>
      <c r="Q165" s="210">
        <f t="shared" si="6"/>
        <v>675350.38</v>
      </c>
      <c r="R165" s="173"/>
      <c r="T165" s="653"/>
      <c r="U165" s="653"/>
      <c r="V165" s="653"/>
      <c r="W165" s="653"/>
      <c r="X165" s="653"/>
      <c r="Y165" s="653"/>
      <c r="Z165" s="653"/>
      <c r="AA165" s="653"/>
      <c r="AB165" s="653"/>
      <c r="AC165" s="653"/>
      <c r="AD165" s="653"/>
      <c r="AE165" s="653"/>
      <c r="AF165" s="653"/>
      <c r="AG165" s="653"/>
      <c r="AH165" s="653"/>
      <c r="AI165" s="653"/>
      <c r="AJ165" s="653"/>
      <c r="AK165" s="653"/>
      <c r="AL165" s="653"/>
      <c r="AM165" s="653"/>
      <c r="AN165" s="653"/>
      <c r="AO165" s="653"/>
      <c r="AP165" s="653"/>
      <c r="AQ165" s="653"/>
      <c r="AR165" s="653"/>
      <c r="AS165" s="653"/>
      <c r="AT165" s="653"/>
      <c r="AU165" s="653"/>
      <c r="AV165" s="653"/>
      <c r="AW165" s="653"/>
      <c r="AX165" s="653"/>
      <c r="AY165" s="653"/>
      <c r="AZ165" s="653"/>
      <c r="BA165" s="653"/>
      <c r="BB165" s="653"/>
    </row>
    <row r="166" spans="1:54" s="175" customFormat="1" ht="12.75" hidden="1" outlineLevel="1">
      <c r="A166" s="173" t="s">
        <v>237</v>
      </c>
      <c r="B166" s="174"/>
      <c r="C166" s="174" t="s">
        <v>238</v>
      </c>
      <c r="D166" s="174" t="s">
        <v>239</v>
      </c>
      <c r="E166" s="210">
        <v>2696.98</v>
      </c>
      <c r="F166" s="210">
        <v>11870.59</v>
      </c>
      <c r="G166" s="210"/>
      <c r="H166" s="211">
        <v>0</v>
      </c>
      <c r="I166" s="211">
        <v>0</v>
      </c>
      <c r="J166" s="211">
        <v>0</v>
      </c>
      <c r="K166" s="211">
        <v>0</v>
      </c>
      <c r="L166" s="211">
        <v>0</v>
      </c>
      <c r="M166" s="211">
        <v>0</v>
      </c>
      <c r="N166" s="211">
        <v>-13758.33</v>
      </c>
      <c r="O166" s="210">
        <v>-13758.33</v>
      </c>
      <c r="P166" s="210">
        <v>0</v>
      </c>
      <c r="Q166" s="210">
        <f t="shared" si="6"/>
        <v>809.2399999999998</v>
      </c>
      <c r="R166" s="173"/>
      <c r="T166" s="653"/>
      <c r="U166" s="653"/>
      <c r="V166" s="653"/>
      <c r="W166" s="653"/>
      <c r="X166" s="653"/>
      <c r="Y166" s="653"/>
      <c r="Z166" s="653"/>
      <c r="AA166" s="653"/>
      <c r="AB166" s="653"/>
      <c r="AC166" s="653"/>
      <c r="AD166" s="653"/>
      <c r="AE166" s="653"/>
      <c r="AF166" s="653"/>
      <c r="AG166" s="653"/>
      <c r="AH166" s="653"/>
      <c r="AI166" s="653"/>
      <c r="AJ166" s="653"/>
      <c r="AK166" s="653"/>
      <c r="AL166" s="653"/>
      <c r="AM166" s="653"/>
      <c r="AN166" s="653"/>
      <c r="AO166" s="653"/>
      <c r="AP166" s="653"/>
      <c r="AQ166" s="653"/>
      <c r="AR166" s="653"/>
      <c r="AS166" s="653"/>
      <c r="AT166" s="653"/>
      <c r="AU166" s="653"/>
      <c r="AV166" s="653"/>
      <c r="AW166" s="653"/>
      <c r="AX166" s="653"/>
      <c r="AY166" s="653"/>
      <c r="AZ166" s="653"/>
      <c r="BA166" s="653"/>
      <c r="BB166" s="653"/>
    </row>
    <row r="167" spans="1:54" s="175" customFormat="1" ht="12.75" hidden="1" outlineLevel="1">
      <c r="A167" s="173" t="s">
        <v>240</v>
      </c>
      <c r="B167" s="174"/>
      <c r="C167" s="174" t="s">
        <v>241</v>
      </c>
      <c r="D167" s="174" t="s">
        <v>242</v>
      </c>
      <c r="E167" s="210">
        <v>246.54</v>
      </c>
      <c r="F167" s="210">
        <v>-24.39</v>
      </c>
      <c r="G167" s="210"/>
      <c r="H167" s="211">
        <v>0</v>
      </c>
      <c r="I167" s="211">
        <v>0</v>
      </c>
      <c r="J167" s="211">
        <v>0</v>
      </c>
      <c r="K167" s="211">
        <v>0</v>
      </c>
      <c r="L167" s="211">
        <v>0</v>
      </c>
      <c r="M167" s="211">
        <v>0</v>
      </c>
      <c r="N167" s="211">
        <v>0</v>
      </c>
      <c r="O167" s="210">
        <v>0</v>
      </c>
      <c r="P167" s="210">
        <v>0</v>
      </c>
      <c r="Q167" s="210">
        <f t="shared" si="6"/>
        <v>222.14999999999998</v>
      </c>
      <c r="R167" s="173"/>
      <c r="T167" s="653"/>
      <c r="U167" s="653"/>
      <c r="V167" s="653"/>
      <c r="W167" s="653"/>
      <c r="X167" s="653"/>
      <c r="Y167" s="653"/>
      <c r="Z167" s="653"/>
      <c r="AA167" s="653"/>
      <c r="AB167" s="653"/>
      <c r="AC167" s="653"/>
      <c r="AD167" s="653"/>
      <c r="AE167" s="653"/>
      <c r="AF167" s="653"/>
      <c r="AG167" s="653"/>
      <c r="AH167" s="653"/>
      <c r="AI167" s="653"/>
      <c r="AJ167" s="653"/>
      <c r="AK167" s="653"/>
      <c r="AL167" s="653"/>
      <c r="AM167" s="653"/>
      <c r="AN167" s="653"/>
      <c r="AO167" s="653"/>
      <c r="AP167" s="653"/>
      <c r="AQ167" s="653"/>
      <c r="AR167" s="653"/>
      <c r="AS167" s="653"/>
      <c r="AT167" s="653"/>
      <c r="AU167" s="653"/>
      <c r="AV167" s="653"/>
      <c r="AW167" s="653"/>
      <c r="AX167" s="653"/>
      <c r="AY167" s="653"/>
      <c r="AZ167" s="653"/>
      <c r="BA167" s="653"/>
      <c r="BB167" s="653"/>
    </row>
    <row r="168" spans="1:54" s="175" customFormat="1" ht="12.75" hidden="1" outlineLevel="1">
      <c r="A168" s="173" t="s">
        <v>243</v>
      </c>
      <c r="B168" s="174"/>
      <c r="C168" s="174" t="s">
        <v>244</v>
      </c>
      <c r="D168" s="174" t="s">
        <v>245</v>
      </c>
      <c r="E168" s="210">
        <v>5604.01</v>
      </c>
      <c r="F168" s="210">
        <v>0</v>
      </c>
      <c r="G168" s="210"/>
      <c r="H168" s="211">
        <v>0</v>
      </c>
      <c r="I168" s="211">
        <v>0</v>
      </c>
      <c r="J168" s="211">
        <v>0</v>
      </c>
      <c r="K168" s="211">
        <v>0</v>
      </c>
      <c r="L168" s="211">
        <v>0</v>
      </c>
      <c r="M168" s="211">
        <v>0</v>
      </c>
      <c r="N168" s="211">
        <v>0</v>
      </c>
      <c r="O168" s="210">
        <v>0</v>
      </c>
      <c r="P168" s="210">
        <v>0</v>
      </c>
      <c r="Q168" s="210">
        <f t="shared" si="6"/>
        <v>5604.01</v>
      </c>
      <c r="R168" s="173"/>
      <c r="T168" s="653"/>
      <c r="U168" s="653"/>
      <c r="V168" s="653"/>
      <c r="W168" s="653"/>
      <c r="X168" s="653"/>
      <c r="Y168" s="653"/>
      <c r="Z168" s="653"/>
      <c r="AA168" s="653"/>
      <c r="AB168" s="653"/>
      <c r="AC168" s="653"/>
      <c r="AD168" s="653"/>
      <c r="AE168" s="653"/>
      <c r="AF168" s="653"/>
      <c r="AG168" s="653"/>
      <c r="AH168" s="653"/>
      <c r="AI168" s="653"/>
      <c r="AJ168" s="653"/>
      <c r="AK168" s="653"/>
      <c r="AL168" s="653"/>
      <c r="AM168" s="653"/>
      <c r="AN168" s="653"/>
      <c r="AO168" s="653"/>
      <c r="AP168" s="653"/>
      <c r="AQ168" s="653"/>
      <c r="AR168" s="653"/>
      <c r="AS168" s="653"/>
      <c r="AT168" s="653"/>
      <c r="AU168" s="653"/>
      <c r="AV168" s="653"/>
      <c r="AW168" s="653"/>
      <c r="AX168" s="653"/>
      <c r="AY168" s="653"/>
      <c r="AZ168" s="653"/>
      <c r="BA168" s="653"/>
      <c r="BB168" s="653"/>
    </row>
    <row r="169" spans="1:54" s="175" customFormat="1" ht="12.75" hidden="1" outlineLevel="1">
      <c r="A169" s="173" t="s">
        <v>246</v>
      </c>
      <c r="B169" s="174"/>
      <c r="C169" s="174" t="s">
        <v>247</v>
      </c>
      <c r="D169" s="174" t="s">
        <v>248</v>
      </c>
      <c r="E169" s="210">
        <v>53245.87</v>
      </c>
      <c r="F169" s="210">
        <v>81.49</v>
      </c>
      <c r="G169" s="210"/>
      <c r="H169" s="211">
        <v>895.91</v>
      </c>
      <c r="I169" s="211">
        <v>2363.78</v>
      </c>
      <c r="J169" s="211">
        <v>0</v>
      </c>
      <c r="K169" s="211">
        <v>0</v>
      </c>
      <c r="L169" s="211">
        <v>0</v>
      </c>
      <c r="M169" s="211">
        <v>0</v>
      </c>
      <c r="N169" s="211">
        <v>4941.01</v>
      </c>
      <c r="O169" s="210">
        <v>8200.7</v>
      </c>
      <c r="P169" s="210">
        <v>0</v>
      </c>
      <c r="Q169" s="210">
        <f t="shared" si="6"/>
        <v>61528.06</v>
      </c>
      <c r="R169" s="173"/>
      <c r="T169" s="653"/>
      <c r="U169" s="653"/>
      <c r="V169" s="653"/>
      <c r="W169" s="653"/>
      <c r="X169" s="653"/>
      <c r="Y169" s="653"/>
      <c r="Z169" s="653"/>
      <c r="AA169" s="653"/>
      <c r="AB169" s="653"/>
      <c r="AC169" s="653"/>
      <c r="AD169" s="653"/>
      <c r="AE169" s="653"/>
      <c r="AF169" s="653"/>
      <c r="AG169" s="653"/>
      <c r="AH169" s="653"/>
      <c r="AI169" s="653"/>
      <c r="AJ169" s="653"/>
      <c r="AK169" s="653"/>
      <c r="AL169" s="653"/>
      <c r="AM169" s="653"/>
      <c r="AN169" s="653"/>
      <c r="AO169" s="653"/>
      <c r="AP169" s="653"/>
      <c r="AQ169" s="653"/>
      <c r="AR169" s="653"/>
      <c r="AS169" s="653"/>
      <c r="AT169" s="653"/>
      <c r="AU169" s="653"/>
      <c r="AV169" s="653"/>
      <c r="AW169" s="653"/>
      <c r="AX169" s="653"/>
      <c r="AY169" s="653"/>
      <c r="AZ169" s="653"/>
      <c r="BA169" s="653"/>
      <c r="BB169" s="653"/>
    </row>
    <row r="170" spans="1:54" s="175" customFormat="1" ht="12.75" hidden="1" outlineLevel="1">
      <c r="A170" s="173" t="s">
        <v>249</v>
      </c>
      <c r="B170" s="174"/>
      <c r="C170" s="174" t="s">
        <v>250</v>
      </c>
      <c r="D170" s="174" t="s">
        <v>251</v>
      </c>
      <c r="E170" s="210">
        <v>4201.12</v>
      </c>
      <c r="F170" s="210">
        <v>0</v>
      </c>
      <c r="G170" s="210"/>
      <c r="H170" s="211">
        <v>0</v>
      </c>
      <c r="I170" s="211">
        <v>0</v>
      </c>
      <c r="J170" s="211">
        <v>0</v>
      </c>
      <c r="K170" s="211">
        <v>0</v>
      </c>
      <c r="L170" s="211">
        <v>0</v>
      </c>
      <c r="M170" s="211">
        <v>0</v>
      </c>
      <c r="N170" s="211">
        <v>3862.15</v>
      </c>
      <c r="O170" s="210">
        <v>3862.15</v>
      </c>
      <c r="P170" s="210">
        <v>0</v>
      </c>
      <c r="Q170" s="210">
        <f t="shared" si="6"/>
        <v>8063.27</v>
      </c>
      <c r="R170" s="173"/>
      <c r="T170" s="653"/>
      <c r="U170" s="653"/>
      <c r="V170" s="653"/>
      <c r="W170" s="653"/>
      <c r="X170" s="653"/>
      <c r="Y170" s="653"/>
      <c r="Z170" s="653"/>
      <c r="AA170" s="653"/>
      <c r="AB170" s="653"/>
      <c r="AC170" s="653"/>
      <c r="AD170" s="653"/>
      <c r="AE170" s="653"/>
      <c r="AF170" s="653"/>
      <c r="AG170" s="653"/>
      <c r="AH170" s="653"/>
      <c r="AI170" s="653"/>
      <c r="AJ170" s="653"/>
      <c r="AK170" s="653"/>
      <c r="AL170" s="653"/>
      <c r="AM170" s="653"/>
      <c r="AN170" s="653"/>
      <c r="AO170" s="653"/>
      <c r="AP170" s="653"/>
      <c r="AQ170" s="653"/>
      <c r="AR170" s="653"/>
      <c r="AS170" s="653"/>
      <c r="AT170" s="653"/>
      <c r="AU170" s="653"/>
      <c r="AV170" s="653"/>
      <c r="AW170" s="653"/>
      <c r="AX170" s="653"/>
      <c r="AY170" s="653"/>
      <c r="AZ170" s="653"/>
      <c r="BA170" s="653"/>
      <c r="BB170" s="653"/>
    </row>
    <row r="171" spans="1:54" s="175" customFormat="1" ht="12.75" hidden="1" outlineLevel="1">
      <c r="A171" s="173" t="s">
        <v>252</v>
      </c>
      <c r="B171" s="174"/>
      <c r="C171" s="174" t="s">
        <v>253</v>
      </c>
      <c r="D171" s="174" t="s">
        <v>254</v>
      </c>
      <c r="E171" s="210">
        <v>117597.44</v>
      </c>
      <c r="F171" s="210">
        <v>779.43</v>
      </c>
      <c r="G171" s="210"/>
      <c r="H171" s="211">
        <v>0</v>
      </c>
      <c r="I171" s="211">
        <v>416.59</v>
      </c>
      <c r="J171" s="211">
        <v>0</v>
      </c>
      <c r="K171" s="211">
        <v>0</v>
      </c>
      <c r="L171" s="211">
        <v>66.02</v>
      </c>
      <c r="M171" s="211">
        <v>0</v>
      </c>
      <c r="N171" s="211">
        <v>81666.64</v>
      </c>
      <c r="O171" s="210">
        <v>82149.25</v>
      </c>
      <c r="P171" s="210">
        <v>0</v>
      </c>
      <c r="Q171" s="210">
        <f t="shared" si="6"/>
        <v>200526.12</v>
      </c>
      <c r="R171" s="173"/>
      <c r="T171" s="653"/>
      <c r="U171" s="653"/>
      <c r="V171" s="653"/>
      <c r="W171" s="653"/>
      <c r="X171" s="653"/>
      <c r="Y171" s="653"/>
      <c r="Z171" s="653"/>
      <c r="AA171" s="653"/>
      <c r="AB171" s="653"/>
      <c r="AC171" s="653"/>
      <c r="AD171" s="653"/>
      <c r="AE171" s="653"/>
      <c r="AF171" s="653"/>
      <c r="AG171" s="653"/>
      <c r="AH171" s="653"/>
      <c r="AI171" s="653"/>
      <c r="AJ171" s="653"/>
      <c r="AK171" s="653"/>
      <c r="AL171" s="653"/>
      <c r="AM171" s="653"/>
      <c r="AN171" s="653"/>
      <c r="AO171" s="653"/>
      <c r="AP171" s="653"/>
      <c r="AQ171" s="653"/>
      <c r="AR171" s="653"/>
      <c r="AS171" s="653"/>
      <c r="AT171" s="653"/>
      <c r="AU171" s="653"/>
      <c r="AV171" s="653"/>
      <c r="AW171" s="653"/>
      <c r="AX171" s="653"/>
      <c r="AY171" s="653"/>
      <c r="AZ171" s="653"/>
      <c r="BA171" s="653"/>
      <c r="BB171" s="653"/>
    </row>
    <row r="172" spans="1:54" s="175" customFormat="1" ht="12.75" hidden="1" outlineLevel="1">
      <c r="A172" s="173" t="s">
        <v>255</v>
      </c>
      <c r="B172" s="174"/>
      <c r="C172" s="174" t="s">
        <v>256</v>
      </c>
      <c r="D172" s="174" t="s">
        <v>257</v>
      </c>
      <c r="E172" s="210">
        <v>110142.56</v>
      </c>
      <c r="F172" s="210">
        <v>1316.49</v>
      </c>
      <c r="G172" s="210"/>
      <c r="H172" s="211">
        <v>0</v>
      </c>
      <c r="I172" s="211">
        <v>0</v>
      </c>
      <c r="J172" s="211">
        <v>0</v>
      </c>
      <c r="K172" s="211">
        <v>0</v>
      </c>
      <c r="L172" s="211">
        <v>0</v>
      </c>
      <c r="M172" s="211">
        <v>0</v>
      </c>
      <c r="N172" s="211">
        <v>0</v>
      </c>
      <c r="O172" s="210">
        <v>0</v>
      </c>
      <c r="P172" s="210">
        <v>0</v>
      </c>
      <c r="Q172" s="210">
        <f t="shared" si="6"/>
        <v>111459.05</v>
      </c>
      <c r="R172" s="173"/>
      <c r="T172" s="653"/>
      <c r="U172" s="653"/>
      <c r="V172" s="653"/>
      <c r="W172" s="653"/>
      <c r="X172" s="653"/>
      <c r="Y172" s="653"/>
      <c r="Z172" s="653"/>
      <c r="AA172" s="653"/>
      <c r="AB172" s="653"/>
      <c r="AC172" s="653"/>
      <c r="AD172" s="653"/>
      <c r="AE172" s="653"/>
      <c r="AF172" s="653"/>
      <c r="AG172" s="653"/>
      <c r="AH172" s="653"/>
      <c r="AI172" s="653"/>
      <c r="AJ172" s="653"/>
      <c r="AK172" s="653"/>
      <c r="AL172" s="653"/>
      <c r="AM172" s="653"/>
      <c r="AN172" s="653"/>
      <c r="AO172" s="653"/>
      <c r="AP172" s="653"/>
      <c r="AQ172" s="653"/>
      <c r="AR172" s="653"/>
      <c r="AS172" s="653"/>
      <c r="AT172" s="653"/>
      <c r="AU172" s="653"/>
      <c r="AV172" s="653"/>
      <c r="AW172" s="653"/>
      <c r="AX172" s="653"/>
      <c r="AY172" s="653"/>
      <c r="AZ172" s="653"/>
      <c r="BA172" s="653"/>
      <c r="BB172" s="653"/>
    </row>
    <row r="173" spans="1:54" s="175" customFormat="1" ht="12.75" hidden="1" outlineLevel="1">
      <c r="A173" s="173" t="s">
        <v>258</v>
      </c>
      <c r="B173" s="174"/>
      <c r="C173" s="174" t="s">
        <v>259</v>
      </c>
      <c r="D173" s="174" t="s">
        <v>260</v>
      </c>
      <c r="E173" s="210">
        <v>34813.95</v>
      </c>
      <c r="F173" s="210">
        <v>-804.1</v>
      </c>
      <c r="G173" s="210"/>
      <c r="H173" s="211">
        <v>214.54</v>
      </c>
      <c r="I173" s="211">
        <v>0</v>
      </c>
      <c r="J173" s="211">
        <v>0</v>
      </c>
      <c r="K173" s="211">
        <v>0</v>
      </c>
      <c r="L173" s="211">
        <v>0</v>
      </c>
      <c r="M173" s="211">
        <v>0</v>
      </c>
      <c r="N173" s="211">
        <v>0</v>
      </c>
      <c r="O173" s="210">
        <v>214.54</v>
      </c>
      <c r="P173" s="210">
        <v>0</v>
      </c>
      <c r="Q173" s="210">
        <f t="shared" si="6"/>
        <v>34224.39</v>
      </c>
      <c r="R173" s="173"/>
      <c r="T173" s="653"/>
      <c r="U173" s="653"/>
      <c r="V173" s="653"/>
      <c r="W173" s="653"/>
      <c r="X173" s="653"/>
      <c r="Y173" s="653"/>
      <c r="Z173" s="653"/>
      <c r="AA173" s="653"/>
      <c r="AB173" s="653"/>
      <c r="AC173" s="653"/>
      <c r="AD173" s="653"/>
      <c r="AE173" s="653"/>
      <c r="AF173" s="653"/>
      <c r="AG173" s="653"/>
      <c r="AH173" s="653"/>
      <c r="AI173" s="653"/>
      <c r="AJ173" s="653"/>
      <c r="AK173" s="653"/>
      <c r="AL173" s="653"/>
      <c r="AM173" s="653"/>
      <c r="AN173" s="653"/>
      <c r="AO173" s="653"/>
      <c r="AP173" s="653"/>
      <c r="AQ173" s="653"/>
      <c r="AR173" s="653"/>
      <c r="AS173" s="653"/>
      <c r="AT173" s="653"/>
      <c r="AU173" s="653"/>
      <c r="AV173" s="653"/>
      <c r="AW173" s="653"/>
      <c r="AX173" s="653"/>
      <c r="AY173" s="653"/>
      <c r="AZ173" s="653"/>
      <c r="BA173" s="653"/>
      <c r="BB173" s="653"/>
    </row>
    <row r="174" spans="1:54" s="175" customFormat="1" ht="12.75" hidden="1" outlineLevel="1">
      <c r="A174" s="173" t="s">
        <v>261</v>
      </c>
      <c r="B174" s="174"/>
      <c r="C174" s="174" t="s">
        <v>262</v>
      </c>
      <c r="D174" s="174" t="s">
        <v>263</v>
      </c>
      <c r="E174" s="210">
        <v>2564.34</v>
      </c>
      <c r="F174" s="210">
        <v>0</v>
      </c>
      <c r="G174" s="210"/>
      <c r="H174" s="211">
        <v>0</v>
      </c>
      <c r="I174" s="211">
        <v>0</v>
      </c>
      <c r="J174" s="211">
        <v>0</v>
      </c>
      <c r="K174" s="211">
        <v>0</v>
      </c>
      <c r="L174" s="211">
        <v>0</v>
      </c>
      <c r="M174" s="211">
        <v>0</v>
      </c>
      <c r="N174" s="211">
        <v>0</v>
      </c>
      <c r="O174" s="210">
        <v>0</v>
      </c>
      <c r="P174" s="210">
        <v>0</v>
      </c>
      <c r="Q174" s="210">
        <f t="shared" si="6"/>
        <v>2564.34</v>
      </c>
      <c r="R174" s="173"/>
      <c r="T174" s="653"/>
      <c r="U174" s="653"/>
      <c r="V174" s="653"/>
      <c r="W174" s="653"/>
      <c r="X174" s="653"/>
      <c r="Y174" s="653"/>
      <c r="Z174" s="653"/>
      <c r="AA174" s="653"/>
      <c r="AB174" s="653"/>
      <c r="AC174" s="653"/>
      <c r="AD174" s="653"/>
      <c r="AE174" s="653"/>
      <c r="AF174" s="653"/>
      <c r="AG174" s="653"/>
      <c r="AH174" s="653"/>
      <c r="AI174" s="653"/>
      <c r="AJ174" s="653"/>
      <c r="AK174" s="653"/>
      <c r="AL174" s="653"/>
      <c r="AM174" s="653"/>
      <c r="AN174" s="653"/>
      <c r="AO174" s="653"/>
      <c r="AP174" s="653"/>
      <c r="AQ174" s="653"/>
      <c r="AR174" s="653"/>
      <c r="AS174" s="653"/>
      <c r="AT174" s="653"/>
      <c r="AU174" s="653"/>
      <c r="AV174" s="653"/>
      <c r="AW174" s="653"/>
      <c r="AX174" s="653"/>
      <c r="AY174" s="653"/>
      <c r="AZ174" s="653"/>
      <c r="BA174" s="653"/>
      <c r="BB174" s="653"/>
    </row>
    <row r="175" spans="1:54" s="175" customFormat="1" ht="12.75" hidden="1" outlineLevel="1">
      <c r="A175" s="173" t="s">
        <v>264</v>
      </c>
      <c r="B175" s="174"/>
      <c r="C175" s="174" t="s">
        <v>265</v>
      </c>
      <c r="D175" s="174" t="s">
        <v>266</v>
      </c>
      <c r="E175" s="210">
        <v>-234.74</v>
      </c>
      <c r="F175" s="210">
        <v>981.75</v>
      </c>
      <c r="G175" s="210"/>
      <c r="H175" s="211">
        <v>88.9</v>
      </c>
      <c r="I175" s="211">
        <v>0</v>
      </c>
      <c r="J175" s="211">
        <v>0</v>
      </c>
      <c r="K175" s="211">
        <v>0</v>
      </c>
      <c r="L175" s="211">
        <v>0</v>
      </c>
      <c r="M175" s="211">
        <v>0</v>
      </c>
      <c r="N175" s="211">
        <v>0</v>
      </c>
      <c r="O175" s="210">
        <v>88.9</v>
      </c>
      <c r="P175" s="210">
        <v>0</v>
      </c>
      <c r="Q175" s="210">
        <f t="shared" si="6"/>
        <v>835.91</v>
      </c>
      <c r="R175" s="173"/>
      <c r="T175" s="653"/>
      <c r="U175" s="653"/>
      <c r="V175" s="653"/>
      <c r="W175" s="653"/>
      <c r="X175" s="653"/>
      <c r="Y175" s="653"/>
      <c r="Z175" s="653"/>
      <c r="AA175" s="653"/>
      <c r="AB175" s="653"/>
      <c r="AC175" s="653"/>
      <c r="AD175" s="653"/>
      <c r="AE175" s="653"/>
      <c r="AF175" s="653"/>
      <c r="AG175" s="653"/>
      <c r="AH175" s="653"/>
      <c r="AI175" s="653"/>
      <c r="AJ175" s="653"/>
      <c r="AK175" s="653"/>
      <c r="AL175" s="653"/>
      <c r="AM175" s="653"/>
      <c r="AN175" s="653"/>
      <c r="AO175" s="653"/>
      <c r="AP175" s="653"/>
      <c r="AQ175" s="653"/>
      <c r="AR175" s="653"/>
      <c r="AS175" s="653"/>
      <c r="AT175" s="653"/>
      <c r="AU175" s="653"/>
      <c r="AV175" s="653"/>
      <c r="AW175" s="653"/>
      <c r="AX175" s="653"/>
      <c r="AY175" s="653"/>
      <c r="AZ175" s="653"/>
      <c r="BA175" s="653"/>
      <c r="BB175" s="653"/>
    </row>
    <row r="176" spans="1:54" s="175" customFormat="1" ht="12.75" hidden="1" outlineLevel="1">
      <c r="A176" s="173" t="s">
        <v>267</v>
      </c>
      <c r="B176" s="174"/>
      <c r="C176" s="174" t="s">
        <v>268</v>
      </c>
      <c r="D176" s="174" t="s">
        <v>269</v>
      </c>
      <c r="E176" s="210">
        <v>18924.29</v>
      </c>
      <c r="F176" s="210">
        <v>0</v>
      </c>
      <c r="G176" s="210"/>
      <c r="H176" s="211">
        <v>0</v>
      </c>
      <c r="I176" s="211">
        <v>0</v>
      </c>
      <c r="J176" s="211">
        <v>0</v>
      </c>
      <c r="K176" s="211">
        <v>0</v>
      </c>
      <c r="L176" s="211">
        <v>0</v>
      </c>
      <c r="M176" s="211">
        <v>0</v>
      </c>
      <c r="N176" s="211">
        <v>2230.21</v>
      </c>
      <c r="O176" s="210">
        <v>2230.21</v>
      </c>
      <c r="P176" s="210">
        <v>0</v>
      </c>
      <c r="Q176" s="210">
        <f t="shared" si="6"/>
        <v>21154.5</v>
      </c>
      <c r="R176" s="173"/>
      <c r="T176" s="653"/>
      <c r="U176" s="653"/>
      <c r="V176" s="653"/>
      <c r="W176" s="653"/>
      <c r="X176" s="653"/>
      <c r="Y176" s="653"/>
      <c r="Z176" s="653"/>
      <c r="AA176" s="653"/>
      <c r="AB176" s="653"/>
      <c r="AC176" s="653"/>
      <c r="AD176" s="653"/>
      <c r="AE176" s="653"/>
      <c r="AF176" s="653"/>
      <c r="AG176" s="653"/>
      <c r="AH176" s="653"/>
      <c r="AI176" s="653"/>
      <c r="AJ176" s="653"/>
      <c r="AK176" s="653"/>
      <c r="AL176" s="653"/>
      <c r="AM176" s="653"/>
      <c r="AN176" s="653"/>
      <c r="AO176" s="653"/>
      <c r="AP176" s="653"/>
      <c r="AQ176" s="653"/>
      <c r="AR176" s="653"/>
      <c r="AS176" s="653"/>
      <c r="AT176" s="653"/>
      <c r="AU176" s="653"/>
      <c r="AV176" s="653"/>
      <c r="AW176" s="653"/>
      <c r="AX176" s="653"/>
      <c r="AY176" s="653"/>
      <c r="AZ176" s="653"/>
      <c r="BA176" s="653"/>
      <c r="BB176" s="653"/>
    </row>
    <row r="177" spans="1:54" s="175" customFormat="1" ht="12.75" hidden="1" outlineLevel="1">
      <c r="A177" s="173" t="s">
        <v>270</v>
      </c>
      <c r="B177" s="174"/>
      <c r="C177" s="174" t="s">
        <v>271</v>
      </c>
      <c r="D177" s="174" t="s">
        <v>272</v>
      </c>
      <c r="E177" s="210">
        <v>202026.36</v>
      </c>
      <c r="F177" s="210">
        <v>3666</v>
      </c>
      <c r="G177" s="210"/>
      <c r="H177" s="211">
        <v>0</v>
      </c>
      <c r="I177" s="211">
        <v>0</v>
      </c>
      <c r="J177" s="211">
        <v>0</v>
      </c>
      <c r="K177" s="211">
        <v>0</v>
      </c>
      <c r="L177" s="211">
        <v>0</v>
      </c>
      <c r="M177" s="211">
        <v>0</v>
      </c>
      <c r="N177" s="211">
        <v>0</v>
      </c>
      <c r="O177" s="210">
        <v>0</v>
      </c>
      <c r="P177" s="210">
        <v>0</v>
      </c>
      <c r="Q177" s="210">
        <f t="shared" si="6"/>
        <v>205692.36</v>
      </c>
      <c r="R177" s="173"/>
      <c r="T177" s="653"/>
      <c r="U177" s="653"/>
      <c r="V177" s="653"/>
      <c r="W177" s="653"/>
      <c r="X177" s="653"/>
      <c r="Y177" s="653"/>
      <c r="Z177" s="653"/>
      <c r="AA177" s="653"/>
      <c r="AB177" s="653"/>
      <c r="AC177" s="653"/>
      <c r="AD177" s="653"/>
      <c r="AE177" s="653"/>
      <c r="AF177" s="653"/>
      <c r="AG177" s="653"/>
      <c r="AH177" s="653"/>
      <c r="AI177" s="653"/>
      <c r="AJ177" s="653"/>
      <c r="AK177" s="653"/>
      <c r="AL177" s="653"/>
      <c r="AM177" s="653"/>
      <c r="AN177" s="653"/>
      <c r="AO177" s="653"/>
      <c r="AP177" s="653"/>
      <c r="AQ177" s="653"/>
      <c r="AR177" s="653"/>
      <c r="AS177" s="653"/>
      <c r="AT177" s="653"/>
      <c r="AU177" s="653"/>
      <c r="AV177" s="653"/>
      <c r="AW177" s="653"/>
      <c r="AX177" s="653"/>
      <c r="AY177" s="653"/>
      <c r="AZ177" s="653"/>
      <c r="BA177" s="653"/>
      <c r="BB177" s="653"/>
    </row>
    <row r="178" spans="1:54" s="175" customFormat="1" ht="12.75" hidden="1" outlineLevel="1">
      <c r="A178" s="173" t="s">
        <v>273</v>
      </c>
      <c r="B178" s="174"/>
      <c r="C178" s="174" t="s">
        <v>274</v>
      </c>
      <c r="D178" s="174" t="s">
        <v>275</v>
      </c>
      <c r="E178" s="210">
        <v>35469.35</v>
      </c>
      <c r="F178" s="210">
        <v>23101.36</v>
      </c>
      <c r="G178" s="210"/>
      <c r="H178" s="211">
        <v>0</v>
      </c>
      <c r="I178" s="211">
        <v>0</v>
      </c>
      <c r="J178" s="211">
        <v>0</v>
      </c>
      <c r="K178" s="211">
        <v>0</v>
      </c>
      <c r="L178" s="211">
        <v>0</v>
      </c>
      <c r="M178" s="211">
        <v>0</v>
      </c>
      <c r="N178" s="211">
        <v>0</v>
      </c>
      <c r="O178" s="210">
        <v>0</v>
      </c>
      <c r="P178" s="210">
        <v>0</v>
      </c>
      <c r="Q178" s="210">
        <f t="shared" si="6"/>
        <v>58570.71</v>
      </c>
      <c r="R178" s="173"/>
      <c r="T178" s="653"/>
      <c r="U178" s="653"/>
      <c r="V178" s="653"/>
      <c r="W178" s="653"/>
      <c r="X178" s="653"/>
      <c r="Y178" s="653"/>
      <c r="Z178" s="653"/>
      <c r="AA178" s="653"/>
      <c r="AB178" s="653"/>
      <c r="AC178" s="653"/>
      <c r="AD178" s="653"/>
      <c r="AE178" s="653"/>
      <c r="AF178" s="653"/>
      <c r="AG178" s="653"/>
      <c r="AH178" s="653"/>
      <c r="AI178" s="653"/>
      <c r="AJ178" s="653"/>
      <c r="AK178" s="653"/>
      <c r="AL178" s="653"/>
      <c r="AM178" s="653"/>
      <c r="AN178" s="653"/>
      <c r="AO178" s="653"/>
      <c r="AP178" s="653"/>
      <c r="AQ178" s="653"/>
      <c r="AR178" s="653"/>
      <c r="AS178" s="653"/>
      <c r="AT178" s="653"/>
      <c r="AU178" s="653"/>
      <c r="AV178" s="653"/>
      <c r="AW178" s="653"/>
      <c r="AX178" s="653"/>
      <c r="AY178" s="653"/>
      <c r="AZ178" s="653"/>
      <c r="BA178" s="653"/>
      <c r="BB178" s="653"/>
    </row>
    <row r="179" spans="1:54" s="175" customFormat="1" ht="12.75" hidden="1" outlineLevel="1">
      <c r="A179" s="173" t="s">
        <v>276</v>
      </c>
      <c r="B179" s="174"/>
      <c r="C179" s="174" t="s">
        <v>277</v>
      </c>
      <c r="D179" s="174" t="s">
        <v>278</v>
      </c>
      <c r="E179" s="210">
        <v>337941.29</v>
      </c>
      <c r="F179" s="210">
        <v>6621.54</v>
      </c>
      <c r="G179" s="210"/>
      <c r="H179" s="211">
        <v>0</v>
      </c>
      <c r="I179" s="211">
        <v>0</v>
      </c>
      <c r="J179" s="211">
        <v>0</v>
      </c>
      <c r="K179" s="211">
        <v>0</v>
      </c>
      <c r="L179" s="211">
        <v>0</v>
      </c>
      <c r="M179" s="211">
        <v>0</v>
      </c>
      <c r="N179" s="211">
        <v>0</v>
      </c>
      <c r="O179" s="210">
        <v>0</v>
      </c>
      <c r="P179" s="210">
        <v>0</v>
      </c>
      <c r="Q179" s="210">
        <f t="shared" si="6"/>
        <v>344562.82999999996</v>
      </c>
      <c r="R179" s="173"/>
      <c r="T179" s="653"/>
      <c r="U179" s="653"/>
      <c r="V179" s="653"/>
      <c r="W179" s="653"/>
      <c r="X179" s="653"/>
      <c r="Y179" s="653"/>
      <c r="Z179" s="653"/>
      <c r="AA179" s="653"/>
      <c r="AB179" s="653"/>
      <c r="AC179" s="653"/>
      <c r="AD179" s="653"/>
      <c r="AE179" s="653"/>
      <c r="AF179" s="653"/>
      <c r="AG179" s="653"/>
      <c r="AH179" s="653"/>
      <c r="AI179" s="653"/>
      <c r="AJ179" s="653"/>
      <c r="AK179" s="653"/>
      <c r="AL179" s="653"/>
      <c r="AM179" s="653"/>
      <c r="AN179" s="653"/>
      <c r="AO179" s="653"/>
      <c r="AP179" s="653"/>
      <c r="AQ179" s="653"/>
      <c r="AR179" s="653"/>
      <c r="AS179" s="653"/>
      <c r="AT179" s="653"/>
      <c r="AU179" s="653"/>
      <c r="AV179" s="653"/>
      <c r="AW179" s="653"/>
      <c r="AX179" s="653"/>
      <c r="AY179" s="653"/>
      <c r="AZ179" s="653"/>
      <c r="BA179" s="653"/>
      <c r="BB179" s="653"/>
    </row>
    <row r="180" spans="1:54" s="175" customFormat="1" ht="12.75" hidden="1" outlineLevel="1">
      <c r="A180" s="173" t="s">
        <v>279</v>
      </c>
      <c r="B180" s="174"/>
      <c r="C180" s="174" t="s">
        <v>280</v>
      </c>
      <c r="D180" s="174" t="s">
        <v>281</v>
      </c>
      <c r="E180" s="210">
        <v>106454</v>
      </c>
      <c r="F180" s="210">
        <v>12372.57</v>
      </c>
      <c r="G180" s="210"/>
      <c r="H180" s="211">
        <v>732.26</v>
      </c>
      <c r="I180" s="211">
        <v>32.5</v>
      </c>
      <c r="J180" s="211">
        <v>0</v>
      </c>
      <c r="K180" s="211">
        <v>0</v>
      </c>
      <c r="L180" s="211">
        <v>0</v>
      </c>
      <c r="M180" s="211">
        <v>0</v>
      </c>
      <c r="N180" s="211">
        <v>0</v>
      </c>
      <c r="O180" s="210">
        <v>764.76</v>
      </c>
      <c r="P180" s="210">
        <v>0</v>
      </c>
      <c r="Q180" s="210">
        <f t="shared" si="6"/>
        <v>119591.33</v>
      </c>
      <c r="R180" s="173"/>
      <c r="T180" s="653"/>
      <c r="U180" s="653"/>
      <c r="V180" s="653"/>
      <c r="W180" s="653"/>
      <c r="X180" s="653"/>
      <c r="Y180" s="653"/>
      <c r="Z180" s="653"/>
      <c r="AA180" s="653"/>
      <c r="AB180" s="653"/>
      <c r="AC180" s="653"/>
      <c r="AD180" s="653"/>
      <c r="AE180" s="653"/>
      <c r="AF180" s="653"/>
      <c r="AG180" s="653"/>
      <c r="AH180" s="653"/>
      <c r="AI180" s="653"/>
      <c r="AJ180" s="653"/>
      <c r="AK180" s="653"/>
      <c r="AL180" s="653"/>
      <c r="AM180" s="653"/>
      <c r="AN180" s="653"/>
      <c r="AO180" s="653"/>
      <c r="AP180" s="653"/>
      <c r="AQ180" s="653"/>
      <c r="AR180" s="653"/>
      <c r="AS180" s="653"/>
      <c r="AT180" s="653"/>
      <c r="AU180" s="653"/>
      <c r="AV180" s="653"/>
      <c r="AW180" s="653"/>
      <c r="AX180" s="653"/>
      <c r="AY180" s="653"/>
      <c r="AZ180" s="653"/>
      <c r="BA180" s="653"/>
      <c r="BB180" s="653"/>
    </row>
    <row r="181" spans="1:54" s="175" customFormat="1" ht="12.75" hidden="1" outlineLevel="1">
      <c r="A181" s="173" t="s">
        <v>282</v>
      </c>
      <c r="B181" s="174"/>
      <c r="C181" s="174" t="s">
        <v>283</v>
      </c>
      <c r="D181" s="174" t="s">
        <v>284</v>
      </c>
      <c r="E181" s="210">
        <v>469.31</v>
      </c>
      <c r="F181" s="210">
        <v>0</v>
      </c>
      <c r="G181" s="210"/>
      <c r="H181" s="211">
        <v>0</v>
      </c>
      <c r="I181" s="211">
        <v>0</v>
      </c>
      <c r="J181" s="211">
        <v>0</v>
      </c>
      <c r="K181" s="211">
        <v>0</v>
      </c>
      <c r="L181" s="211">
        <v>0</v>
      </c>
      <c r="M181" s="211">
        <v>0</v>
      </c>
      <c r="N181" s="211">
        <v>0</v>
      </c>
      <c r="O181" s="210">
        <v>0</v>
      </c>
      <c r="P181" s="210">
        <v>0</v>
      </c>
      <c r="Q181" s="210">
        <f t="shared" si="6"/>
        <v>469.31</v>
      </c>
      <c r="R181" s="173"/>
      <c r="T181" s="653"/>
      <c r="U181" s="653"/>
      <c r="V181" s="653"/>
      <c r="W181" s="653"/>
      <c r="X181" s="653"/>
      <c r="Y181" s="653"/>
      <c r="Z181" s="653"/>
      <c r="AA181" s="653"/>
      <c r="AB181" s="653"/>
      <c r="AC181" s="653"/>
      <c r="AD181" s="653"/>
      <c r="AE181" s="653"/>
      <c r="AF181" s="653"/>
      <c r="AG181" s="653"/>
      <c r="AH181" s="653"/>
      <c r="AI181" s="653"/>
      <c r="AJ181" s="653"/>
      <c r="AK181" s="653"/>
      <c r="AL181" s="653"/>
      <c r="AM181" s="653"/>
      <c r="AN181" s="653"/>
      <c r="AO181" s="653"/>
      <c r="AP181" s="653"/>
      <c r="AQ181" s="653"/>
      <c r="AR181" s="653"/>
      <c r="AS181" s="653"/>
      <c r="AT181" s="653"/>
      <c r="AU181" s="653"/>
      <c r="AV181" s="653"/>
      <c r="AW181" s="653"/>
      <c r="AX181" s="653"/>
      <c r="AY181" s="653"/>
      <c r="AZ181" s="653"/>
      <c r="BA181" s="653"/>
      <c r="BB181" s="653"/>
    </row>
    <row r="182" spans="1:54" s="175" customFormat="1" ht="12.75" hidden="1" outlineLevel="1">
      <c r="A182" s="173" t="s">
        <v>285</v>
      </c>
      <c r="B182" s="174"/>
      <c r="C182" s="174" t="s">
        <v>286</v>
      </c>
      <c r="D182" s="174" t="s">
        <v>287</v>
      </c>
      <c r="E182" s="210">
        <v>1978193.95</v>
      </c>
      <c r="F182" s="210">
        <v>54855.72</v>
      </c>
      <c r="G182" s="210"/>
      <c r="H182" s="211">
        <v>757539.02</v>
      </c>
      <c r="I182" s="211">
        <v>3208.01</v>
      </c>
      <c r="J182" s="211">
        <v>0</v>
      </c>
      <c r="K182" s="211">
        <v>377.65</v>
      </c>
      <c r="L182" s="211">
        <v>542</v>
      </c>
      <c r="M182" s="211">
        <v>0</v>
      </c>
      <c r="N182" s="211">
        <v>14318.45</v>
      </c>
      <c r="O182" s="210">
        <v>775985.13</v>
      </c>
      <c r="P182" s="210">
        <v>0</v>
      </c>
      <c r="Q182" s="210">
        <f t="shared" si="6"/>
        <v>2809034.8</v>
      </c>
      <c r="R182" s="173"/>
      <c r="T182" s="653"/>
      <c r="U182" s="653"/>
      <c r="V182" s="653"/>
      <c r="W182" s="653"/>
      <c r="X182" s="653"/>
      <c r="Y182" s="653"/>
      <c r="Z182" s="653"/>
      <c r="AA182" s="653"/>
      <c r="AB182" s="653"/>
      <c r="AC182" s="653"/>
      <c r="AD182" s="653"/>
      <c r="AE182" s="653"/>
      <c r="AF182" s="653"/>
      <c r="AG182" s="653"/>
      <c r="AH182" s="653"/>
      <c r="AI182" s="653"/>
      <c r="AJ182" s="653"/>
      <c r="AK182" s="653"/>
      <c r="AL182" s="653"/>
      <c r="AM182" s="653"/>
      <c r="AN182" s="653"/>
      <c r="AO182" s="653"/>
      <c r="AP182" s="653"/>
      <c r="AQ182" s="653"/>
      <c r="AR182" s="653"/>
      <c r="AS182" s="653"/>
      <c r="AT182" s="653"/>
      <c r="AU182" s="653"/>
      <c r="AV182" s="653"/>
      <c r="AW182" s="653"/>
      <c r="AX182" s="653"/>
      <c r="AY182" s="653"/>
      <c r="AZ182" s="653"/>
      <c r="BA182" s="653"/>
      <c r="BB182" s="653"/>
    </row>
    <row r="183" spans="1:54" s="175" customFormat="1" ht="12.75" hidden="1" outlineLevel="1">
      <c r="A183" s="173" t="s">
        <v>288</v>
      </c>
      <c r="B183" s="174"/>
      <c r="C183" s="174" t="s">
        <v>289</v>
      </c>
      <c r="D183" s="174" t="s">
        <v>290</v>
      </c>
      <c r="E183" s="210">
        <v>252408.17</v>
      </c>
      <c r="F183" s="210">
        <v>2938.41</v>
      </c>
      <c r="G183" s="210"/>
      <c r="H183" s="211">
        <v>747.9</v>
      </c>
      <c r="I183" s="211">
        <v>0</v>
      </c>
      <c r="J183" s="211">
        <v>0</v>
      </c>
      <c r="K183" s="211">
        <v>0</v>
      </c>
      <c r="L183" s="211">
        <v>518.59</v>
      </c>
      <c r="M183" s="211">
        <v>0</v>
      </c>
      <c r="N183" s="211">
        <v>0</v>
      </c>
      <c r="O183" s="210">
        <v>1266.49</v>
      </c>
      <c r="P183" s="210">
        <v>0</v>
      </c>
      <c r="Q183" s="210">
        <f t="shared" si="6"/>
        <v>256613.07</v>
      </c>
      <c r="R183" s="173"/>
      <c r="T183" s="653"/>
      <c r="U183" s="653"/>
      <c r="V183" s="653"/>
      <c r="W183" s="653"/>
      <c r="X183" s="653"/>
      <c r="Y183" s="653"/>
      <c r="Z183" s="653"/>
      <c r="AA183" s="653"/>
      <c r="AB183" s="653"/>
      <c r="AC183" s="653"/>
      <c r="AD183" s="653"/>
      <c r="AE183" s="653"/>
      <c r="AF183" s="653"/>
      <c r="AG183" s="653"/>
      <c r="AH183" s="653"/>
      <c r="AI183" s="653"/>
      <c r="AJ183" s="653"/>
      <c r="AK183" s="653"/>
      <c r="AL183" s="653"/>
      <c r="AM183" s="653"/>
      <c r="AN183" s="653"/>
      <c r="AO183" s="653"/>
      <c r="AP183" s="653"/>
      <c r="AQ183" s="653"/>
      <c r="AR183" s="653"/>
      <c r="AS183" s="653"/>
      <c r="AT183" s="653"/>
      <c r="AU183" s="653"/>
      <c r="AV183" s="653"/>
      <c r="AW183" s="653"/>
      <c r="AX183" s="653"/>
      <c r="AY183" s="653"/>
      <c r="AZ183" s="653"/>
      <c r="BA183" s="653"/>
      <c r="BB183" s="653"/>
    </row>
    <row r="184" spans="1:54" s="175" customFormat="1" ht="12.75" hidden="1" outlineLevel="1">
      <c r="A184" s="173" t="s">
        <v>291</v>
      </c>
      <c r="B184" s="174"/>
      <c r="C184" s="174" t="s">
        <v>292</v>
      </c>
      <c r="D184" s="174" t="s">
        <v>293</v>
      </c>
      <c r="E184" s="210">
        <v>375.6</v>
      </c>
      <c r="F184" s="210">
        <v>0</v>
      </c>
      <c r="G184" s="210"/>
      <c r="H184" s="211">
        <v>0</v>
      </c>
      <c r="I184" s="211">
        <v>0</v>
      </c>
      <c r="J184" s="211">
        <v>0</v>
      </c>
      <c r="K184" s="211">
        <v>0</v>
      </c>
      <c r="L184" s="211">
        <v>0</v>
      </c>
      <c r="M184" s="211">
        <v>0</v>
      </c>
      <c r="N184" s="211">
        <v>0</v>
      </c>
      <c r="O184" s="210">
        <v>0</v>
      </c>
      <c r="P184" s="210">
        <v>0</v>
      </c>
      <c r="Q184" s="210">
        <f t="shared" si="6"/>
        <v>375.6</v>
      </c>
      <c r="R184" s="173"/>
      <c r="T184" s="653"/>
      <c r="U184" s="653"/>
      <c r="V184" s="653"/>
      <c r="W184" s="653"/>
      <c r="X184" s="653"/>
      <c r="Y184" s="653"/>
      <c r="Z184" s="653"/>
      <c r="AA184" s="653"/>
      <c r="AB184" s="653"/>
      <c r="AC184" s="653"/>
      <c r="AD184" s="653"/>
      <c r="AE184" s="653"/>
      <c r="AF184" s="653"/>
      <c r="AG184" s="653"/>
      <c r="AH184" s="653"/>
      <c r="AI184" s="653"/>
      <c r="AJ184" s="653"/>
      <c r="AK184" s="653"/>
      <c r="AL184" s="653"/>
      <c r="AM184" s="653"/>
      <c r="AN184" s="653"/>
      <c r="AO184" s="653"/>
      <c r="AP184" s="653"/>
      <c r="AQ184" s="653"/>
      <c r="AR184" s="653"/>
      <c r="AS184" s="653"/>
      <c r="AT184" s="653"/>
      <c r="AU184" s="653"/>
      <c r="AV184" s="653"/>
      <c r="AW184" s="653"/>
      <c r="AX184" s="653"/>
      <c r="AY184" s="653"/>
      <c r="AZ184" s="653"/>
      <c r="BA184" s="653"/>
      <c r="BB184" s="653"/>
    </row>
    <row r="185" spans="1:54" s="175" customFormat="1" ht="12.75" hidden="1" outlineLevel="1">
      <c r="A185" s="173" t="s">
        <v>294</v>
      </c>
      <c r="B185" s="174"/>
      <c r="C185" s="174" t="s">
        <v>295</v>
      </c>
      <c r="D185" s="174" t="s">
        <v>296</v>
      </c>
      <c r="E185" s="210">
        <v>16834.14</v>
      </c>
      <c r="F185" s="210">
        <v>0</v>
      </c>
      <c r="G185" s="210"/>
      <c r="H185" s="211">
        <v>0</v>
      </c>
      <c r="I185" s="211">
        <v>0</v>
      </c>
      <c r="J185" s="211">
        <v>0</v>
      </c>
      <c r="K185" s="211">
        <v>0</v>
      </c>
      <c r="L185" s="211">
        <v>0</v>
      </c>
      <c r="M185" s="211">
        <v>0</v>
      </c>
      <c r="N185" s="211">
        <v>0</v>
      </c>
      <c r="O185" s="210">
        <v>0</v>
      </c>
      <c r="P185" s="210">
        <v>0</v>
      </c>
      <c r="Q185" s="210">
        <f t="shared" si="6"/>
        <v>16834.14</v>
      </c>
      <c r="R185" s="173"/>
      <c r="T185" s="653"/>
      <c r="U185" s="653"/>
      <c r="V185" s="653"/>
      <c r="W185" s="653"/>
      <c r="X185" s="653"/>
      <c r="Y185" s="653"/>
      <c r="Z185" s="653"/>
      <c r="AA185" s="653"/>
      <c r="AB185" s="653"/>
      <c r="AC185" s="653"/>
      <c r="AD185" s="653"/>
      <c r="AE185" s="653"/>
      <c r="AF185" s="653"/>
      <c r="AG185" s="653"/>
      <c r="AH185" s="653"/>
      <c r="AI185" s="653"/>
      <c r="AJ185" s="653"/>
      <c r="AK185" s="653"/>
      <c r="AL185" s="653"/>
      <c r="AM185" s="653"/>
      <c r="AN185" s="653"/>
      <c r="AO185" s="653"/>
      <c r="AP185" s="653"/>
      <c r="AQ185" s="653"/>
      <c r="AR185" s="653"/>
      <c r="AS185" s="653"/>
      <c r="AT185" s="653"/>
      <c r="AU185" s="653"/>
      <c r="AV185" s="653"/>
      <c r="AW185" s="653"/>
      <c r="AX185" s="653"/>
      <c r="AY185" s="653"/>
      <c r="AZ185" s="653"/>
      <c r="BA185" s="653"/>
      <c r="BB185" s="653"/>
    </row>
    <row r="186" spans="1:54" s="175" customFormat="1" ht="12.75" hidden="1" outlineLevel="1">
      <c r="A186" s="173" t="s">
        <v>297</v>
      </c>
      <c r="B186" s="174"/>
      <c r="C186" s="174" t="s">
        <v>298</v>
      </c>
      <c r="D186" s="174" t="s">
        <v>299</v>
      </c>
      <c r="E186" s="210">
        <v>11.92</v>
      </c>
      <c r="F186" s="210">
        <v>0</v>
      </c>
      <c r="G186" s="210"/>
      <c r="H186" s="211">
        <v>0</v>
      </c>
      <c r="I186" s="211">
        <v>0</v>
      </c>
      <c r="J186" s="211">
        <v>0</v>
      </c>
      <c r="K186" s="211">
        <v>0</v>
      </c>
      <c r="L186" s="211">
        <v>0</v>
      </c>
      <c r="M186" s="211">
        <v>0</v>
      </c>
      <c r="N186" s="211">
        <v>0</v>
      </c>
      <c r="O186" s="210">
        <v>0</v>
      </c>
      <c r="P186" s="210">
        <v>0</v>
      </c>
      <c r="Q186" s="210">
        <f t="shared" si="6"/>
        <v>11.92</v>
      </c>
      <c r="R186" s="173"/>
      <c r="T186" s="653"/>
      <c r="U186" s="653"/>
      <c r="V186" s="653"/>
      <c r="W186" s="653"/>
      <c r="X186" s="653"/>
      <c r="Y186" s="653"/>
      <c r="Z186" s="653"/>
      <c r="AA186" s="653"/>
      <c r="AB186" s="653"/>
      <c r="AC186" s="653"/>
      <c r="AD186" s="653"/>
      <c r="AE186" s="653"/>
      <c r="AF186" s="653"/>
      <c r="AG186" s="653"/>
      <c r="AH186" s="653"/>
      <c r="AI186" s="653"/>
      <c r="AJ186" s="653"/>
      <c r="AK186" s="653"/>
      <c r="AL186" s="653"/>
      <c r="AM186" s="653"/>
      <c r="AN186" s="653"/>
      <c r="AO186" s="653"/>
      <c r="AP186" s="653"/>
      <c r="AQ186" s="653"/>
      <c r="AR186" s="653"/>
      <c r="AS186" s="653"/>
      <c r="AT186" s="653"/>
      <c r="AU186" s="653"/>
      <c r="AV186" s="653"/>
      <c r="AW186" s="653"/>
      <c r="AX186" s="653"/>
      <c r="AY186" s="653"/>
      <c r="AZ186" s="653"/>
      <c r="BA186" s="653"/>
      <c r="BB186" s="653"/>
    </row>
    <row r="187" spans="1:54" s="175" customFormat="1" ht="12.75" hidden="1" outlineLevel="1">
      <c r="A187" s="173" t="s">
        <v>300</v>
      </c>
      <c r="B187" s="174"/>
      <c r="C187" s="174" t="s">
        <v>301</v>
      </c>
      <c r="D187" s="174" t="s">
        <v>302</v>
      </c>
      <c r="E187" s="210">
        <v>49836.59</v>
      </c>
      <c r="F187" s="210">
        <v>425.5</v>
      </c>
      <c r="G187" s="210"/>
      <c r="H187" s="211">
        <v>0</v>
      </c>
      <c r="I187" s="211">
        <v>0</v>
      </c>
      <c r="J187" s="211">
        <v>0</v>
      </c>
      <c r="K187" s="211">
        <v>0</v>
      </c>
      <c r="L187" s="211">
        <v>0</v>
      </c>
      <c r="M187" s="211">
        <v>0</v>
      </c>
      <c r="N187" s="211">
        <v>0</v>
      </c>
      <c r="O187" s="210">
        <v>0</v>
      </c>
      <c r="P187" s="210">
        <v>0</v>
      </c>
      <c r="Q187" s="210">
        <f t="shared" si="6"/>
        <v>50262.09</v>
      </c>
      <c r="R187" s="173"/>
      <c r="T187" s="653"/>
      <c r="U187" s="653"/>
      <c r="V187" s="653"/>
      <c r="W187" s="653"/>
      <c r="X187" s="653"/>
      <c r="Y187" s="653"/>
      <c r="Z187" s="653"/>
      <c r="AA187" s="653"/>
      <c r="AB187" s="653"/>
      <c r="AC187" s="653"/>
      <c r="AD187" s="653"/>
      <c r="AE187" s="653"/>
      <c r="AF187" s="653"/>
      <c r="AG187" s="653"/>
      <c r="AH187" s="653"/>
      <c r="AI187" s="653"/>
      <c r="AJ187" s="653"/>
      <c r="AK187" s="653"/>
      <c r="AL187" s="653"/>
      <c r="AM187" s="653"/>
      <c r="AN187" s="653"/>
      <c r="AO187" s="653"/>
      <c r="AP187" s="653"/>
      <c r="AQ187" s="653"/>
      <c r="AR187" s="653"/>
      <c r="AS187" s="653"/>
      <c r="AT187" s="653"/>
      <c r="AU187" s="653"/>
      <c r="AV187" s="653"/>
      <c r="AW187" s="653"/>
      <c r="AX187" s="653"/>
      <c r="AY187" s="653"/>
      <c r="AZ187" s="653"/>
      <c r="BA187" s="653"/>
      <c r="BB187" s="653"/>
    </row>
    <row r="188" spans="1:54" s="175" customFormat="1" ht="12.75" hidden="1" outlineLevel="1">
      <c r="A188" s="173" t="s">
        <v>303</v>
      </c>
      <c r="B188" s="174"/>
      <c r="C188" s="174" t="s">
        <v>304</v>
      </c>
      <c r="D188" s="174" t="s">
        <v>305</v>
      </c>
      <c r="E188" s="210">
        <v>27743.33</v>
      </c>
      <c r="F188" s="210">
        <v>15371</v>
      </c>
      <c r="G188" s="210"/>
      <c r="H188" s="211">
        <v>0</v>
      </c>
      <c r="I188" s="211">
        <v>0</v>
      </c>
      <c r="J188" s="211">
        <v>0</v>
      </c>
      <c r="K188" s="211">
        <v>0</v>
      </c>
      <c r="L188" s="211">
        <v>0</v>
      </c>
      <c r="M188" s="211">
        <v>0</v>
      </c>
      <c r="N188" s="211">
        <v>0</v>
      </c>
      <c r="O188" s="210">
        <v>0</v>
      </c>
      <c r="P188" s="210">
        <v>0</v>
      </c>
      <c r="Q188" s="210">
        <f t="shared" si="6"/>
        <v>43114.33</v>
      </c>
      <c r="R188" s="173"/>
      <c r="T188" s="653"/>
      <c r="U188" s="653"/>
      <c r="V188" s="653"/>
      <c r="W188" s="653"/>
      <c r="X188" s="653"/>
      <c r="Y188" s="653"/>
      <c r="Z188" s="653"/>
      <c r="AA188" s="653"/>
      <c r="AB188" s="653"/>
      <c r="AC188" s="653"/>
      <c r="AD188" s="653"/>
      <c r="AE188" s="653"/>
      <c r="AF188" s="653"/>
      <c r="AG188" s="653"/>
      <c r="AH188" s="653"/>
      <c r="AI188" s="653"/>
      <c r="AJ188" s="653"/>
      <c r="AK188" s="653"/>
      <c r="AL188" s="653"/>
      <c r="AM188" s="653"/>
      <c r="AN188" s="653"/>
      <c r="AO188" s="653"/>
      <c r="AP188" s="653"/>
      <c r="AQ188" s="653"/>
      <c r="AR188" s="653"/>
      <c r="AS188" s="653"/>
      <c r="AT188" s="653"/>
      <c r="AU188" s="653"/>
      <c r="AV188" s="653"/>
      <c r="AW188" s="653"/>
      <c r="AX188" s="653"/>
      <c r="AY188" s="653"/>
      <c r="AZ188" s="653"/>
      <c r="BA188" s="653"/>
      <c r="BB188" s="653"/>
    </row>
    <row r="189" spans="1:54" s="175" customFormat="1" ht="12.75" hidden="1" outlineLevel="1">
      <c r="A189" s="173" t="s">
        <v>306</v>
      </c>
      <c r="B189" s="174"/>
      <c r="C189" s="174" t="s">
        <v>307</v>
      </c>
      <c r="D189" s="174" t="s">
        <v>308</v>
      </c>
      <c r="E189" s="210">
        <v>93406.14</v>
      </c>
      <c r="F189" s="210">
        <v>634.8</v>
      </c>
      <c r="G189" s="210"/>
      <c r="H189" s="211">
        <v>0</v>
      </c>
      <c r="I189" s="211">
        <v>0</v>
      </c>
      <c r="J189" s="211">
        <v>0</v>
      </c>
      <c r="K189" s="211">
        <v>0</v>
      </c>
      <c r="L189" s="211">
        <v>0</v>
      </c>
      <c r="M189" s="211">
        <v>0</v>
      </c>
      <c r="N189" s="211">
        <v>0</v>
      </c>
      <c r="O189" s="210">
        <v>0</v>
      </c>
      <c r="P189" s="210">
        <v>0</v>
      </c>
      <c r="Q189" s="210">
        <f t="shared" si="6"/>
        <v>94040.94</v>
      </c>
      <c r="R189" s="173"/>
      <c r="T189" s="653"/>
      <c r="U189" s="653"/>
      <c r="V189" s="653"/>
      <c r="W189" s="653"/>
      <c r="X189" s="653"/>
      <c r="Y189" s="653"/>
      <c r="Z189" s="653"/>
      <c r="AA189" s="653"/>
      <c r="AB189" s="653"/>
      <c r="AC189" s="653"/>
      <c r="AD189" s="653"/>
      <c r="AE189" s="653"/>
      <c r="AF189" s="653"/>
      <c r="AG189" s="653"/>
      <c r="AH189" s="653"/>
      <c r="AI189" s="653"/>
      <c r="AJ189" s="653"/>
      <c r="AK189" s="653"/>
      <c r="AL189" s="653"/>
      <c r="AM189" s="653"/>
      <c r="AN189" s="653"/>
      <c r="AO189" s="653"/>
      <c r="AP189" s="653"/>
      <c r="AQ189" s="653"/>
      <c r="AR189" s="653"/>
      <c r="AS189" s="653"/>
      <c r="AT189" s="653"/>
      <c r="AU189" s="653"/>
      <c r="AV189" s="653"/>
      <c r="AW189" s="653"/>
      <c r="AX189" s="653"/>
      <c r="AY189" s="653"/>
      <c r="AZ189" s="653"/>
      <c r="BA189" s="653"/>
      <c r="BB189" s="653"/>
    </row>
    <row r="190" spans="1:54" s="175" customFormat="1" ht="12.75" hidden="1" outlineLevel="1">
      <c r="A190" s="173" t="s">
        <v>309</v>
      </c>
      <c r="B190" s="174"/>
      <c r="C190" s="174" t="s">
        <v>310</v>
      </c>
      <c r="D190" s="174" t="s">
        <v>311</v>
      </c>
      <c r="E190" s="210">
        <v>48524.09</v>
      </c>
      <c r="F190" s="210">
        <v>0</v>
      </c>
      <c r="G190" s="210"/>
      <c r="H190" s="211">
        <v>0</v>
      </c>
      <c r="I190" s="211">
        <v>0</v>
      </c>
      <c r="J190" s="211">
        <v>0</v>
      </c>
      <c r="K190" s="211">
        <v>0</v>
      </c>
      <c r="L190" s="211">
        <v>0</v>
      </c>
      <c r="M190" s="211">
        <v>0</v>
      </c>
      <c r="N190" s="211">
        <v>0</v>
      </c>
      <c r="O190" s="210">
        <v>0</v>
      </c>
      <c r="P190" s="210">
        <v>0</v>
      </c>
      <c r="Q190" s="210">
        <f t="shared" si="6"/>
        <v>48524.09</v>
      </c>
      <c r="R190" s="173"/>
      <c r="T190" s="653"/>
      <c r="U190" s="653"/>
      <c r="V190" s="653"/>
      <c r="W190" s="653"/>
      <c r="X190" s="653"/>
      <c r="Y190" s="653"/>
      <c r="Z190" s="653"/>
      <c r="AA190" s="653"/>
      <c r="AB190" s="653"/>
      <c r="AC190" s="653"/>
      <c r="AD190" s="653"/>
      <c r="AE190" s="653"/>
      <c r="AF190" s="653"/>
      <c r="AG190" s="653"/>
      <c r="AH190" s="653"/>
      <c r="AI190" s="653"/>
      <c r="AJ190" s="653"/>
      <c r="AK190" s="653"/>
      <c r="AL190" s="653"/>
      <c r="AM190" s="653"/>
      <c r="AN190" s="653"/>
      <c r="AO190" s="653"/>
      <c r="AP190" s="653"/>
      <c r="AQ190" s="653"/>
      <c r="AR190" s="653"/>
      <c r="AS190" s="653"/>
      <c r="AT190" s="653"/>
      <c r="AU190" s="653"/>
      <c r="AV190" s="653"/>
      <c r="AW190" s="653"/>
      <c r="AX190" s="653"/>
      <c r="AY190" s="653"/>
      <c r="AZ190" s="653"/>
      <c r="BA190" s="653"/>
      <c r="BB190" s="653"/>
    </row>
    <row r="191" spans="1:54" s="175" customFormat="1" ht="12.75" hidden="1" outlineLevel="1">
      <c r="A191" s="173" t="s">
        <v>312</v>
      </c>
      <c r="B191" s="174"/>
      <c r="C191" s="174" t="s">
        <v>313</v>
      </c>
      <c r="D191" s="174" t="s">
        <v>314</v>
      </c>
      <c r="E191" s="210">
        <v>170449.18</v>
      </c>
      <c r="F191" s="210">
        <v>3694.52</v>
      </c>
      <c r="G191" s="210"/>
      <c r="H191" s="211">
        <v>0</v>
      </c>
      <c r="I191" s="211">
        <v>0</v>
      </c>
      <c r="J191" s="211">
        <v>0</v>
      </c>
      <c r="K191" s="211">
        <v>0</v>
      </c>
      <c r="L191" s="211">
        <v>0</v>
      </c>
      <c r="M191" s="211">
        <v>0</v>
      </c>
      <c r="N191" s="211">
        <v>0</v>
      </c>
      <c r="O191" s="210">
        <v>0</v>
      </c>
      <c r="P191" s="210">
        <v>0</v>
      </c>
      <c r="Q191" s="210">
        <f t="shared" si="6"/>
        <v>174143.69999999998</v>
      </c>
      <c r="R191" s="173"/>
      <c r="T191" s="653"/>
      <c r="U191" s="653"/>
      <c r="V191" s="653"/>
      <c r="W191" s="653"/>
      <c r="X191" s="653"/>
      <c r="Y191" s="653"/>
      <c r="Z191" s="653"/>
      <c r="AA191" s="653"/>
      <c r="AB191" s="653"/>
      <c r="AC191" s="653"/>
      <c r="AD191" s="653"/>
      <c r="AE191" s="653"/>
      <c r="AF191" s="653"/>
      <c r="AG191" s="653"/>
      <c r="AH191" s="653"/>
      <c r="AI191" s="653"/>
      <c r="AJ191" s="653"/>
      <c r="AK191" s="653"/>
      <c r="AL191" s="653"/>
      <c r="AM191" s="653"/>
      <c r="AN191" s="653"/>
      <c r="AO191" s="653"/>
      <c r="AP191" s="653"/>
      <c r="AQ191" s="653"/>
      <c r="AR191" s="653"/>
      <c r="AS191" s="653"/>
      <c r="AT191" s="653"/>
      <c r="AU191" s="653"/>
      <c r="AV191" s="653"/>
      <c r="AW191" s="653"/>
      <c r="AX191" s="653"/>
      <c r="AY191" s="653"/>
      <c r="AZ191" s="653"/>
      <c r="BA191" s="653"/>
      <c r="BB191" s="653"/>
    </row>
    <row r="192" spans="1:54" s="175" customFormat="1" ht="12.75" hidden="1" outlineLevel="1">
      <c r="A192" s="173" t="s">
        <v>315</v>
      </c>
      <c r="B192" s="174"/>
      <c r="C192" s="174" t="s">
        <v>316</v>
      </c>
      <c r="D192" s="174" t="s">
        <v>317</v>
      </c>
      <c r="E192" s="210">
        <v>41883.4</v>
      </c>
      <c r="F192" s="210">
        <v>106.49</v>
      </c>
      <c r="G192" s="210"/>
      <c r="H192" s="211">
        <v>0</v>
      </c>
      <c r="I192" s="211">
        <v>0</v>
      </c>
      <c r="J192" s="211">
        <v>0</v>
      </c>
      <c r="K192" s="211">
        <v>0</v>
      </c>
      <c r="L192" s="211">
        <v>0</v>
      </c>
      <c r="M192" s="211">
        <v>0</v>
      </c>
      <c r="N192" s="211">
        <v>0</v>
      </c>
      <c r="O192" s="210">
        <v>0</v>
      </c>
      <c r="P192" s="210">
        <v>0</v>
      </c>
      <c r="Q192" s="210">
        <f t="shared" si="6"/>
        <v>41989.89</v>
      </c>
      <c r="R192" s="173"/>
      <c r="T192" s="653"/>
      <c r="U192" s="653"/>
      <c r="V192" s="653"/>
      <c r="W192" s="653"/>
      <c r="X192" s="653"/>
      <c r="Y192" s="653"/>
      <c r="Z192" s="653"/>
      <c r="AA192" s="653"/>
      <c r="AB192" s="653"/>
      <c r="AC192" s="653"/>
      <c r="AD192" s="653"/>
      <c r="AE192" s="653"/>
      <c r="AF192" s="653"/>
      <c r="AG192" s="653"/>
      <c r="AH192" s="653"/>
      <c r="AI192" s="653"/>
      <c r="AJ192" s="653"/>
      <c r="AK192" s="653"/>
      <c r="AL192" s="653"/>
      <c r="AM192" s="653"/>
      <c r="AN192" s="653"/>
      <c r="AO192" s="653"/>
      <c r="AP192" s="653"/>
      <c r="AQ192" s="653"/>
      <c r="AR192" s="653"/>
      <c r="AS192" s="653"/>
      <c r="AT192" s="653"/>
      <c r="AU192" s="653"/>
      <c r="AV192" s="653"/>
      <c r="AW192" s="653"/>
      <c r="AX192" s="653"/>
      <c r="AY192" s="653"/>
      <c r="AZ192" s="653"/>
      <c r="BA192" s="653"/>
      <c r="BB192" s="653"/>
    </row>
    <row r="193" spans="1:54" s="175" customFormat="1" ht="12.75" hidden="1" outlineLevel="1">
      <c r="A193" s="173" t="s">
        <v>318</v>
      </c>
      <c r="B193" s="174"/>
      <c r="C193" s="174" t="s">
        <v>319</v>
      </c>
      <c r="D193" s="174" t="s">
        <v>320</v>
      </c>
      <c r="E193" s="210">
        <v>6313.56</v>
      </c>
      <c r="F193" s="210">
        <v>0</v>
      </c>
      <c r="G193" s="210"/>
      <c r="H193" s="211">
        <v>0</v>
      </c>
      <c r="I193" s="211">
        <v>0</v>
      </c>
      <c r="J193" s="211">
        <v>0</v>
      </c>
      <c r="K193" s="211">
        <v>0</v>
      </c>
      <c r="L193" s="211">
        <v>0</v>
      </c>
      <c r="M193" s="211">
        <v>0</v>
      </c>
      <c r="N193" s="211">
        <v>0</v>
      </c>
      <c r="O193" s="210">
        <v>0</v>
      </c>
      <c r="P193" s="210">
        <v>0</v>
      </c>
      <c r="Q193" s="210">
        <f t="shared" si="6"/>
        <v>6313.56</v>
      </c>
      <c r="R193" s="173"/>
      <c r="T193" s="653"/>
      <c r="U193" s="653"/>
      <c r="V193" s="653"/>
      <c r="W193" s="653"/>
      <c r="X193" s="653"/>
      <c r="Y193" s="653"/>
      <c r="Z193" s="653"/>
      <c r="AA193" s="653"/>
      <c r="AB193" s="653"/>
      <c r="AC193" s="653"/>
      <c r="AD193" s="653"/>
      <c r="AE193" s="653"/>
      <c r="AF193" s="653"/>
      <c r="AG193" s="653"/>
      <c r="AH193" s="653"/>
      <c r="AI193" s="653"/>
      <c r="AJ193" s="653"/>
      <c r="AK193" s="653"/>
      <c r="AL193" s="653"/>
      <c r="AM193" s="653"/>
      <c r="AN193" s="653"/>
      <c r="AO193" s="653"/>
      <c r="AP193" s="653"/>
      <c r="AQ193" s="653"/>
      <c r="AR193" s="653"/>
      <c r="AS193" s="653"/>
      <c r="AT193" s="653"/>
      <c r="AU193" s="653"/>
      <c r="AV193" s="653"/>
      <c r="AW193" s="653"/>
      <c r="AX193" s="653"/>
      <c r="AY193" s="653"/>
      <c r="AZ193" s="653"/>
      <c r="BA193" s="653"/>
      <c r="BB193" s="653"/>
    </row>
    <row r="194" spans="1:54" s="175" customFormat="1" ht="12.75" hidden="1" outlineLevel="1">
      <c r="A194" s="173" t="s">
        <v>321</v>
      </c>
      <c r="B194" s="174"/>
      <c r="C194" s="174" t="s">
        <v>322</v>
      </c>
      <c r="D194" s="174" t="s">
        <v>323</v>
      </c>
      <c r="E194" s="210">
        <v>11074</v>
      </c>
      <c r="F194" s="210">
        <v>0</v>
      </c>
      <c r="G194" s="210"/>
      <c r="H194" s="211">
        <v>0</v>
      </c>
      <c r="I194" s="211">
        <v>0</v>
      </c>
      <c r="J194" s="211">
        <v>0</v>
      </c>
      <c r="K194" s="211">
        <v>0</v>
      </c>
      <c r="L194" s="211">
        <v>0</v>
      </c>
      <c r="M194" s="211">
        <v>0</v>
      </c>
      <c r="N194" s="211">
        <v>0</v>
      </c>
      <c r="O194" s="210">
        <v>0</v>
      </c>
      <c r="P194" s="210">
        <v>0</v>
      </c>
      <c r="Q194" s="210">
        <f t="shared" si="6"/>
        <v>11074</v>
      </c>
      <c r="R194" s="173"/>
      <c r="T194" s="653"/>
      <c r="U194" s="653"/>
      <c r="V194" s="653"/>
      <c r="W194" s="653"/>
      <c r="X194" s="653"/>
      <c r="Y194" s="653"/>
      <c r="Z194" s="653"/>
      <c r="AA194" s="653"/>
      <c r="AB194" s="653"/>
      <c r="AC194" s="653"/>
      <c r="AD194" s="653"/>
      <c r="AE194" s="653"/>
      <c r="AF194" s="653"/>
      <c r="AG194" s="653"/>
      <c r="AH194" s="653"/>
      <c r="AI194" s="653"/>
      <c r="AJ194" s="653"/>
      <c r="AK194" s="653"/>
      <c r="AL194" s="653"/>
      <c r="AM194" s="653"/>
      <c r="AN194" s="653"/>
      <c r="AO194" s="653"/>
      <c r="AP194" s="653"/>
      <c r="AQ194" s="653"/>
      <c r="AR194" s="653"/>
      <c r="AS194" s="653"/>
      <c r="AT194" s="653"/>
      <c r="AU194" s="653"/>
      <c r="AV194" s="653"/>
      <c r="AW194" s="653"/>
      <c r="AX194" s="653"/>
      <c r="AY194" s="653"/>
      <c r="AZ194" s="653"/>
      <c r="BA194" s="653"/>
      <c r="BB194" s="653"/>
    </row>
    <row r="195" spans="1:54" s="175" customFormat="1" ht="12.75" hidden="1" outlineLevel="1">
      <c r="A195" s="173" t="s">
        <v>324</v>
      </c>
      <c r="B195" s="174"/>
      <c r="C195" s="174" t="s">
        <v>325</v>
      </c>
      <c r="D195" s="174" t="s">
        <v>326</v>
      </c>
      <c r="E195" s="210">
        <v>45421.45</v>
      </c>
      <c r="F195" s="210">
        <v>0</v>
      </c>
      <c r="G195" s="210"/>
      <c r="H195" s="211">
        <v>2818.29</v>
      </c>
      <c r="I195" s="211">
        <v>0</v>
      </c>
      <c r="J195" s="211">
        <v>0</v>
      </c>
      <c r="K195" s="211">
        <v>0</v>
      </c>
      <c r="L195" s="211">
        <v>82.97</v>
      </c>
      <c r="M195" s="211">
        <v>0</v>
      </c>
      <c r="N195" s="211">
        <v>0</v>
      </c>
      <c r="O195" s="210">
        <v>2901.26</v>
      </c>
      <c r="P195" s="210">
        <v>0</v>
      </c>
      <c r="Q195" s="210">
        <f t="shared" si="6"/>
        <v>48322.71</v>
      </c>
      <c r="R195" s="173"/>
      <c r="T195" s="653"/>
      <c r="U195" s="653"/>
      <c r="V195" s="653"/>
      <c r="W195" s="653"/>
      <c r="X195" s="653"/>
      <c r="Y195" s="653"/>
      <c r="Z195" s="653"/>
      <c r="AA195" s="653"/>
      <c r="AB195" s="653"/>
      <c r="AC195" s="653"/>
      <c r="AD195" s="653"/>
      <c r="AE195" s="653"/>
      <c r="AF195" s="653"/>
      <c r="AG195" s="653"/>
      <c r="AH195" s="653"/>
      <c r="AI195" s="653"/>
      <c r="AJ195" s="653"/>
      <c r="AK195" s="653"/>
      <c r="AL195" s="653"/>
      <c r="AM195" s="653"/>
      <c r="AN195" s="653"/>
      <c r="AO195" s="653"/>
      <c r="AP195" s="653"/>
      <c r="AQ195" s="653"/>
      <c r="AR195" s="653"/>
      <c r="AS195" s="653"/>
      <c r="AT195" s="653"/>
      <c r="AU195" s="653"/>
      <c r="AV195" s="653"/>
      <c r="AW195" s="653"/>
      <c r="AX195" s="653"/>
      <c r="AY195" s="653"/>
      <c r="AZ195" s="653"/>
      <c r="BA195" s="653"/>
      <c r="BB195" s="653"/>
    </row>
    <row r="196" spans="1:54" s="175" customFormat="1" ht="12.75" hidden="1" outlineLevel="1">
      <c r="A196" s="173" t="s">
        <v>327</v>
      </c>
      <c r="B196" s="174"/>
      <c r="C196" s="174" t="s">
        <v>328</v>
      </c>
      <c r="D196" s="174" t="s">
        <v>329</v>
      </c>
      <c r="E196" s="210">
        <v>6600.51</v>
      </c>
      <c r="F196" s="210">
        <v>0</v>
      </c>
      <c r="G196" s="210"/>
      <c r="H196" s="211">
        <v>24.99</v>
      </c>
      <c r="I196" s="211">
        <v>0</v>
      </c>
      <c r="J196" s="211">
        <v>0</v>
      </c>
      <c r="K196" s="211">
        <v>0</v>
      </c>
      <c r="L196" s="211">
        <v>0</v>
      </c>
      <c r="M196" s="211">
        <v>0</v>
      </c>
      <c r="N196" s="211">
        <v>0</v>
      </c>
      <c r="O196" s="210">
        <v>24.99</v>
      </c>
      <c r="P196" s="210">
        <v>0</v>
      </c>
      <c r="Q196" s="210">
        <f t="shared" si="6"/>
        <v>6625.5</v>
      </c>
      <c r="R196" s="173"/>
      <c r="T196" s="653"/>
      <c r="U196" s="653"/>
      <c r="V196" s="653"/>
      <c r="W196" s="653"/>
      <c r="X196" s="653"/>
      <c r="Y196" s="653"/>
      <c r="Z196" s="653"/>
      <c r="AA196" s="653"/>
      <c r="AB196" s="653"/>
      <c r="AC196" s="653"/>
      <c r="AD196" s="653"/>
      <c r="AE196" s="653"/>
      <c r="AF196" s="653"/>
      <c r="AG196" s="653"/>
      <c r="AH196" s="653"/>
      <c r="AI196" s="653"/>
      <c r="AJ196" s="653"/>
      <c r="AK196" s="653"/>
      <c r="AL196" s="653"/>
      <c r="AM196" s="653"/>
      <c r="AN196" s="653"/>
      <c r="AO196" s="653"/>
      <c r="AP196" s="653"/>
      <c r="AQ196" s="653"/>
      <c r="AR196" s="653"/>
      <c r="AS196" s="653"/>
      <c r="AT196" s="653"/>
      <c r="AU196" s="653"/>
      <c r="AV196" s="653"/>
      <c r="AW196" s="653"/>
      <c r="AX196" s="653"/>
      <c r="AY196" s="653"/>
      <c r="AZ196" s="653"/>
      <c r="BA196" s="653"/>
      <c r="BB196" s="653"/>
    </row>
    <row r="197" spans="1:54" s="175" customFormat="1" ht="12.75" hidden="1" outlineLevel="1">
      <c r="A197" s="173" t="s">
        <v>330</v>
      </c>
      <c r="B197" s="174"/>
      <c r="C197" s="174" t="s">
        <v>331</v>
      </c>
      <c r="D197" s="174" t="s">
        <v>332</v>
      </c>
      <c r="E197" s="210">
        <v>11828.58</v>
      </c>
      <c r="F197" s="210">
        <v>0</v>
      </c>
      <c r="G197" s="210"/>
      <c r="H197" s="211">
        <v>0</v>
      </c>
      <c r="I197" s="211">
        <v>0</v>
      </c>
      <c r="J197" s="211">
        <v>0</v>
      </c>
      <c r="K197" s="211">
        <v>0</v>
      </c>
      <c r="L197" s="211">
        <v>0</v>
      </c>
      <c r="M197" s="211">
        <v>0</v>
      </c>
      <c r="N197" s="211">
        <v>0</v>
      </c>
      <c r="O197" s="210">
        <v>0</v>
      </c>
      <c r="P197" s="210">
        <v>0</v>
      </c>
      <c r="Q197" s="210">
        <f t="shared" si="6"/>
        <v>11828.58</v>
      </c>
      <c r="R197" s="173"/>
      <c r="T197" s="653"/>
      <c r="U197" s="653"/>
      <c r="V197" s="653"/>
      <c r="W197" s="653"/>
      <c r="X197" s="653"/>
      <c r="Y197" s="653"/>
      <c r="Z197" s="653"/>
      <c r="AA197" s="653"/>
      <c r="AB197" s="653"/>
      <c r="AC197" s="653"/>
      <c r="AD197" s="653"/>
      <c r="AE197" s="653"/>
      <c r="AF197" s="653"/>
      <c r="AG197" s="653"/>
      <c r="AH197" s="653"/>
      <c r="AI197" s="653"/>
      <c r="AJ197" s="653"/>
      <c r="AK197" s="653"/>
      <c r="AL197" s="653"/>
      <c r="AM197" s="653"/>
      <c r="AN197" s="653"/>
      <c r="AO197" s="653"/>
      <c r="AP197" s="653"/>
      <c r="AQ197" s="653"/>
      <c r="AR197" s="653"/>
      <c r="AS197" s="653"/>
      <c r="AT197" s="653"/>
      <c r="AU197" s="653"/>
      <c r="AV197" s="653"/>
      <c r="AW197" s="653"/>
      <c r="AX197" s="653"/>
      <c r="AY197" s="653"/>
      <c r="AZ197" s="653"/>
      <c r="BA197" s="653"/>
      <c r="BB197" s="653"/>
    </row>
    <row r="198" spans="1:54" s="175" customFormat="1" ht="12.75" hidden="1" outlineLevel="1">
      <c r="A198" s="173" t="s">
        <v>333</v>
      </c>
      <c r="B198" s="174"/>
      <c r="C198" s="174" t="s">
        <v>334</v>
      </c>
      <c r="D198" s="174" t="s">
        <v>335</v>
      </c>
      <c r="E198" s="210">
        <v>39619.44</v>
      </c>
      <c r="F198" s="210">
        <v>7.15</v>
      </c>
      <c r="G198" s="210"/>
      <c r="H198" s="211">
        <v>0</v>
      </c>
      <c r="I198" s="211">
        <v>0</v>
      </c>
      <c r="J198" s="211">
        <v>0</v>
      </c>
      <c r="K198" s="211">
        <v>0</v>
      </c>
      <c r="L198" s="211">
        <v>0</v>
      </c>
      <c r="M198" s="211">
        <v>0</v>
      </c>
      <c r="N198" s="211">
        <v>0</v>
      </c>
      <c r="O198" s="210">
        <v>0</v>
      </c>
      <c r="P198" s="210">
        <v>0</v>
      </c>
      <c r="Q198" s="210">
        <f t="shared" si="6"/>
        <v>39626.590000000004</v>
      </c>
      <c r="R198" s="173"/>
      <c r="T198" s="653"/>
      <c r="U198" s="653"/>
      <c r="V198" s="653"/>
      <c r="W198" s="653"/>
      <c r="X198" s="653"/>
      <c r="Y198" s="653"/>
      <c r="Z198" s="653"/>
      <c r="AA198" s="653"/>
      <c r="AB198" s="653"/>
      <c r="AC198" s="653"/>
      <c r="AD198" s="653"/>
      <c r="AE198" s="653"/>
      <c r="AF198" s="653"/>
      <c r="AG198" s="653"/>
      <c r="AH198" s="653"/>
      <c r="AI198" s="653"/>
      <c r="AJ198" s="653"/>
      <c r="AK198" s="653"/>
      <c r="AL198" s="653"/>
      <c r="AM198" s="653"/>
      <c r="AN198" s="653"/>
      <c r="AO198" s="653"/>
      <c r="AP198" s="653"/>
      <c r="AQ198" s="653"/>
      <c r="AR198" s="653"/>
      <c r="AS198" s="653"/>
      <c r="AT198" s="653"/>
      <c r="AU198" s="653"/>
      <c r="AV198" s="653"/>
      <c r="AW198" s="653"/>
      <c r="AX198" s="653"/>
      <c r="AY198" s="653"/>
      <c r="AZ198" s="653"/>
      <c r="BA198" s="653"/>
      <c r="BB198" s="653"/>
    </row>
    <row r="199" spans="1:54" s="175" customFormat="1" ht="12.75" hidden="1" outlineLevel="1">
      <c r="A199" s="173" t="s">
        <v>336</v>
      </c>
      <c r="B199" s="174"/>
      <c r="C199" s="174" t="s">
        <v>337</v>
      </c>
      <c r="D199" s="174" t="s">
        <v>338</v>
      </c>
      <c r="E199" s="210">
        <v>89351.81</v>
      </c>
      <c r="F199" s="210">
        <v>0</v>
      </c>
      <c r="G199" s="210"/>
      <c r="H199" s="211">
        <v>3999.47</v>
      </c>
      <c r="I199" s="211">
        <v>0</v>
      </c>
      <c r="J199" s="211">
        <v>0</v>
      </c>
      <c r="K199" s="211">
        <v>0</v>
      </c>
      <c r="L199" s="211">
        <v>0</v>
      </c>
      <c r="M199" s="211">
        <v>0</v>
      </c>
      <c r="N199" s="211">
        <v>0</v>
      </c>
      <c r="O199" s="210">
        <v>3999.47</v>
      </c>
      <c r="P199" s="210">
        <v>0</v>
      </c>
      <c r="Q199" s="210">
        <f t="shared" si="6"/>
        <v>93351.28</v>
      </c>
      <c r="R199" s="173"/>
      <c r="T199" s="653"/>
      <c r="U199" s="653"/>
      <c r="V199" s="653"/>
      <c r="W199" s="653"/>
      <c r="X199" s="653"/>
      <c r="Y199" s="653"/>
      <c r="Z199" s="653"/>
      <c r="AA199" s="653"/>
      <c r="AB199" s="653"/>
      <c r="AC199" s="653"/>
      <c r="AD199" s="653"/>
      <c r="AE199" s="653"/>
      <c r="AF199" s="653"/>
      <c r="AG199" s="653"/>
      <c r="AH199" s="653"/>
      <c r="AI199" s="653"/>
      <c r="AJ199" s="653"/>
      <c r="AK199" s="653"/>
      <c r="AL199" s="653"/>
      <c r="AM199" s="653"/>
      <c r="AN199" s="653"/>
      <c r="AO199" s="653"/>
      <c r="AP199" s="653"/>
      <c r="AQ199" s="653"/>
      <c r="AR199" s="653"/>
      <c r="AS199" s="653"/>
      <c r="AT199" s="653"/>
      <c r="AU199" s="653"/>
      <c r="AV199" s="653"/>
      <c r="AW199" s="653"/>
      <c r="AX199" s="653"/>
      <c r="AY199" s="653"/>
      <c r="AZ199" s="653"/>
      <c r="BA199" s="653"/>
      <c r="BB199" s="653"/>
    </row>
    <row r="200" spans="1:54" s="175" customFormat="1" ht="12.75" hidden="1" outlineLevel="1">
      <c r="A200" s="173" t="s">
        <v>339</v>
      </c>
      <c r="B200" s="174"/>
      <c r="C200" s="174" t="s">
        <v>340</v>
      </c>
      <c r="D200" s="174" t="s">
        <v>341</v>
      </c>
      <c r="E200" s="210">
        <v>180.38</v>
      </c>
      <c r="F200" s="210">
        <v>0</v>
      </c>
      <c r="G200" s="210"/>
      <c r="H200" s="211">
        <v>0</v>
      </c>
      <c r="I200" s="211">
        <v>0</v>
      </c>
      <c r="J200" s="211">
        <v>0</v>
      </c>
      <c r="K200" s="211">
        <v>0</v>
      </c>
      <c r="L200" s="211">
        <v>0</v>
      </c>
      <c r="M200" s="211">
        <v>0</v>
      </c>
      <c r="N200" s="211">
        <v>0</v>
      </c>
      <c r="O200" s="210">
        <v>0</v>
      </c>
      <c r="P200" s="210">
        <v>0</v>
      </c>
      <c r="Q200" s="210">
        <f t="shared" si="6"/>
        <v>180.38</v>
      </c>
      <c r="R200" s="173"/>
      <c r="T200" s="653"/>
      <c r="U200" s="653"/>
      <c r="V200" s="653"/>
      <c r="W200" s="653"/>
      <c r="X200" s="653"/>
      <c r="Y200" s="653"/>
      <c r="Z200" s="653"/>
      <c r="AA200" s="653"/>
      <c r="AB200" s="653"/>
      <c r="AC200" s="653"/>
      <c r="AD200" s="653"/>
      <c r="AE200" s="653"/>
      <c r="AF200" s="653"/>
      <c r="AG200" s="653"/>
      <c r="AH200" s="653"/>
      <c r="AI200" s="653"/>
      <c r="AJ200" s="653"/>
      <c r="AK200" s="653"/>
      <c r="AL200" s="653"/>
      <c r="AM200" s="653"/>
      <c r="AN200" s="653"/>
      <c r="AO200" s="653"/>
      <c r="AP200" s="653"/>
      <c r="AQ200" s="653"/>
      <c r="AR200" s="653"/>
      <c r="AS200" s="653"/>
      <c r="AT200" s="653"/>
      <c r="AU200" s="653"/>
      <c r="AV200" s="653"/>
      <c r="AW200" s="653"/>
      <c r="AX200" s="653"/>
      <c r="AY200" s="653"/>
      <c r="AZ200" s="653"/>
      <c r="BA200" s="653"/>
      <c r="BB200" s="653"/>
    </row>
    <row r="201" spans="1:54" s="175" customFormat="1" ht="12.75" hidden="1" outlineLevel="1">
      <c r="A201" s="173" t="s">
        <v>342</v>
      </c>
      <c r="B201" s="174"/>
      <c r="C201" s="174" t="s">
        <v>343</v>
      </c>
      <c r="D201" s="174" t="s">
        <v>344</v>
      </c>
      <c r="E201" s="210">
        <v>399.7</v>
      </c>
      <c r="F201" s="210">
        <v>0</v>
      </c>
      <c r="G201" s="210"/>
      <c r="H201" s="211">
        <v>0</v>
      </c>
      <c r="I201" s="211">
        <v>0</v>
      </c>
      <c r="J201" s="211">
        <v>0</v>
      </c>
      <c r="K201" s="211">
        <v>0</v>
      </c>
      <c r="L201" s="211">
        <v>0</v>
      </c>
      <c r="M201" s="211">
        <v>0</v>
      </c>
      <c r="N201" s="211">
        <v>0</v>
      </c>
      <c r="O201" s="210">
        <v>0</v>
      </c>
      <c r="P201" s="210">
        <v>0</v>
      </c>
      <c r="Q201" s="210">
        <f t="shared" si="6"/>
        <v>399.7</v>
      </c>
      <c r="R201" s="173"/>
      <c r="T201" s="653"/>
      <c r="U201" s="653"/>
      <c r="V201" s="653"/>
      <c r="W201" s="653"/>
      <c r="X201" s="653"/>
      <c r="Y201" s="653"/>
      <c r="Z201" s="653"/>
      <c r="AA201" s="653"/>
      <c r="AB201" s="653"/>
      <c r="AC201" s="653"/>
      <c r="AD201" s="653"/>
      <c r="AE201" s="653"/>
      <c r="AF201" s="653"/>
      <c r="AG201" s="653"/>
      <c r="AH201" s="653"/>
      <c r="AI201" s="653"/>
      <c r="AJ201" s="653"/>
      <c r="AK201" s="653"/>
      <c r="AL201" s="653"/>
      <c r="AM201" s="653"/>
      <c r="AN201" s="653"/>
      <c r="AO201" s="653"/>
      <c r="AP201" s="653"/>
      <c r="AQ201" s="653"/>
      <c r="AR201" s="653"/>
      <c r="AS201" s="653"/>
      <c r="AT201" s="653"/>
      <c r="AU201" s="653"/>
      <c r="AV201" s="653"/>
      <c r="AW201" s="653"/>
      <c r="AX201" s="653"/>
      <c r="AY201" s="653"/>
      <c r="AZ201" s="653"/>
      <c r="BA201" s="653"/>
      <c r="BB201" s="653"/>
    </row>
    <row r="202" spans="1:54" s="175" customFormat="1" ht="12.75" hidden="1" outlineLevel="1">
      <c r="A202" s="173" t="s">
        <v>345</v>
      </c>
      <c r="B202" s="174"/>
      <c r="C202" s="174" t="s">
        <v>346</v>
      </c>
      <c r="D202" s="174" t="s">
        <v>347</v>
      </c>
      <c r="E202" s="210">
        <v>29329.75</v>
      </c>
      <c r="F202" s="210">
        <v>0</v>
      </c>
      <c r="G202" s="210"/>
      <c r="H202" s="211">
        <v>139</v>
      </c>
      <c r="I202" s="211">
        <v>0</v>
      </c>
      <c r="J202" s="211">
        <v>0</v>
      </c>
      <c r="K202" s="211">
        <v>0</v>
      </c>
      <c r="L202" s="211">
        <v>0</v>
      </c>
      <c r="M202" s="211">
        <v>0</v>
      </c>
      <c r="N202" s="211">
        <v>0</v>
      </c>
      <c r="O202" s="210">
        <v>139</v>
      </c>
      <c r="P202" s="210">
        <v>0</v>
      </c>
      <c r="Q202" s="210">
        <f t="shared" si="6"/>
        <v>29468.75</v>
      </c>
      <c r="R202" s="173"/>
      <c r="T202" s="653"/>
      <c r="U202" s="653"/>
      <c r="V202" s="653"/>
      <c r="W202" s="653"/>
      <c r="X202" s="653"/>
      <c r="Y202" s="653"/>
      <c r="Z202" s="653"/>
      <c r="AA202" s="653"/>
      <c r="AB202" s="653"/>
      <c r="AC202" s="653"/>
      <c r="AD202" s="653"/>
      <c r="AE202" s="653"/>
      <c r="AF202" s="653"/>
      <c r="AG202" s="653"/>
      <c r="AH202" s="653"/>
      <c r="AI202" s="653"/>
      <c r="AJ202" s="653"/>
      <c r="AK202" s="653"/>
      <c r="AL202" s="653"/>
      <c r="AM202" s="653"/>
      <c r="AN202" s="653"/>
      <c r="AO202" s="653"/>
      <c r="AP202" s="653"/>
      <c r="AQ202" s="653"/>
      <c r="AR202" s="653"/>
      <c r="AS202" s="653"/>
      <c r="AT202" s="653"/>
      <c r="AU202" s="653"/>
      <c r="AV202" s="653"/>
      <c r="AW202" s="653"/>
      <c r="AX202" s="653"/>
      <c r="AY202" s="653"/>
      <c r="AZ202" s="653"/>
      <c r="BA202" s="653"/>
      <c r="BB202" s="653"/>
    </row>
    <row r="203" spans="1:54" s="175" customFormat="1" ht="12.75" hidden="1" outlineLevel="1">
      <c r="A203" s="173" t="s">
        <v>348</v>
      </c>
      <c r="B203" s="174"/>
      <c r="C203" s="174" t="s">
        <v>349</v>
      </c>
      <c r="D203" s="174" t="s">
        <v>350</v>
      </c>
      <c r="E203" s="210">
        <v>54.2</v>
      </c>
      <c r="F203" s="210">
        <v>0</v>
      </c>
      <c r="G203" s="210"/>
      <c r="H203" s="211">
        <v>0</v>
      </c>
      <c r="I203" s="211">
        <v>0</v>
      </c>
      <c r="J203" s="211">
        <v>0</v>
      </c>
      <c r="K203" s="211">
        <v>0</v>
      </c>
      <c r="L203" s="211">
        <v>0</v>
      </c>
      <c r="M203" s="211">
        <v>0</v>
      </c>
      <c r="N203" s="211">
        <v>0</v>
      </c>
      <c r="O203" s="210">
        <v>0</v>
      </c>
      <c r="P203" s="210">
        <v>0</v>
      </c>
      <c r="Q203" s="210">
        <f t="shared" si="6"/>
        <v>54.2</v>
      </c>
      <c r="R203" s="173"/>
      <c r="T203" s="653"/>
      <c r="U203" s="653"/>
      <c r="V203" s="653"/>
      <c r="W203" s="653"/>
      <c r="X203" s="653"/>
      <c r="Y203" s="653"/>
      <c r="Z203" s="653"/>
      <c r="AA203" s="653"/>
      <c r="AB203" s="653"/>
      <c r="AC203" s="653"/>
      <c r="AD203" s="653"/>
      <c r="AE203" s="653"/>
      <c r="AF203" s="653"/>
      <c r="AG203" s="653"/>
      <c r="AH203" s="653"/>
      <c r="AI203" s="653"/>
      <c r="AJ203" s="653"/>
      <c r="AK203" s="653"/>
      <c r="AL203" s="653"/>
      <c r="AM203" s="653"/>
      <c r="AN203" s="653"/>
      <c r="AO203" s="653"/>
      <c r="AP203" s="653"/>
      <c r="AQ203" s="653"/>
      <c r="AR203" s="653"/>
      <c r="AS203" s="653"/>
      <c r="AT203" s="653"/>
      <c r="AU203" s="653"/>
      <c r="AV203" s="653"/>
      <c r="AW203" s="653"/>
      <c r="AX203" s="653"/>
      <c r="AY203" s="653"/>
      <c r="AZ203" s="653"/>
      <c r="BA203" s="653"/>
      <c r="BB203" s="653"/>
    </row>
    <row r="204" spans="1:54" s="175" customFormat="1" ht="12.75" hidden="1" outlineLevel="1">
      <c r="A204" s="173" t="s">
        <v>351</v>
      </c>
      <c r="B204" s="174"/>
      <c r="C204" s="174" t="s">
        <v>352</v>
      </c>
      <c r="D204" s="174" t="s">
        <v>353</v>
      </c>
      <c r="E204" s="210">
        <v>19770.26</v>
      </c>
      <c r="F204" s="210">
        <v>2252.22</v>
      </c>
      <c r="G204" s="210"/>
      <c r="H204" s="211">
        <v>0</v>
      </c>
      <c r="I204" s="211">
        <v>0</v>
      </c>
      <c r="J204" s="211">
        <v>0</v>
      </c>
      <c r="K204" s="211">
        <v>0</v>
      </c>
      <c r="L204" s="211">
        <v>25.99</v>
      </c>
      <c r="M204" s="211">
        <v>0</v>
      </c>
      <c r="N204" s="211">
        <v>0</v>
      </c>
      <c r="O204" s="210">
        <v>25.99</v>
      </c>
      <c r="P204" s="210">
        <v>0</v>
      </c>
      <c r="Q204" s="210">
        <f t="shared" si="6"/>
        <v>22048.47</v>
      </c>
      <c r="R204" s="173"/>
      <c r="T204" s="653"/>
      <c r="U204" s="653"/>
      <c r="V204" s="653"/>
      <c r="W204" s="653"/>
      <c r="X204" s="653"/>
      <c r="Y204" s="653"/>
      <c r="Z204" s="653"/>
      <c r="AA204" s="653"/>
      <c r="AB204" s="653"/>
      <c r="AC204" s="653"/>
      <c r="AD204" s="653"/>
      <c r="AE204" s="653"/>
      <c r="AF204" s="653"/>
      <c r="AG204" s="653"/>
      <c r="AH204" s="653"/>
      <c r="AI204" s="653"/>
      <c r="AJ204" s="653"/>
      <c r="AK204" s="653"/>
      <c r="AL204" s="653"/>
      <c r="AM204" s="653"/>
      <c r="AN204" s="653"/>
      <c r="AO204" s="653"/>
      <c r="AP204" s="653"/>
      <c r="AQ204" s="653"/>
      <c r="AR204" s="653"/>
      <c r="AS204" s="653"/>
      <c r="AT204" s="653"/>
      <c r="AU204" s="653"/>
      <c r="AV204" s="653"/>
      <c r="AW204" s="653"/>
      <c r="AX204" s="653"/>
      <c r="AY204" s="653"/>
      <c r="AZ204" s="653"/>
      <c r="BA204" s="653"/>
      <c r="BB204" s="653"/>
    </row>
    <row r="205" spans="1:54" s="175" customFormat="1" ht="12.75" hidden="1" outlineLevel="1">
      <c r="A205" s="173" t="s">
        <v>354</v>
      </c>
      <c r="B205" s="174"/>
      <c r="C205" s="174" t="s">
        <v>355</v>
      </c>
      <c r="D205" s="174" t="s">
        <v>356</v>
      </c>
      <c r="E205" s="210">
        <v>733.25</v>
      </c>
      <c r="F205" s="210">
        <v>0</v>
      </c>
      <c r="G205" s="210"/>
      <c r="H205" s="211">
        <v>0</v>
      </c>
      <c r="I205" s="211">
        <v>0</v>
      </c>
      <c r="J205" s="211">
        <v>0</v>
      </c>
      <c r="K205" s="211">
        <v>0</v>
      </c>
      <c r="L205" s="211">
        <v>0</v>
      </c>
      <c r="M205" s="211">
        <v>0</v>
      </c>
      <c r="N205" s="211">
        <v>0</v>
      </c>
      <c r="O205" s="210">
        <v>0</v>
      </c>
      <c r="P205" s="210">
        <v>0</v>
      </c>
      <c r="Q205" s="210">
        <f t="shared" si="6"/>
        <v>733.25</v>
      </c>
      <c r="R205" s="173"/>
      <c r="T205" s="653"/>
      <c r="U205" s="653"/>
      <c r="V205" s="653"/>
      <c r="W205" s="653"/>
      <c r="X205" s="653"/>
      <c r="Y205" s="653"/>
      <c r="Z205" s="653"/>
      <c r="AA205" s="653"/>
      <c r="AB205" s="653"/>
      <c r="AC205" s="653"/>
      <c r="AD205" s="653"/>
      <c r="AE205" s="653"/>
      <c r="AF205" s="653"/>
      <c r="AG205" s="653"/>
      <c r="AH205" s="653"/>
      <c r="AI205" s="653"/>
      <c r="AJ205" s="653"/>
      <c r="AK205" s="653"/>
      <c r="AL205" s="653"/>
      <c r="AM205" s="653"/>
      <c r="AN205" s="653"/>
      <c r="AO205" s="653"/>
      <c r="AP205" s="653"/>
      <c r="AQ205" s="653"/>
      <c r="AR205" s="653"/>
      <c r="AS205" s="653"/>
      <c r="AT205" s="653"/>
      <c r="AU205" s="653"/>
      <c r="AV205" s="653"/>
      <c r="AW205" s="653"/>
      <c r="AX205" s="653"/>
      <c r="AY205" s="653"/>
      <c r="AZ205" s="653"/>
      <c r="BA205" s="653"/>
      <c r="BB205" s="653"/>
    </row>
    <row r="206" spans="1:54" s="175" customFormat="1" ht="12.75" hidden="1" outlineLevel="1">
      <c r="A206" s="173" t="s">
        <v>357</v>
      </c>
      <c r="B206" s="174"/>
      <c r="C206" s="174" t="s">
        <v>358</v>
      </c>
      <c r="D206" s="174" t="s">
        <v>359</v>
      </c>
      <c r="E206" s="210">
        <v>646.63</v>
      </c>
      <c r="F206" s="210">
        <v>0</v>
      </c>
      <c r="G206" s="210"/>
      <c r="H206" s="211">
        <v>0</v>
      </c>
      <c r="I206" s="211">
        <v>0</v>
      </c>
      <c r="J206" s="211">
        <v>0</v>
      </c>
      <c r="K206" s="211">
        <v>0</v>
      </c>
      <c r="L206" s="211">
        <v>0</v>
      </c>
      <c r="M206" s="211">
        <v>0</v>
      </c>
      <c r="N206" s="211">
        <v>0</v>
      </c>
      <c r="O206" s="210">
        <v>0</v>
      </c>
      <c r="P206" s="210">
        <v>0</v>
      </c>
      <c r="Q206" s="210">
        <f t="shared" si="6"/>
        <v>646.63</v>
      </c>
      <c r="R206" s="173"/>
      <c r="T206" s="653"/>
      <c r="U206" s="653"/>
      <c r="V206" s="653"/>
      <c r="W206" s="653"/>
      <c r="X206" s="653"/>
      <c r="Y206" s="653"/>
      <c r="Z206" s="653"/>
      <c r="AA206" s="653"/>
      <c r="AB206" s="653"/>
      <c r="AC206" s="653"/>
      <c r="AD206" s="653"/>
      <c r="AE206" s="653"/>
      <c r="AF206" s="653"/>
      <c r="AG206" s="653"/>
      <c r="AH206" s="653"/>
      <c r="AI206" s="653"/>
      <c r="AJ206" s="653"/>
      <c r="AK206" s="653"/>
      <c r="AL206" s="653"/>
      <c r="AM206" s="653"/>
      <c r="AN206" s="653"/>
      <c r="AO206" s="653"/>
      <c r="AP206" s="653"/>
      <c r="AQ206" s="653"/>
      <c r="AR206" s="653"/>
      <c r="AS206" s="653"/>
      <c r="AT206" s="653"/>
      <c r="AU206" s="653"/>
      <c r="AV206" s="653"/>
      <c r="AW206" s="653"/>
      <c r="AX206" s="653"/>
      <c r="AY206" s="653"/>
      <c r="AZ206" s="653"/>
      <c r="BA206" s="653"/>
      <c r="BB206" s="653"/>
    </row>
    <row r="207" spans="1:54" s="175" customFormat="1" ht="12.75" hidden="1" outlineLevel="1">
      <c r="A207" s="173" t="s">
        <v>360</v>
      </c>
      <c r="B207" s="174"/>
      <c r="C207" s="174" t="s">
        <v>361</v>
      </c>
      <c r="D207" s="174" t="s">
        <v>362</v>
      </c>
      <c r="E207" s="210">
        <v>289.96</v>
      </c>
      <c r="F207" s="210">
        <v>1272.2</v>
      </c>
      <c r="G207" s="210"/>
      <c r="H207" s="211">
        <v>0</v>
      </c>
      <c r="I207" s="211">
        <v>0</v>
      </c>
      <c r="J207" s="211">
        <v>0</v>
      </c>
      <c r="K207" s="211">
        <v>0</v>
      </c>
      <c r="L207" s="211">
        <v>0</v>
      </c>
      <c r="M207" s="211">
        <v>0</v>
      </c>
      <c r="N207" s="211">
        <v>0</v>
      </c>
      <c r="O207" s="210">
        <v>0</v>
      </c>
      <c r="P207" s="210">
        <v>0</v>
      </c>
      <c r="Q207" s="210">
        <f t="shared" si="6"/>
        <v>1562.16</v>
      </c>
      <c r="R207" s="173"/>
      <c r="T207" s="653"/>
      <c r="U207" s="653"/>
      <c r="V207" s="653"/>
      <c r="W207" s="653"/>
      <c r="X207" s="653"/>
      <c r="Y207" s="653"/>
      <c r="Z207" s="653"/>
      <c r="AA207" s="653"/>
      <c r="AB207" s="653"/>
      <c r="AC207" s="653"/>
      <c r="AD207" s="653"/>
      <c r="AE207" s="653"/>
      <c r="AF207" s="653"/>
      <c r="AG207" s="653"/>
      <c r="AH207" s="653"/>
      <c r="AI207" s="653"/>
      <c r="AJ207" s="653"/>
      <c r="AK207" s="653"/>
      <c r="AL207" s="653"/>
      <c r="AM207" s="653"/>
      <c r="AN207" s="653"/>
      <c r="AO207" s="653"/>
      <c r="AP207" s="653"/>
      <c r="AQ207" s="653"/>
      <c r="AR207" s="653"/>
      <c r="AS207" s="653"/>
      <c r="AT207" s="653"/>
      <c r="AU207" s="653"/>
      <c r="AV207" s="653"/>
      <c r="AW207" s="653"/>
      <c r="AX207" s="653"/>
      <c r="AY207" s="653"/>
      <c r="AZ207" s="653"/>
      <c r="BA207" s="653"/>
      <c r="BB207" s="653"/>
    </row>
    <row r="208" spans="1:54" s="175" customFormat="1" ht="12.75" hidden="1" outlineLevel="1">
      <c r="A208" s="173" t="s">
        <v>363</v>
      </c>
      <c r="B208" s="174"/>
      <c r="C208" s="174" t="s">
        <v>364</v>
      </c>
      <c r="D208" s="174" t="s">
        <v>365</v>
      </c>
      <c r="E208" s="210">
        <v>112.97</v>
      </c>
      <c r="F208" s="210">
        <v>0</v>
      </c>
      <c r="G208" s="210"/>
      <c r="H208" s="211">
        <v>0</v>
      </c>
      <c r="I208" s="211">
        <v>0</v>
      </c>
      <c r="J208" s="211">
        <v>0</v>
      </c>
      <c r="K208" s="211">
        <v>0</v>
      </c>
      <c r="L208" s="211">
        <v>0</v>
      </c>
      <c r="M208" s="211">
        <v>0</v>
      </c>
      <c r="N208" s="211">
        <v>0</v>
      </c>
      <c r="O208" s="210">
        <v>0</v>
      </c>
      <c r="P208" s="210">
        <v>0</v>
      </c>
      <c r="Q208" s="210">
        <f t="shared" si="6"/>
        <v>112.97</v>
      </c>
      <c r="R208" s="173"/>
      <c r="T208" s="653"/>
      <c r="U208" s="653"/>
      <c r="V208" s="653"/>
      <c r="W208" s="653"/>
      <c r="X208" s="653"/>
      <c r="Y208" s="653"/>
      <c r="Z208" s="653"/>
      <c r="AA208" s="653"/>
      <c r="AB208" s="653"/>
      <c r="AC208" s="653"/>
      <c r="AD208" s="653"/>
      <c r="AE208" s="653"/>
      <c r="AF208" s="653"/>
      <c r="AG208" s="653"/>
      <c r="AH208" s="653"/>
      <c r="AI208" s="653"/>
      <c r="AJ208" s="653"/>
      <c r="AK208" s="653"/>
      <c r="AL208" s="653"/>
      <c r="AM208" s="653"/>
      <c r="AN208" s="653"/>
      <c r="AO208" s="653"/>
      <c r="AP208" s="653"/>
      <c r="AQ208" s="653"/>
      <c r="AR208" s="653"/>
      <c r="AS208" s="653"/>
      <c r="AT208" s="653"/>
      <c r="AU208" s="653"/>
      <c r="AV208" s="653"/>
      <c r="AW208" s="653"/>
      <c r="AX208" s="653"/>
      <c r="AY208" s="653"/>
      <c r="AZ208" s="653"/>
      <c r="BA208" s="653"/>
      <c r="BB208" s="653"/>
    </row>
    <row r="209" spans="1:54" s="175" customFormat="1" ht="12.75" hidden="1" outlineLevel="1">
      <c r="A209" s="173" t="s">
        <v>366</v>
      </c>
      <c r="B209" s="174"/>
      <c r="C209" s="174" t="s">
        <v>367</v>
      </c>
      <c r="D209" s="174" t="s">
        <v>368</v>
      </c>
      <c r="E209" s="210">
        <v>68.95</v>
      </c>
      <c r="F209" s="210">
        <v>0</v>
      </c>
      <c r="G209" s="210"/>
      <c r="H209" s="211">
        <v>0</v>
      </c>
      <c r="I209" s="211">
        <v>0</v>
      </c>
      <c r="J209" s="211">
        <v>0</v>
      </c>
      <c r="K209" s="211">
        <v>0</v>
      </c>
      <c r="L209" s="211">
        <v>0</v>
      </c>
      <c r="M209" s="211">
        <v>0</v>
      </c>
      <c r="N209" s="211">
        <v>0</v>
      </c>
      <c r="O209" s="210">
        <v>0</v>
      </c>
      <c r="P209" s="210">
        <v>0</v>
      </c>
      <c r="Q209" s="210">
        <f t="shared" si="6"/>
        <v>68.95</v>
      </c>
      <c r="R209" s="173"/>
      <c r="T209" s="653"/>
      <c r="U209" s="653"/>
      <c r="V209" s="653"/>
      <c r="W209" s="653"/>
      <c r="X209" s="653"/>
      <c r="Y209" s="653"/>
      <c r="Z209" s="653"/>
      <c r="AA209" s="653"/>
      <c r="AB209" s="653"/>
      <c r="AC209" s="653"/>
      <c r="AD209" s="653"/>
      <c r="AE209" s="653"/>
      <c r="AF209" s="653"/>
      <c r="AG209" s="653"/>
      <c r="AH209" s="653"/>
      <c r="AI209" s="653"/>
      <c r="AJ209" s="653"/>
      <c r="AK209" s="653"/>
      <c r="AL209" s="653"/>
      <c r="AM209" s="653"/>
      <c r="AN209" s="653"/>
      <c r="AO209" s="653"/>
      <c r="AP209" s="653"/>
      <c r="AQ209" s="653"/>
      <c r="AR209" s="653"/>
      <c r="AS209" s="653"/>
      <c r="AT209" s="653"/>
      <c r="AU209" s="653"/>
      <c r="AV209" s="653"/>
      <c r="AW209" s="653"/>
      <c r="AX209" s="653"/>
      <c r="AY209" s="653"/>
      <c r="AZ209" s="653"/>
      <c r="BA209" s="653"/>
      <c r="BB209" s="653"/>
    </row>
    <row r="210" spans="1:54" s="175" customFormat="1" ht="12.75" hidden="1" outlineLevel="1">
      <c r="A210" s="173" t="s">
        <v>369</v>
      </c>
      <c r="B210" s="174"/>
      <c r="C210" s="174" t="s">
        <v>370</v>
      </c>
      <c r="D210" s="174" t="s">
        <v>371</v>
      </c>
      <c r="E210" s="210">
        <v>35.68</v>
      </c>
      <c r="F210" s="210">
        <v>0</v>
      </c>
      <c r="G210" s="210"/>
      <c r="H210" s="211">
        <v>0</v>
      </c>
      <c r="I210" s="211">
        <v>0</v>
      </c>
      <c r="J210" s="211">
        <v>0</v>
      </c>
      <c r="K210" s="211">
        <v>0</v>
      </c>
      <c r="L210" s="211">
        <v>0</v>
      </c>
      <c r="M210" s="211">
        <v>0</v>
      </c>
      <c r="N210" s="211">
        <v>0</v>
      </c>
      <c r="O210" s="210">
        <v>0</v>
      </c>
      <c r="P210" s="210">
        <v>0</v>
      </c>
      <c r="Q210" s="210">
        <f t="shared" si="6"/>
        <v>35.68</v>
      </c>
      <c r="R210" s="173"/>
      <c r="T210" s="653"/>
      <c r="U210" s="653"/>
      <c r="V210" s="653"/>
      <c r="W210" s="653"/>
      <c r="X210" s="653"/>
      <c r="Y210" s="653"/>
      <c r="Z210" s="653"/>
      <c r="AA210" s="653"/>
      <c r="AB210" s="653"/>
      <c r="AC210" s="653"/>
      <c r="AD210" s="653"/>
      <c r="AE210" s="653"/>
      <c r="AF210" s="653"/>
      <c r="AG210" s="653"/>
      <c r="AH210" s="653"/>
      <c r="AI210" s="653"/>
      <c r="AJ210" s="653"/>
      <c r="AK210" s="653"/>
      <c r="AL210" s="653"/>
      <c r="AM210" s="653"/>
      <c r="AN210" s="653"/>
      <c r="AO210" s="653"/>
      <c r="AP210" s="653"/>
      <c r="AQ210" s="653"/>
      <c r="AR210" s="653"/>
      <c r="AS210" s="653"/>
      <c r="AT210" s="653"/>
      <c r="AU210" s="653"/>
      <c r="AV210" s="653"/>
      <c r="AW210" s="653"/>
      <c r="AX210" s="653"/>
      <c r="AY210" s="653"/>
      <c r="AZ210" s="653"/>
      <c r="BA210" s="653"/>
      <c r="BB210" s="653"/>
    </row>
    <row r="211" spans="1:54" s="175" customFormat="1" ht="12.75" hidden="1" outlineLevel="1">
      <c r="A211" s="173" t="s">
        <v>372</v>
      </c>
      <c r="B211" s="174"/>
      <c r="C211" s="174" t="s">
        <v>373</v>
      </c>
      <c r="D211" s="174" t="s">
        <v>374</v>
      </c>
      <c r="E211" s="210">
        <v>28995.41</v>
      </c>
      <c r="F211" s="210">
        <v>0</v>
      </c>
      <c r="G211" s="210"/>
      <c r="H211" s="211">
        <v>0</v>
      </c>
      <c r="I211" s="211">
        <v>0</v>
      </c>
      <c r="J211" s="211">
        <v>0</v>
      </c>
      <c r="K211" s="211">
        <v>0</v>
      </c>
      <c r="L211" s="211">
        <v>0</v>
      </c>
      <c r="M211" s="211">
        <v>0</v>
      </c>
      <c r="N211" s="211">
        <v>0</v>
      </c>
      <c r="O211" s="210">
        <v>0</v>
      </c>
      <c r="P211" s="210">
        <v>0</v>
      </c>
      <c r="Q211" s="210">
        <f t="shared" si="6"/>
        <v>28995.41</v>
      </c>
      <c r="R211" s="173"/>
      <c r="T211" s="653"/>
      <c r="U211" s="653"/>
      <c r="V211" s="653"/>
      <c r="W211" s="653"/>
      <c r="X211" s="653"/>
      <c r="Y211" s="653"/>
      <c r="Z211" s="653"/>
      <c r="AA211" s="653"/>
      <c r="AB211" s="653"/>
      <c r="AC211" s="653"/>
      <c r="AD211" s="653"/>
      <c r="AE211" s="653"/>
      <c r="AF211" s="653"/>
      <c r="AG211" s="653"/>
      <c r="AH211" s="653"/>
      <c r="AI211" s="653"/>
      <c r="AJ211" s="653"/>
      <c r="AK211" s="653"/>
      <c r="AL211" s="653"/>
      <c r="AM211" s="653"/>
      <c r="AN211" s="653"/>
      <c r="AO211" s="653"/>
      <c r="AP211" s="653"/>
      <c r="AQ211" s="653"/>
      <c r="AR211" s="653"/>
      <c r="AS211" s="653"/>
      <c r="AT211" s="653"/>
      <c r="AU211" s="653"/>
      <c r="AV211" s="653"/>
      <c r="AW211" s="653"/>
      <c r="AX211" s="653"/>
      <c r="AY211" s="653"/>
      <c r="AZ211" s="653"/>
      <c r="BA211" s="653"/>
      <c r="BB211" s="653"/>
    </row>
    <row r="212" spans="1:54" s="175" customFormat="1" ht="12.75" hidden="1" outlineLevel="1">
      <c r="A212" s="173" t="s">
        <v>375</v>
      </c>
      <c r="B212" s="174"/>
      <c r="C212" s="174" t="s">
        <v>376</v>
      </c>
      <c r="D212" s="174" t="s">
        <v>377</v>
      </c>
      <c r="E212" s="210">
        <v>108385.27</v>
      </c>
      <c r="F212" s="210">
        <v>968.13</v>
      </c>
      <c r="G212" s="210"/>
      <c r="H212" s="211">
        <v>0</v>
      </c>
      <c r="I212" s="211">
        <v>0</v>
      </c>
      <c r="J212" s="211">
        <v>0</v>
      </c>
      <c r="K212" s="211">
        <v>0</v>
      </c>
      <c r="L212" s="211">
        <v>0</v>
      </c>
      <c r="M212" s="211">
        <v>0</v>
      </c>
      <c r="N212" s="211">
        <v>0</v>
      </c>
      <c r="O212" s="210">
        <v>0</v>
      </c>
      <c r="P212" s="210">
        <v>0</v>
      </c>
      <c r="Q212" s="210">
        <f t="shared" si="6"/>
        <v>109353.40000000001</v>
      </c>
      <c r="R212" s="173"/>
      <c r="T212" s="653"/>
      <c r="U212" s="653"/>
      <c r="V212" s="653"/>
      <c r="W212" s="653"/>
      <c r="X212" s="653"/>
      <c r="Y212" s="653"/>
      <c r="Z212" s="653"/>
      <c r="AA212" s="653"/>
      <c r="AB212" s="653"/>
      <c r="AC212" s="653"/>
      <c r="AD212" s="653"/>
      <c r="AE212" s="653"/>
      <c r="AF212" s="653"/>
      <c r="AG212" s="653"/>
      <c r="AH212" s="653"/>
      <c r="AI212" s="653"/>
      <c r="AJ212" s="653"/>
      <c r="AK212" s="653"/>
      <c r="AL212" s="653"/>
      <c r="AM212" s="653"/>
      <c r="AN212" s="653"/>
      <c r="AO212" s="653"/>
      <c r="AP212" s="653"/>
      <c r="AQ212" s="653"/>
      <c r="AR212" s="653"/>
      <c r="AS212" s="653"/>
      <c r="AT212" s="653"/>
      <c r="AU212" s="653"/>
      <c r="AV212" s="653"/>
      <c r="AW212" s="653"/>
      <c r="AX212" s="653"/>
      <c r="AY212" s="653"/>
      <c r="AZ212" s="653"/>
      <c r="BA212" s="653"/>
      <c r="BB212" s="653"/>
    </row>
    <row r="213" spans="1:54" s="175" customFormat="1" ht="12.75" hidden="1" outlineLevel="1">
      <c r="A213" s="173" t="s">
        <v>378</v>
      </c>
      <c r="B213" s="174"/>
      <c r="C213" s="174" t="s">
        <v>379</v>
      </c>
      <c r="D213" s="174" t="s">
        <v>380</v>
      </c>
      <c r="E213" s="210">
        <v>4238.89</v>
      </c>
      <c r="F213" s="210">
        <v>0</v>
      </c>
      <c r="G213" s="210"/>
      <c r="H213" s="211">
        <v>0</v>
      </c>
      <c r="I213" s="211">
        <v>0</v>
      </c>
      <c r="J213" s="211">
        <v>0</v>
      </c>
      <c r="K213" s="211">
        <v>0</v>
      </c>
      <c r="L213" s="211">
        <v>0</v>
      </c>
      <c r="M213" s="211">
        <v>0</v>
      </c>
      <c r="N213" s="211">
        <v>0</v>
      </c>
      <c r="O213" s="210">
        <v>0</v>
      </c>
      <c r="P213" s="210">
        <v>0</v>
      </c>
      <c r="Q213" s="210">
        <f t="shared" si="6"/>
        <v>4238.89</v>
      </c>
      <c r="R213" s="173"/>
      <c r="T213" s="653"/>
      <c r="U213" s="653"/>
      <c r="V213" s="653"/>
      <c r="W213" s="653"/>
      <c r="X213" s="653"/>
      <c r="Y213" s="653"/>
      <c r="Z213" s="653"/>
      <c r="AA213" s="653"/>
      <c r="AB213" s="653"/>
      <c r="AC213" s="653"/>
      <c r="AD213" s="653"/>
      <c r="AE213" s="653"/>
      <c r="AF213" s="653"/>
      <c r="AG213" s="653"/>
      <c r="AH213" s="653"/>
      <c r="AI213" s="653"/>
      <c r="AJ213" s="653"/>
      <c r="AK213" s="653"/>
      <c r="AL213" s="653"/>
      <c r="AM213" s="653"/>
      <c r="AN213" s="653"/>
      <c r="AO213" s="653"/>
      <c r="AP213" s="653"/>
      <c r="AQ213" s="653"/>
      <c r="AR213" s="653"/>
      <c r="AS213" s="653"/>
      <c r="AT213" s="653"/>
      <c r="AU213" s="653"/>
      <c r="AV213" s="653"/>
      <c r="AW213" s="653"/>
      <c r="AX213" s="653"/>
      <c r="AY213" s="653"/>
      <c r="AZ213" s="653"/>
      <c r="BA213" s="653"/>
      <c r="BB213" s="653"/>
    </row>
    <row r="214" spans="1:54" s="175" customFormat="1" ht="12.75" hidden="1" outlineLevel="1">
      <c r="A214" s="173" t="s">
        <v>381</v>
      </c>
      <c r="B214" s="174"/>
      <c r="C214" s="174" t="s">
        <v>382</v>
      </c>
      <c r="D214" s="174" t="s">
        <v>383</v>
      </c>
      <c r="E214" s="210">
        <v>198</v>
      </c>
      <c r="F214" s="210">
        <v>0</v>
      </c>
      <c r="G214" s="210"/>
      <c r="H214" s="211">
        <v>0</v>
      </c>
      <c r="I214" s="211">
        <v>0</v>
      </c>
      <c r="J214" s="211">
        <v>0</v>
      </c>
      <c r="K214" s="211">
        <v>0</v>
      </c>
      <c r="L214" s="211">
        <v>0</v>
      </c>
      <c r="M214" s="211">
        <v>0</v>
      </c>
      <c r="N214" s="211">
        <v>0</v>
      </c>
      <c r="O214" s="210">
        <v>0</v>
      </c>
      <c r="P214" s="210">
        <v>0</v>
      </c>
      <c r="Q214" s="210">
        <f t="shared" si="6"/>
        <v>198</v>
      </c>
      <c r="R214" s="173"/>
      <c r="T214" s="653"/>
      <c r="U214" s="653"/>
      <c r="V214" s="653"/>
      <c r="W214" s="653"/>
      <c r="X214" s="653"/>
      <c r="Y214" s="653"/>
      <c r="Z214" s="653"/>
      <c r="AA214" s="653"/>
      <c r="AB214" s="653"/>
      <c r="AC214" s="653"/>
      <c r="AD214" s="653"/>
      <c r="AE214" s="653"/>
      <c r="AF214" s="653"/>
      <c r="AG214" s="653"/>
      <c r="AH214" s="653"/>
      <c r="AI214" s="653"/>
      <c r="AJ214" s="653"/>
      <c r="AK214" s="653"/>
      <c r="AL214" s="653"/>
      <c r="AM214" s="653"/>
      <c r="AN214" s="653"/>
      <c r="AO214" s="653"/>
      <c r="AP214" s="653"/>
      <c r="AQ214" s="653"/>
      <c r="AR214" s="653"/>
      <c r="AS214" s="653"/>
      <c r="AT214" s="653"/>
      <c r="AU214" s="653"/>
      <c r="AV214" s="653"/>
      <c r="AW214" s="653"/>
      <c r="AX214" s="653"/>
      <c r="AY214" s="653"/>
      <c r="AZ214" s="653"/>
      <c r="BA214" s="653"/>
      <c r="BB214" s="653"/>
    </row>
    <row r="215" spans="1:54" s="175" customFormat="1" ht="12.75" hidden="1" outlineLevel="1">
      <c r="A215" s="173" t="s">
        <v>384</v>
      </c>
      <c r="B215" s="174"/>
      <c r="C215" s="174" t="s">
        <v>385</v>
      </c>
      <c r="D215" s="174" t="s">
        <v>386</v>
      </c>
      <c r="E215" s="210">
        <v>42747.05</v>
      </c>
      <c r="F215" s="210">
        <v>0</v>
      </c>
      <c r="G215" s="210"/>
      <c r="H215" s="211">
        <v>0</v>
      </c>
      <c r="I215" s="211">
        <v>0</v>
      </c>
      <c r="J215" s="211">
        <v>0</v>
      </c>
      <c r="K215" s="211">
        <v>0</v>
      </c>
      <c r="L215" s="211">
        <v>0</v>
      </c>
      <c r="M215" s="211">
        <v>0</v>
      </c>
      <c r="N215" s="211">
        <v>295</v>
      </c>
      <c r="O215" s="210">
        <v>295</v>
      </c>
      <c r="P215" s="210">
        <v>0</v>
      </c>
      <c r="Q215" s="210">
        <f t="shared" si="6"/>
        <v>43042.05</v>
      </c>
      <c r="R215" s="173"/>
      <c r="T215" s="653"/>
      <c r="U215" s="653"/>
      <c r="V215" s="653"/>
      <c r="W215" s="653"/>
      <c r="X215" s="653"/>
      <c r="Y215" s="653"/>
      <c r="Z215" s="653"/>
      <c r="AA215" s="653"/>
      <c r="AB215" s="653"/>
      <c r="AC215" s="653"/>
      <c r="AD215" s="653"/>
      <c r="AE215" s="653"/>
      <c r="AF215" s="653"/>
      <c r="AG215" s="653"/>
      <c r="AH215" s="653"/>
      <c r="AI215" s="653"/>
      <c r="AJ215" s="653"/>
      <c r="AK215" s="653"/>
      <c r="AL215" s="653"/>
      <c r="AM215" s="653"/>
      <c r="AN215" s="653"/>
      <c r="AO215" s="653"/>
      <c r="AP215" s="653"/>
      <c r="AQ215" s="653"/>
      <c r="AR215" s="653"/>
      <c r="AS215" s="653"/>
      <c r="AT215" s="653"/>
      <c r="AU215" s="653"/>
      <c r="AV215" s="653"/>
      <c r="AW215" s="653"/>
      <c r="AX215" s="653"/>
      <c r="AY215" s="653"/>
      <c r="AZ215" s="653"/>
      <c r="BA215" s="653"/>
      <c r="BB215" s="653"/>
    </row>
    <row r="216" spans="1:54" s="175" customFormat="1" ht="12.75" hidden="1" outlineLevel="1">
      <c r="A216" s="173" t="s">
        <v>387</v>
      </c>
      <c r="B216" s="174"/>
      <c r="C216" s="174" t="s">
        <v>388</v>
      </c>
      <c r="D216" s="174" t="s">
        <v>389</v>
      </c>
      <c r="E216" s="210">
        <v>96693.49</v>
      </c>
      <c r="F216" s="210">
        <v>-134.58</v>
      </c>
      <c r="G216" s="210"/>
      <c r="H216" s="211">
        <v>0</v>
      </c>
      <c r="I216" s="211">
        <v>0</v>
      </c>
      <c r="J216" s="211">
        <v>0</v>
      </c>
      <c r="K216" s="211">
        <v>269.42</v>
      </c>
      <c r="L216" s="211">
        <v>40</v>
      </c>
      <c r="M216" s="211">
        <v>0</v>
      </c>
      <c r="N216" s="211">
        <v>0</v>
      </c>
      <c r="O216" s="210">
        <v>309.42</v>
      </c>
      <c r="P216" s="210">
        <v>0</v>
      </c>
      <c r="Q216" s="210">
        <f t="shared" si="6"/>
        <v>96868.33</v>
      </c>
      <c r="R216" s="173"/>
      <c r="T216" s="653"/>
      <c r="U216" s="653"/>
      <c r="V216" s="653"/>
      <c r="W216" s="653"/>
      <c r="X216" s="653"/>
      <c r="Y216" s="653"/>
      <c r="Z216" s="653"/>
      <c r="AA216" s="653"/>
      <c r="AB216" s="653"/>
      <c r="AC216" s="653"/>
      <c r="AD216" s="653"/>
      <c r="AE216" s="653"/>
      <c r="AF216" s="653"/>
      <c r="AG216" s="653"/>
      <c r="AH216" s="653"/>
      <c r="AI216" s="653"/>
      <c r="AJ216" s="653"/>
      <c r="AK216" s="653"/>
      <c r="AL216" s="653"/>
      <c r="AM216" s="653"/>
      <c r="AN216" s="653"/>
      <c r="AO216" s="653"/>
      <c r="AP216" s="653"/>
      <c r="AQ216" s="653"/>
      <c r="AR216" s="653"/>
      <c r="AS216" s="653"/>
      <c r="AT216" s="653"/>
      <c r="AU216" s="653"/>
      <c r="AV216" s="653"/>
      <c r="AW216" s="653"/>
      <c r="AX216" s="653"/>
      <c r="AY216" s="653"/>
      <c r="AZ216" s="653"/>
      <c r="BA216" s="653"/>
      <c r="BB216" s="653"/>
    </row>
    <row r="217" spans="1:54" s="175" customFormat="1" ht="12.75" hidden="1" outlineLevel="1">
      <c r="A217" s="173" t="s">
        <v>390</v>
      </c>
      <c r="B217" s="174"/>
      <c r="C217" s="174" t="s">
        <v>391</v>
      </c>
      <c r="D217" s="174" t="s">
        <v>392</v>
      </c>
      <c r="E217" s="210">
        <v>33872.53</v>
      </c>
      <c r="F217" s="210">
        <v>0</v>
      </c>
      <c r="G217" s="210"/>
      <c r="H217" s="211">
        <v>0</v>
      </c>
      <c r="I217" s="211">
        <v>0</v>
      </c>
      <c r="J217" s="211">
        <v>0</v>
      </c>
      <c r="K217" s="211">
        <v>0</v>
      </c>
      <c r="L217" s="211">
        <v>0</v>
      </c>
      <c r="M217" s="211">
        <v>0</v>
      </c>
      <c r="N217" s="211">
        <v>0</v>
      </c>
      <c r="O217" s="210">
        <v>0</v>
      </c>
      <c r="P217" s="210">
        <v>0</v>
      </c>
      <c r="Q217" s="210">
        <f t="shared" si="6"/>
        <v>33872.53</v>
      </c>
      <c r="R217" s="173"/>
      <c r="T217" s="653"/>
      <c r="U217" s="653"/>
      <c r="V217" s="653"/>
      <c r="W217" s="653"/>
      <c r="X217" s="653"/>
      <c r="Y217" s="653"/>
      <c r="Z217" s="653"/>
      <c r="AA217" s="653"/>
      <c r="AB217" s="653"/>
      <c r="AC217" s="653"/>
      <c r="AD217" s="653"/>
      <c r="AE217" s="653"/>
      <c r="AF217" s="653"/>
      <c r="AG217" s="653"/>
      <c r="AH217" s="653"/>
      <c r="AI217" s="653"/>
      <c r="AJ217" s="653"/>
      <c r="AK217" s="653"/>
      <c r="AL217" s="653"/>
      <c r="AM217" s="653"/>
      <c r="AN217" s="653"/>
      <c r="AO217" s="653"/>
      <c r="AP217" s="653"/>
      <c r="AQ217" s="653"/>
      <c r="AR217" s="653"/>
      <c r="AS217" s="653"/>
      <c r="AT217" s="653"/>
      <c r="AU217" s="653"/>
      <c r="AV217" s="653"/>
      <c r="AW217" s="653"/>
      <c r="AX217" s="653"/>
      <c r="AY217" s="653"/>
      <c r="AZ217" s="653"/>
      <c r="BA217" s="653"/>
      <c r="BB217" s="653"/>
    </row>
    <row r="218" spans="1:54" s="175" customFormat="1" ht="12.75" hidden="1" outlineLevel="1">
      <c r="A218" s="173" t="s">
        <v>393</v>
      </c>
      <c r="B218" s="174"/>
      <c r="C218" s="174" t="s">
        <v>394</v>
      </c>
      <c r="D218" s="174" t="s">
        <v>395</v>
      </c>
      <c r="E218" s="210">
        <v>127697.56</v>
      </c>
      <c r="F218" s="210">
        <v>648.49</v>
      </c>
      <c r="G218" s="210"/>
      <c r="H218" s="211">
        <v>0</v>
      </c>
      <c r="I218" s="211">
        <v>0</v>
      </c>
      <c r="J218" s="211">
        <v>0</v>
      </c>
      <c r="K218" s="211">
        <v>0</v>
      </c>
      <c r="L218" s="211">
        <v>0</v>
      </c>
      <c r="M218" s="211">
        <v>0</v>
      </c>
      <c r="N218" s="211">
        <v>0</v>
      </c>
      <c r="O218" s="210">
        <v>0</v>
      </c>
      <c r="P218" s="210">
        <v>0</v>
      </c>
      <c r="Q218" s="210">
        <f t="shared" si="6"/>
        <v>128346.05</v>
      </c>
      <c r="R218" s="173"/>
      <c r="T218" s="653"/>
      <c r="U218" s="653"/>
      <c r="V218" s="653"/>
      <c r="W218" s="653"/>
      <c r="X218" s="653"/>
      <c r="Y218" s="653"/>
      <c r="Z218" s="653"/>
      <c r="AA218" s="653"/>
      <c r="AB218" s="653"/>
      <c r="AC218" s="653"/>
      <c r="AD218" s="653"/>
      <c r="AE218" s="653"/>
      <c r="AF218" s="653"/>
      <c r="AG218" s="653"/>
      <c r="AH218" s="653"/>
      <c r="AI218" s="653"/>
      <c r="AJ218" s="653"/>
      <c r="AK218" s="653"/>
      <c r="AL218" s="653"/>
      <c r="AM218" s="653"/>
      <c r="AN218" s="653"/>
      <c r="AO218" s="653"/>
      <c r="AP218" s="653"/>
      <c r="AQ218" s="653"/>
      <c r="AR218" s="653"/>
      <c r="AS218" s="653"/>
      <c r="AT218" s="653"/>
      <c r="AU218" s="653"/>
      <c r="AV218" s="653"/>
      <c r="AW218" s="653"/>
      <c r="AX218" s="653"/>
      <c r="AY218" s="653"/>
      <c r="AZ218" s="653"/>
      <c r="BA218" s="653"/>
      <c r="BB218" s="653"/>
    </row>
    <row r="219" spans="1:54" s="175" customFormat="1" ht="12.75" hidden="1" outlineLevel="1">
      <c r="A219" s="173" t="s">
        <v>396</v>
      </c>
      <c r="B219" s="174"/>
      <c r="C219" s="174" t="s">
        <v>397</v>
      </c>
      <c r="D219" s="174" t="s">
        <v>398</v>
      </c>
      <c r="E219" s="210">
        <v>210317.08</v>
      </c>
      <c r="F219" s="210">
        <v>367</v>
      </c>
      <c r="G219" s="210"/>
      <c r="H219" s="211">
        <v>0</v>
      </c>
      <c r="I219" s="211">
        <v>0</v>
      </c>
      <c r="J219" s="211">
        <v>0</v>
      </c>
      <c r="K219" s="211">
        <v>265</v>
      </c>
      <c r="L219" s="211">
        <v>239</v>
      </c>
      <c r="M219" s="211">
        <v>0</v>
      </c>
      <c r="N219" s="211">
        <v>0</v>
      </c>
      <c r="O219" s="210">
        <v>504</v>
      </c>
      <c r="P219" s="210">
        <v>0</v>
      </c>
      <c r="Q219" s="210">
        <f t="shared" si="6"/>
        <v>211188.08</v>
      </c>
      <c r="R219" s="173"/>
      <c r="T219" s="653"/>
      <c r="U219" s="653"/>
      <c r="V219" s="653"/>
      <c r="W219" s="653"/>
      <c r="X219" s="653"/>
      <c r="Y219" s="653"/>
      <c r="Z219" s="653"/>
      <c r="AA219" s="653"/>
      <c r="AB219" s="653"/>
      <c r="AC219" s="653"/>
      <c r="AD219" s="653"/>
      <c r="AE219" s="653"/>
      <c r="AF219" s="653"/>
      <c r="AG219" s="653"/>
      <c r="AH219" s="653"/>
      <c r="AI219" s="653"/>
      <c r="AJ219" s="653"/>
      <c r="AK219" s="653"/>
      <c r="AL219" s="653"/>
      <c r="AM219" s="653"/>
      <c r="AN219" s="653"/>
      <c r="AO219" s="653"/>
      <c r="AP219" s="653"/>
      <c r="AQ219" s="653"/>
      <c r="AR219" s="653"/>
      <c r="AS219" s="653"/>
      <c r="AT219" s="653"/>
      <c r="AU219" s="653"/>
      <c r="AV219" s="653"/>
      <c r="AW219" s="653"/>
      <c r="AX219" s="653"/>
      <c r="AY219" s="653"/>
      <c r="AZ219" s="653"/>
      <c r="BA219" s="653"/>
      <c r="BB219" s="653"/>
    </row>
    <row r="220" spans="1:54" s="175" customFormat="1" ht="12.75" hidden="1" outlineLevel="1">
      <c r="A220" s="173" t="s">
        <v>399</v>
      </c>
      <c r="B220" s="174"/>
      <c r="C220" s="174" t="s">
        <v>400</v>
      </c>
      <c r="D220" s="174" t="s">
        <v>401</v>
      </c>
      <c r="E220" s="210">
        <v>13596.45</v>
      </c>
      <c r="F220" s="210">
        <v>349.42</v>
      </c>
      <c r="G220" s="210"/>
      <c r="H220" s="211">
        <v>0</v>
      </c>
      <c r="I220" s="211">
        <v>0</v>
      </c>
      <c r="J220" s="211">
        <v>0</v>
      </c>
      <c r="K220" s="211">
        <v>0</v>
      </c>
      <c r="L220" s="211">
        <v>0</v>
      </c>
      <c r="M220" s="211">
        <v>0</v>
      </c>
      <c r="N220" s="211">
        <v>0</v>
      </c>
      <c r="O220" s="210">
        <v>0</v>
      </c>
      <c r="P220" s="210">
        <v>0</v>
      </c>
      <c r="Q220" s="210">
        <f t="shared" si="6"/>
        <v>13945.87</v>
      </c>
      <c r="R220" s="173"/>
      <c r="T220" s="653"/>
      <c r="U220" s="653"/>
      <c r="V220" s="653"/>
      <c r="W220" s="653"/>
      <c r="X220" s="653"/>
      <c r="Y220" s="653"/>
      <c r="Z220" s="653"/>
      <c r="AA220" s="653"/>
      <c r="AB220" s="653"/>
      <c r="AC220" s="653"/>
      <c r="AD220" s="653"/>
      <c r="AE220" s="653"/>
      <c r="AF220" s="653"/>
      <c r="AG220" s="653"/>
      <c r="AH220" s="653"/>
      <c r="AI220" s="653"/>
      <c r="AJ220" s="653"/>
      <c r="AK220" s="653"/>
      <c r="AL220" s="653"/>
      <c r="AM220" s="653"/>
      <c r="AN220" s="653"/>
      <c r="AO220" s="653"/>
      <c r="AP220" s="653"/>
      <c r="AQ220" s="653"/>
      <c r="AR220" s="653"/>
      <c r="AS220" s="653"/>
      <c r="AT220" s="653"/>
      <c r="AU220" s="653"/>
      <c r="AV220" s="653"/>
      <c r="AW220" s="653"/>
      <c r="AX220" s="653"/>
      <c r="AY220" s="653"/>
      <c r="AZ220" s="653"/>
      <c r="BA220" s="653"/>
      <c r="BB220" s="653"/>
    </row>
    <row r="221" spans="1:54" s="175" customFormat="1" ht="12.75" hidden="1" outlineLevel="1">
      <c r="A221" s="173" t="s">
        <v>402</v>
      </c>
      <c r="B221" s="174"/>
      <c r="C221" s="174" t="s">
        <v>403</v>
      </c>
      <c r="D221" s="174" t="s">
        <v>404</v>
      </c>
      <c r="E221" s="210">
        <v>107.2</v>
      </c>
      <c r="F221" s="210">
        <v>5.25</v>
      </c>
      <c r="G221" s="210"/>
      <c r="H221" s="211">
        <v>0</v>
      </c>
      <c r="I221" s="211">
        <v>0</v>
      </c>
      <c r="J221" s="211">
        <v>0</v>
      </c>
      <c r="K221" s="211">
        <v>0</v>
      </c>
      <c r="L221" s="211">
        <v>0</v>
      </c>
      <c r="M221" s="211">
        <v>0</v>
      </c>
      <c r="N221" s="211">
        <v>0</v>
      </c>
      <c r="O221" s="210">
        <v>0</v>
      </c>
      <c r="P221" s="210">
        <v>0</v>
      </c>
      <c r="Q221" s="210">
        <f t="shared" si="6"/>
        <v>112.45</v>
      </c>
      <c r="R221" s="173"/>
      <c r="T221" s="653"/>
      <c r="U221" s="653"/>
      <c r="V221" s="653"/>
      <c r="W221" s="653"/>
      <c r="X221" s="653"/>
      <c r="Y221" s="653"/>
      <c r="Z221" s="653"/>
      <c r="AA221" s="653"/>
      <c r="AB221" s="653"/>
      <c r="AC221" s="653"/>
      <c r="AD221" s="653"/>
      <c r="AE221" s="653"/>
      <c r="AF221" s="653"/>
      <c r="AG221" s="653"/>
      <c r="AH221" s="653"/>
      <c r="AI221" s="653"/>
      <c r="AJ221" s="653"/>
      <c r="AK221" s="653"/>
      <c r="AL221" s="653"/>
      <c r="AM221" s="653"/>
      <c r="AN221" s="653"/>
      <c r="AO221" s="653"/>
      <c r="AP221" s="653"/>
      <c r="AQ221" s="653"/>
      <c r="AR221" s="653"/>
      <c r="AS221" s="653"/>
      <c r="AT221" s="653"/>
      <c r="AU221" s="653"/>
      <c r="AV221" s="653"/>
      <c r="AW221" s="653"/>
      <c r="AX221" s="653"/>
      <c r="AY221" s="653"/>
      <c r="AZ221" s="653"/>
      <c r="BA221" s="653"/>
      <c r="BB221" s="653"/>
    </row>
    <row r="222" spans="1:54" s="175" customFormat="1" ht="12.75" hidden="1" outlineLevel="1">
      <c r="A222" s="173" t="s">
        <v>405</v>
      </c>
      <c r="B222" s="174"/>
      <c r="C222" s="174" t="s">
        <v>406</v>
      </c>
      <c r="D222" s="174" t="s">
        <v>407</v>
      </c>
      <c r="E222" s="210">
        <v>139245.4</v>
      </c>
      <c r="F222" s="210">
        <v>0</v>
      </c>
      <c r="G222" s="210"/>
      <c r="H222" s="211">
        <v>0</v>
      </c>
      <c r="I222" s="211">
        <v>0</v>
      </c>
      <c r="J222" s="211">
        <v>0</v>
      </c>
      <c r="K222" s="211">
        <v>0</v>
      </c>
      <c r="L222" s="211">
        <v>0</v>
      </c>
      <c r="M222" s="211">
        <v>0</v>
      </c>
      <c r="N222" s="211">
        <v>0</v>
      </c>
      <c r="O222" s="210">
        <v>0</v>
      </c>
      <c r="P222" s="210">
        <v>0</v>
      </c>
      <c r="Q222" s="210">
        <f t="shared" si="6"/>
        <v>139245.4</v>
      </c>
      <c r="R222" s="173"/>
      <c r="T222" s="653"/>
      <c r="U222" s="653"/>
      <c r="V222" s="653"/>
      <c r="W222" s="653"/>
      <c r="X222" s="653"/>
      <c r="Y222" s="653"/>
      <c r="Z222" s="653"/>
      <c r="AA222" s="653"/>
      <c r="AB222" s="653"/>
      <c r="AC222" s="653"/>
      <c r="AD222" s="653"/>
      <c r="AE222" s="653"/>
      <c r="AF222" s="653"/>
      <c r="AG222" s="653"/>
      <c r="AH222" s="653"/>
      <c r="AI222" s="653"/>
      <c r="AJ222" s="653"/>
      <c r="AK222" s="653"/>
      <c r="AL222" s="653"/>
      <c r="AM222" s="653"/>
      <c r="AN222" s="653"/>
      <c r="AO222" s="653"/>
      <c r="AP222" s="653"/>
      <c r="AQ222" s="653"/>
      <c r="AR222" s="653"/>
      <c r="AS222" s="653"/>
      <c r="AT222" s="653"/>
      <c r="AU222" s="653"/>
      <c r="AV222" s="653"/>
      <c r="AW222" s="653"/>
      <c r="AX222" s="653"/>
      <c r="AY222" s="653"/>
      <c r="AZ222" s="653"/>
      <c r="BA222" s="653"/>
      <c r="BB222" s="653"/>
    </row>
    <row r="223" spans="1:54" s="175" customFormat="1" ht="12.75" hidden="1" outlineLevel="1">
      <c r="A223" s="173" t="s">
        <v>408</v>
      </c>
      <c r="B223" s="174"/>
      <c r="C223" s="174" t="s">
        <v>409</v>
      </c>
      <c r="D223" s="174" t="s">
        <v>410</v>
      </c>
      <c r="E223" s="210">
        <v>40712.65</v>
      </c>
      <c r="F223" s="210">
        <v>0</v>
      </c>
      <c r="G223" s="210"/>
      <c r="H223" s="211">
        <v>0</v>
      </c>
      <c r="I223" s="211">
        <v>0</v>
      </c>
      <c r="J223" s="211">
        <v>0</v>
      </c>
      <c r="K223" s="211">
        <v>0</v>
      </c>
      <c r="L223" s="211">
        <v>0</v>
      </c>
      <c r="M223" s="211">
        <v>0</v>
      </c>
      <c r="N223" s="211">
        <v>0</v>
      </c>
      <c r="O223" s="210">
        <v>0</v>
      </c>
      <c r="P223" s="210">
        <v>0</v>
      </c>
      <c r="Q223" s="210">
        <f t="shared" si="6"/>
        <v>40712.65</v>
      </c>
      <c r="R223" s="173"/>
      <c r="T223" s="653"/>
      <c r="U223" s="653"/>
      <c r="V223" s="653"/>
      <c r="W223" s="653"/>
      <c r="X223" s="653"/>
      <c r="Y223" s="653"/>
      <c r="Z223" s="653"/>
      <c r="AA223" s="653"/>
      <c r="AB223" s="653"/>
      <c r="AC223" s="653"/>
      <c r="AD223" s="653"/>
      <c r="AE223" s="653"/>
      <c r="AF223" s="653"/>
      <c r="AG223" s="653"/>
      <c r="AH223" s="653"/>
      <c r="AI223" s="653"/>
      <c r="AJ223" s="653"/>
      <c r="AK223" s="653"/>
      <c r="AL223" s="653"/>
      <c r="AM223" s="653"/>
      <c r="AN223" s="653"/>
      <c r="AO223" s="653"/>
      <c r="AP223" s="653"/>
      <c r="AQ223" s="653"/>
      <c r="AR223" s="653"/>
      <c r="AS223" s="653"/>
      <c r="AT223" s="653"/>
      <c r="AU223" s="653"/>
      <c r="AV223" s="653"/>
      <c r="AW223" s="653"/>
      <c r="AX223" s="653"/>
      <c r="AY223" s="653"/>
      <c r="AZ223" s="653"/>
      <c r="BA223" s="653"/>
      <c r="BB223" s="653"/>
    </row>
    <row r="224" spans="1:54" s="175" customFormat="1" ht="12.75" hidden="1" outlineLevel="1">
      <c r="A224" s="173" t="s">
        <v>411</v>
      </c>
      <c r="B224" s="174"/>
      <c r="C224" s="174" t="s">
        <v>412</v>
      </c>
      <c r="D224" s="174" t="s">
        <v>413</v>
      </c>
      <c r="E224" s="210">
        <v>83535.49</v>
      </c>
      <c r="F224" s="210">
        <v>0</v>
      </c>
      <c r="G224" s="210"/>
      <c r="H224" s="211">
        <v>0</v>
      </c>
      <c r="I224" s="211">
        <v>0</v>
      </c>
      <c r="J224" s="211">
        <v>0</v>
      </c>
      <c r="K224" s="211">
        <v>0</v>
      </c>
      <c r="L224" s="211">
        <v>2100</v>
      </c>
      <c r="M224" s="211">
        <v>0</v>
      </c>
      <c r="N224" s="211">
        <v>0</v>
      </c>
      <c r="O224" s="210">
        <v>2100</v>
      </c>
      <c r="P224" s="210">
        <v>0</v>
      </c>
      <c r="Q224" s="210">
        <f t="shared" si="6"/>
        <v>85635.49</v>
      </c>
      <c r="R224" s="173"/>
      <c r="T224" s="653"/>
      <c r="U224" s="653"/>
      <c r="V224" s="653"/>
      <c r="W224" s="653"/>
      <c r="X224" s="653"/>
      <c r="Y224" s="653"/>
      <c r="Z224" s="653"/>
      <c r="AA224" s="653"/>
      <c r="AB224" s="653"/>
      <c r="AC224" s="653"/>
      <c r="AD224" s="653"/>
      <c r="AE224" s="653"/>
      <c r="AF224" s="653"/>
      <c r="AG224" s="653"/>
      <c r="AH224" s="653"/>
      <c r="AI224" s="653"/>
      <c r="AJ224" s="653"/>
      <c r="AK224" s="653"/>
      <c r="AL224" s="653"/>
      <c r="AM224" s="653"/>
      <c r="AN224" s="653"/>
      <c r="AO224" s="653"/>
      <c r="AP224" s="653"/>
      <c r="AQ224" s="653"/>
      <c r="AR224" s="653"/>
      <c r="AS224" s="653"/>
      <c r="AT224" s="653"/>
      <c r="AU224" s="653"/>
      <c r="AV224" s="653"/>
      <c r="AW224" s="653"/>
      <c r="AX224" s="653"/>
      <c r="AY224" s="653"/>
      <c r="AZ224" s="653"/>
      <c r="BA224" s="653"/>
      <c r="BB224" s="653"/>
    </row>
    <row r="225" spans="1:54" s="175" customFormat="1" ht="12.75" hidden="1" outlineLevel="1">
      <c r="A225" s="173" t="s">
        <v>414</v>
      </c>
      <c r="B225" s="174"/>
      <c r="C225" s="174" t="s">
        <v>415</v>
      </c>
      <c r="D225" s="174" t="s">
        <v>416</v>
      </c>
      <c r="E225" s="210">
        <v>519184.59</v>
      </c>
      <c r="F225" s="210">
        <v>5244.59</v>
      </c>
      <c r="G225" s="210"/>
      <c r="H225" s="211">
        <v>0</v>
      </c>
      <c r="I225" s="211">
        <v>0</v>
      </c>
      <c r="J225" s="211">
        <v>0</v>
      </c>
      <c r="K225" s="211">
        <v>-1156</v>
      </c>
      <c r="L225" s="211">
        <v>0</v>
      </c>
      <c r="M225" s="211">
        <v>0</v>
      </c>
      <c r="N225" s="211">
        <v>0</v>
      </c>
      <c r="O225" s="210">
        <v>-1156</v>
      </c>
      <c r="P225" s="210">
        <v>0</v>
      </c>
      <c r="Q225" s="210">
        <f aca="true" t="shared" si="7" ref="Q225:Q288">E225+F225+G225+O225+P225</f>
        <v>523273.18000000005</v>
      </c>
      <c r="R225" s="173"/>
      <c r="T225" s="653"/>
      <c r="U225" s="653"/>
      <c r="V225" s="653"/>
      <c r="W225" s="653"/>
      <c r="X225" s="653"/>
      <c r="Y225" s="653"/>
      <c r="Z225" s="653"/>
      <c r="AA225" s="653"/>
      <c r="AB225" s="653"/>
      <c r="AC225" s="653"/>
      <c r="AD225" s="653"/>
      <c r="AE225" s="653"/>
      <c r="AF225" s="653"/>
      <c r="AG225" s="653"/>
      <c r="AH225" s="653"/>
      <c r="AI225" s="653"/>
      <c r="AJ225" s="653"/>
      <c r="AK225" s="653"/>
      <c r="AL225" s="653"/>
      <c r="AM225" s="653"/>
      <c r="AN225" s="653"/>
      <c r="AO225" s="653"/>
      <c r="AP225" s="653"/>
      <c r="AQ225" s="653"/>
      <c r="AR225" s="653"/>
      <c r="AS225" s="653"/>
      <c r="AT225" s="653"/>
      <c r="AU225" s="653"/>
      <c r="AV225" s="653"/>
      <c r="AW225" s="653"/>
      <c r="AX225" s="653"/>
      <c r="AY225" s="653"/>
      <c r="AZ225" s="653"/>
      <c r="BA225" s="653"/>
      <c r="BB225" s="653"/>
    </row>
    <row r="226" spans="1:54" s="175" customFormat="1" ht="12.75" hidden="1" outlineLevel="1">
      <c r="A226" s="173" t="s">
        <v>417</v>
      </c>
      <c r="B226" s="174"/>
      <c r="C226" s="174" t="s">
        <v>418</v>
      </c>
      <c r="D226" s="174" t="s">
        <v>419</v>
      </c>
      <c r="E226" s="210">
        <v>58747.1</v>
      </c>
      <c r="F226" s="210">
        <v>512.7</v>
      </c>
      <c r="G226" s="210"/>
      <c r="H226" s="211">
        <v>0</v>
      </c>
      <c r="I226" s="211">
        <v>0</v>
      </c>
      <c r="J226" s="211">
        <v>0</v>
      </c>
      <c r="K226" s="211">
        <v>0</v>
      </c>
      <c r="L226" s="211">
        <v>0</v>
      </c>
      <c r="M226" s="211">
        <v>0</v>
      </c>
      <c r="N226" s="211">
        <v>0</v>
      </c>
      <c r="O226" s="210">
        <v>0</v>
      </c>
      <c r="P226" s="210">
        <v>0</v>
      </c>
      <c r="Q226" s="210">
        <f t="shared" si="7"/>
        <v>59259.799999999996</v>
      </c>
      <c r="R226" s="173"/>
      <c r="T226" s="653"/>
      <c r="U226" s="653"/>
      <c r="V226" s="653"/>
      <c r="W226" s="653"/>
      <c r="X226" s="653"/>
      <c r="Y226" s="653"/>
      <c r="Z226" s="653"/>
      <c r="AA226" s="653"/>
      <c r="AB226" s="653"/>
      <c r="AC226" s="653"/>
      <c r="AD226" s="653"/>
      <c r="AE226" s="653"/>
      <c r="AF226" s="653"/>
      <c r="AG226" s="653"/>
      <c r="AH226" s="653"/>
      <c r="AI226" s="653"/>
      <c r="AJ226" s="653"/>
      <c r="AK226" s="653"/>
      <c r="AL226" s="653"/>
      <c r="AM226" s="653"/>
      <c r="AN226" s="653"/>
      <c r="AO226" s="653"/>
      <c r="AP226" s="653"/>
      <c r="AQ226" s="653"/>
      <c r="AR226" s="653"/>
      <c r="AS226" s="653"/>
      <c r="AT226" s="653"/>
      <c r="AU226" s="653"/>
      <c r="AV226" s="653"/>
      <c r="AW226" s="653"/>
      <c r="AX226" s="653"/>
      <c r="AY226" s="653"/>
      <c r="AZ226" s="653"/>
      <c r="BA226" s="653"/>
      <c r="BB226" s="653"/>
    </row>
    <row r="227" spans="1:54" s="175" customFormat="1" ht="12.75" hidden="1" outlineLevel="1">
      <c r="A227" s="173" t="s">
        <v>420</v>
      </c>
      <c r="B227" s="174"/>
      <c r="C227" s="174" t="s">
        <v>421</v>
      </c>
      <c r="D227" s="174" t="s">
        <v>422</v>
      </c>
      <c r="E227" s="210">
        <v>88371.83</v>
      </c>
      <c r="F227" s="210">
        <v>6302.64</v>
      </c>
      <c r="G227" s="210"/>
      <c r="H227" s="211">
        <v>13760.65</v>
      </c>
      <c r="I227" s="211">
        <v>0</v>
      </c>
      <c r="J227" s="211">
        <v>0</v>
      </c>
      <c r="K227" s="211">
        <v>0</v>
      </c>
      <c r="L227" s="211">
        <v>0</v>
      </c>
      <c r="M227" s="211">
        <v>0</v>
      </c>
      <c r="N227" s="211">
        <v>0</v>
      </c>
      <c r="O227" s="210">
        <v>13760.65</v>
      </c>
      <c r="P227" s="210">
        <v>0</v>
      </c>
      <c r="Q227" s="210">
        <f t="shared" si="7"/>
        <v>108435.12</v>
      </c>
      <c r="R227" s="173"/>
      <c r="T227" s="653"/>
      <c r="U227" s="653"/>
      <c r="V227" s="653"/>
      <c r="W227" s="653"/>
      <c r="X227" s="653"/>
      <c r="Y227" s="653"/>
      <c r="Z227" s="653"/>
      <c r="AA227" s="653"/>
      <c r="AB227" s="653"/>
      <c r="AC227" s="653"/>
      <c r="AD227" s="653"/>
      <c r="AE227" s="653"/>
      <c r="AF227" s="653"/>
      <c r="AG227" s="653"/>
      <c r="AH227" s="653"/>
      <c r="AI227" s="653"/>
      <c r="AJ227" s="653"/>
      <c r="AK227" s="653"/>
      <c r="AL227" s="653"/>
      <c r="AM227" s="653"/>
      <c r="AN227" s="653"/>
      <c r="AO227" s="653"/>
      <c r="AP227" s="653"/>
      <c r="AQ227" s="653"/>
      <c r="AR227" s="653"/>
      <c r="AS227" s="653"/>
      <c r="AT227" s="653"/>
      <c r="AU227" s="653"/>
      <c r="AV227" s="653"/>
      <c r="AW227" s="653"/>
      <c r="AX227" s="653"/>
      <c r="AY227" s="653"/>
      <c r="AZ227" s="653"/>
      <c r="BA227" s="653"/>
      <c r="BB227" s="653"/>
    </row>
    <row r="228" spans="1:54" s="175" customFormat="1" ht="12.75" hidden="1" outlineLevel="1">
      <c r="A228" s="173" t="s">
        <v>423</v>
      </c>
      <c r="B228" s="174"/>
      <c r="C228" s="174" t="s">
        <v>424</v>
      </c>
      <c r="D228" s="174" t="s">
        <v>425</v>
      </c>
      <c r="E228" s="210">
        <v>11038.17</v>
      </c>
      <c r="F228" s="210">
        <v>0</v>
      </c>
      <c r="G228" s="210"/>
      <c r="H228" s="211">
        <v>0</v>
      </c>
      <c r="I228" s="211">
        <v>0</v>
      </c>
      <c r="J228" s="211">
        <v>0</v>
      </c>
      <c r="K228" s="211">
        <v>0</v>
      </c>
      <c r="L228" s="211">
        <v>0</v>
      </c>
      <c r="M228" s="211">
        <v>0</v>
      </c>
      <c r="N228" s="211">
        <v>0</v>
      </c>
      <c r="O228" s="210">
        <v>0</v>
      </c>
      <c r="P228" s="210">
        <v>0</v>
      </c>
      <c r="Q228" s="210">
        <f t="shared" si="7"/>
        <v>11038.17</v>
      </c>
      <c r="R228" s="173"/>
      <c r="T228" s="653"/>
      <c r="U228" s="653"/>
      <c r="V228" s="653"/>
      <c r="W228" s="653"/>
      <c r="X228" s="653"/>
      <c r="Y228" s="653"/>
      <c r="Z228" s="653"/>
      <c r="AA228" s="653"/>
      <c r="AB228" s="653"/>
      <c r="AC228" s="653"/>
      <c r="AD228" s="653"/>
      <c r="AE228" s="653"/>
      <c r="AF228" s="653"/>
      <c r="AG228" s="653"/>
      <c r="AH228" s="653"/>
      <c r="AI228" s="653"/>
      <c r="AJ228" s="653"/>
      <c r="AK228" s="653"/>
      <c r="AL228" s="653"/>
      <c r="AM228" s="653"/>
      <c r="AN228" s="653"/>
      <c r="AO228" s="653"/>
      <c r="AP228" s="653"/>
      <c r="AQ228" s="653"/>
      <c r="AR228" s="653"/>
      <c r="AS228" s="653"/>
      <c r="AT228" s="653"/>
      <c r="AU228" s="653"/>
      <c r="AV228" s="653"/>
      <c r="AW228" s="653"/>
      <c r="AX228" s="653"/>
      <c r="AY228" s="653"/>
      <c r="AZ228" s="653"/>
      <c r="BA228" s="653"/>
      <c r="BB228" s="653"/>
    </row>
    <row r="229" spans="1:54" s="175" customFormat="1" ht="12.75" hidden="1" outlineLevel="1">
      <c r="A229" s="173" t="s">
        <v>426</v>
      </c>
      <c r="B229" s="174"/>
      <c r="C229" s="174" t="s">
        <v>427</v>
      </c>
      <c r="D229" s="174" t="s">
        <v>428</v>
      </c>
      <c r="E229" s="210">
        <v>35677.95</v>
      </c>
      <c r="F229" s="210">
        <v>-16929.29</v>
      </c>
      <c r="G229" s="210"/>
      <c r="H229" s="211">
        <v>0</v>
      </c>
      <c r="I229" s="211">
        <v>0</v>
      </c>
      <c r="J229" s="211">
        <v>0</v>
      </c>
      <c r="K229" s="211">
        <v>0</v>
      </c>
      <c r="L229" s="211">
        <v>0</v>
      </c>
      <c r="M229" s="211">
        <v>0</v>
      </c>
      <c r="N229" s="211">
        <v>0</v>
      </c>
      <c r="O229" s="210">
        <v>0</v>
      </c>
      <c r="P229" s="210">
        <v>0</v>
      </c>
      <c r="Q229" s="210">
        <f t="shared" si="7"/>
        <v>18748.659999999996</v>
      </c>
      <c r="R229" s="173"/>
      <c r="T229" s="653"/>
      <c r="U229" s="653"/>
      <c r="V229" s="653"/>
      <c r="W229" s="653"/>
      <c r="X229" s="653"/>
      <c r="Y229" s="653"/>
      <c r="Z229" s="653"/>
      <c r="AA229" s="653"/>
      <c r="AB229" s="653"/>
      <c r="AC229" s="653"/>
      <c r="AD229" s="653"/>
      <c r="AE229" s="653"/>
      <c r="AF229" s="653"/>
      <c r="AG229" s="653"/>
      <c r="AH229" s="653"/>
      <c r="AI229" s="653"/>
      <c r="AJ229" s="653"/>
      <c r="AK229" s="653"/>
      <c r="AL229" s="653"/>
      <c r="AM229" s="653"/>
      <c r="AN229" s="653"/>
      <c r="AO229" s="653"/>
      <c r="AP229" s="653"/>
      <c r="AQ229" s="653"/>
      <c r="AR229" s="653"/>
      <c r="AS229" s="653"/>
      <c r="AT229" s="653"/>
      <c r="AU229" s="653"/>
      <c r="AV229" s="653"/>
      <c r="AW229" s="653"/>
      <c r="AX229" s="653"/>
      <c r="AY229" s="653"/>
      <c r="AZ229" s="653"/>
      <c r="BA229" s="653"/>
      <c r="BB229" s="653"/>
    </row>
    <row r="230" spans="1:54" s="175" customFormat="1" ht="12.75" hidden="1" outlineLevel="1">
      <c r="A230" s="173" t="s">
        <v>429</v>
      </c>
      <c r="B230" s="174"/>
      <c r="C230" s="174" t="s">
        <v>430</v>
      </c>
      <c r="D230" s="174" t="s">
        <v>431</v>
      </c>
      <c r="E230" s="210">
        <v>153694.79</v>
      </c>
      <c r="F230" s="210">
        <v>615.09</v>
      </c>
      <c r="G230" s="210"/>
      <c r="H230" s="211">
        <v>0</v>
      </c>
      <c r="I230" s="211">
        <v>0</v>
      </c>
      <c r="J230" s="211">
        <v>0</v>
      </c>
      <c r="K230" s="211">
        <v>0</v>
      </c>
      <c r="L230" s="211">
        <v>0</v>
      </c>
      <c r="M230" s="211">
        <v>0</v>
      </c>
      <c r="N230" s="211">
        <v>0</v>
      </c>
      <c r="O230" s="210">
        <v>0</v>
      </c>
      <c r="P230" s="210">
        <v>0</v>
      </c>
      <c r="Q230" s="210">
        <f t="shared" si="7"/>
        <v>154309.88</v>
      </c>
      <c r="R230" s="173"/>
      <c r="T230" s="653"/>
      <c r="U230" s="653"/>
      <c r="V230" s="653"/>
      <c r="W230" s="653"/>
      <c r="X230" s="653"/>
      <c r="Y230" s="653"/>
      <c r="Z230" s="653"/>
      <c r="AA230" s="653"/>
      <c r="AB230" s="653"/>
      <c r="AC230" s="653"/>
      <c r="AD230" s="653"/>
      <c r="AE230" s="653"/>
      <c r="AF230" s="653"/>
      <c r="AG230" s="653"/>
      <c r="AH230" s="653"/>
      <c r="AI230" s="653"/>
      <c r="AJ230" s="653"/>
      <c r="AK230" s="653"/>
      <c r="AL230" s="653"/>
      <c r="AM230" s="653"/>
      <c r="AN230" s="653"/>
      <c r="AO230" s="653"/>
      <c r="AP230" s="653"/>
      <c r="AQ230" s="653"/>
      <c r="AR230" s="653"/>
      <c r="AS230" s="653"/>
      <c r="AT230" s="653"/>
      <c r="AU230" s="653"/>
      <c r="AV230" s="653"/>
      <c r="AW230" s="653"/>
      <c r="AX230" s="653"/>
      <c r="AY230" s="653"/>
      <c r="AZ230" s="653"/>
      <c r="BA230" s="653"/>
      <c r="BB230" s="653"/>
    </row>
    <row r="231" spans="1:54" s="175" customFormat="1" ht="12.75" hidden="1" outlineLevel="1">
      <c r="A231" s="173" t="s">
        <v>432</v>
      </c>
      <c r="B231" s="174"/>
      <c r="C231" s="174" t="s">
        <v>433</v>
      </c>
      <c r="D231" s="174" t="s">
        <v>434</v>
      </c>
      <c r="E231" s="210">
        <v>23.85</v>
      </c>
      <c r="F231" s="210">
        <v>0</v>
      </c>
      <c r="G231" s="210"/>
      <c r="H231" s="211">
        <v>0</v>
      </c>
      <c r="I231" s="211">
        <v>0</v>
      </c>
      <c r="J231" s="211">
        <v>0</v>
      </c>
      <c r="K231" s="211">
        <v>0</v>
      </c>
      <c r="L231" s="211">
        <v>0</v>
      </c>
      <c r="M231" s="211">
        <v>0</v>
      </c>
      <c r="N231" s="211">
        <v>0</v>
      </c>
      <c r="O231" s="210">
        <v>0</v>
      </c>
      <c r="P231" s="210">
        <v>0</v>
      </c>
      <c r="Q231" s="210">
        <f t="shared" si="7"/>
        <v>23.85</v>
      </c>
      <c r="R231" s="173"/>
      <c r="T231" s="653"/>
      <c r="U231" s="653"/>
      <c r="V231" s="653"/>
      <c r="W231" s="653"/>
      <c r="X231" s="653"/>
      <c r="Y231" s="653"/>
      <c r="Z231" s="653"/>
      <c r="AA231" s="653"/>
      <c r="AB231" s="653"/>
      <c r="AC231" s="653"/>
      <c r="AD231" s="653"/>
      <c r="AE231" s="653"/>
      <c r="AF231" s="653"/>
      <c r="AG231" s="653"/>
      <c r="AH231" s="653"/>
      <c r="AI231" s="653"/>
      <c r="AJ231" s="653"/>
      <c r="AK231" s="653"/>
      <c r="AL231" s="653"/>
      <c r="AM231" s="653"/>
      <c r="AN231" s="653"/>
      <c r="AO231" s="653"/>
      <c r="AP231" s="653"/>
      <c r="AQ231" s="653"/>
      <c r="AR231" s="653"/>
      <c r="AS231" s="653"/>
      <c r="AT231" s="653"/>
      <c r="AU231" s="653"/>
      <c r="AV231" s="653"/>
      <c r="AW231" s="653"/>
      <c r="AX231" s="653"/>
      <c r="AY231" s="653"/>
      <c r="AZ231" s="653"/>
      <c r="BA231" s="653"/>
      <c r="BB231" s="653"/>
    </row>
    <row r="232" spans="1:54" s="175" customFormat="1" ht="12.75" hidden="1" outlineLevel="1">
      <c r="A232" s="173" t="s">
        <v>435</v>
      </c>
      <c r="B232" s="174"/>
      <c r="C232" s="174" t="s">
        <v>436</v>
      </c>
      <c r="D232" s="174" t="s">
        <v>437</v>
      </c>
      <c r="E232" s="210">
        <v>7265.41</v>
      </c>
      <c r="F232" s="210">
        <v>0</v>
      </c>
      <c r="G232" s="210"/>
      <c r="H232" s="211">
        <v>0</v>
      </c>
      <c r="I232" s="211">
        <v>0</v>
      </c>
      <c r="J232" s="211">
        <v>0</v>
      </c>
      <c r="K232" s="211">
        <v>0</v>
      </c>
      <c r="L232" s="211">
        <v>0</v>
      </c>
      <c r="M232" s="211">
        <v>0</v>
      </c>
      <c r="N232" s="211">
        <v>0</v>
      </c>
      <c r="O232" s="210">
        <v>0</v>
      </c>
      <c r="P232" s="210">
        <v>0</v>
      </c>
      <c r="Q232" s="210">
        <f t="shared" si="7"/>
        <v>7265.41</v>
      </c>
      <c r="R232" s="173"/>
      <c r="T232" s="653"/>
      <c r="U232" s="653"/>
      <c r="V232" s="653"/>
      <c r="W232" s="653"/>
      <c r="X232" s="653"/>
      <c r="Y232" s="653"/>
      <c r="Z232" s="653"/>
      <c r="AA232" s="653"/>
      <c r="AB232" s="653"/>
      <c r="AC232" s="653"/>
      <c r="AD232" s="653"/>
      <c r="AE232" s="653"/>
      <c r="AF232" s="653"/>
      <c r="AG232" s="653"/>
      <c r="AH232" s="653"/>
      <c r="AI232" s="653"/>
      <c r="AJ232" s="653"/>
      <c r="AK232" s="653"/>
      <c r="AL232" s="653"/>
      <c r="AM232" s="653"/>
      <c r="AN232" s="653"/>
      <c r="AO232" s="653"/>
      <c r="AP232" s="653"/>
      <c r="AQ232" s="653"/>
      <c r="AR232" s="653"/>
      <c r="AS232" s="653"/>
      <c r="AT232" s="653"/>
      <c r="AU232" s="653"/>
      <c r="AV232" s="653"/>
      <c r="AW232" s="653"/>
      <c r="AX232" s="653"/>
      <c r="AY232" s="653"/>
      <c r="AZ232" s="653"/>
      <c r="BA232" s="653"/>
      <c r="BB232" s="653"/>
    </row>
    <row r="233" spans="1:54" s="175" customFormat="1" ht="12.75" hidden="1" outlineLevel="1">
      <c r="A233" s="173" t="s">
        <v>438</v>
      </c>
      <c r="B233" s="174"/>
      <c r="C233" s="174" t="s">
        <v>439</v>
      </c>
      <c r="D233" s="174" t="s">
        <v>440</v>
      </c>
      <c r="E233" s="210">
        <v>31.5</v>
      </c>
      <c r="F233" s="210">
        <v>0</v>
      </c>
      <c r="G233" s="210"/>
      <c r="H233" s="211">
        <v>0</v>
      </c>
      <c r="I233" s="211">
        <v>0</v>
      </c>
      <c r="J233" s="211">
        <v>0</v>
      </c>
      <c r="K233" s="211">
        <v>0</v>
      </c>
      <c r="L233" s="211">
        <v>0</v>
      </c>
      <c r="M233" s="211">
        <v>0</v>
      </c>
      <c r="N233" s="211">
        <v>0</v>
      </c>
      <c r="O233" s="210">
        <v>0</v>
      </c>
      <c r="P233" s="210">
        <v>0</v>
      </c>
      <c r="Q233" s="210">
        <f t="shared" si="7"/>
        <v>31.5</v>
      </c>
      <c r="R233" s="173"/>
      <c r="T233" s="653"/>
      <c r="U233" s="653"/>
      <c r="V233" s="653"/>
      <c r="W233" s="653"/>
      <c r="X233" s="653"/>
      <c r="Y233" s="653"/>
      <c r="Z233" s="653"/>
      <c r="AA233" s="653"/>
      <c r="AB233" s="653"/>
      <c r="AC233" s="653"/>
      <c r="AD233" s="653"/>
      <c r="AE233" s="653"/>
      <c r="AF233" s="653"/>
      <c r="AG233" s="653"/>
      <c r="AH233" s="653"/>
      <c r="AI233" s="653"/>
      <c r="AJ233" s="653"/>
      <c r="AK233" s="653"/>
      <c r="AL233" s="653"/>
      <c r="AM233" s="653"/>
      <c r="AN233" s="653"/>
      <c r="AO233" s="653"/>
      <c r="AP233" s="653"/>
      <c r="AQ233" s="653"/>
      <c r="AR233" s="653"/>
      <c r="AS233" s="653"/>
      <c r="AT233" s="653"/>
      <c r="AU233" s="653"/>
      <c r="AV233" s="653"/>
      <c r="AW233" s="653"/>
      <c r="AX233" s="653"/>
      <c r="AY233" s="653"/>
      <c r="AZ233" s="653"/>
      <c r="BA233" s="653"/>
      <c r="BB233" s="653"/>
    </row>
    <row r="234" spans="1:54" s="175" customFormat="1" ht="12.75" hidden="1" outlineLevel="1">
      <c r="A234" s="173" t="s">
        <v>441</v>
      </c>
      <c r="B234" s="174"/>
      <c r="C234" s="174" t="s">
        <v>442</v>
      </c>
      <c r="D234" s="174" t="s">
        <v>443</v>
      </c>
      <c r="E234" s="210">
        <v>0</v>
      </c>
      <c r="F234" s="210">
        <v>0</v>
      </c>
      <c r="G234" s="210"/>
      <c r="H234" s="211">
        <v>0</v>
      </c>
      <c r="I234" s="211">
        <v>1706.98</v>
      </c>
      <c r="J234" s="211">
        <v>0</v>
      </c>
      <c r="K234" s="211">
        <v>0</v>
      </c>
      <c r="L234" s="211">
        <v>0</v>
      </c>
      <c r="M234" s="211">
        <v>0</v>
      </c>
      <c r="N234" s="211">
        <v>0</v>
      </c>
      <c r="O234" s="210">
        <v>1706.98</v>
      </c>
      <c r="P234" s="210">
        <v>0</v>
      </c>
      <c r="Q234" s="210">
        <f t="shared" si="7"/>
        <v>1706.98</v>
      </c>
      <c r="R234" s="173"/>
      <c r="T234" s="653"/>
      <c r="U234" s="653"/>
      <c r="V234" s="653"/>
      <c r="W234" s="653"/>
      <c r="X234" s="653"/>
      <c r="Y234" s="653"/>
      <c r="Z234" s="653"/>
      <c r="AA234" s="653"/>
      <c r="AB234" s="653"/>
      <c r="AC234" s="653"/>
      <c r="AD234" s="653"/>
      <c r="AE234" s="653"/>
      <c r="AF234" s="653"/>
      <c r="AG234" s="653"/>
      <c r="AH234" s="653"/>
      <c r="AI234" s="653"/>
      <c r="AJ234" s="653"/>
      <c r="AK234" s="653"/>
      <c r="AL234" s="653"/>
      <c r="AM234" s="653"/>
      <c r="AN234" s="653"/>
      <c r="AO234" s="653"/>
      <c r="AP234" s="653"/>
      <c r="AQ234" s="653"/>
      <c r="AR234" s="653"/>
      <c r="AS234" s="653"/>
      <c r="AT234" s="653"/>
      <c r="AU234" s="653"/>
      <c r="AV234" s="653"/>
      <c r="AW234" s="653"/>
      <c r="AX234" s="653"/>
      <c r="AY234" s="653"/>
      <c r="AZ234" s="653"/>
      <c r="BA234" s="653"/>
      <c r="BB234" s="653"/>
    </row>
    <row r="235" spans="1:54" s="175" customFormat="1" ht="12.75" hidden="1" outlineLevel="1">
      <c r="A235" s="173" t="s">
        <v>444</v>
      </c>
      <c r="B235" s="174"/>
      <c r="C235" s="174" t="s">
        <v>445</v>
      </c>
      <c r="D235" s="174" t="s">
        <v>446</v>
      </c>
      <c r="E235" s="210">
        <v>30211.32</v>
      </c>
      <c r="F235" s="210">
        <v>0</v>
      </c>
      <c r="G235" s="210"/>
      <c r="H235" s="211">
        <v>0</v>
      </c>
      <c r="I235" s="211">
        <v>0</v>
      </c>
      <c r="J235" s="211">
        <v>0</v>
      </c>
      <c r="K235" s="211">
        <v>0</v>
      </c>
      <c r="L235" s="211">
        <v>0</v>
      </c>
      <c r="M235" s="211">
        <v>0</v>
      </c>
      <c r="N235" s="211">
        <v>0</v>
      </c>
      <c r="O235" s="210">
        <v>0</v>
      </c>
      <c r="P235" s="210">
        <v>0</v>
      </c>
      <c r="Q235" s="210">
        <f t="shared" si="7"/>
        <v>30211.32</v>
      </c>
      <c r="R235" s="173"/>
      <c r="T235" s="653"/>
      <c r="U235" s="653"/>
      <c r="V235" s="653"/>
      <c r="W235" s="653"/>
      <c r="X235" s="653"/>
      <c r="Y235" s="653"/>
      <c r="Z235" s="653"/>
      <c r="AA235" s="653"/>
      <c r="AB235" s="653"/>
      <c r="AC235" s="653"/>
      <c r="AD235" s="653"/>
      <c r="AE235" s="653"/>
      <c r="AF235" s="653"/>
      <c r="AG235" s="653"/>
      <c r="AH235" s="653"/>
      <c r="AI235" s="653"/>
      <c r="AJ235" s="653"/>
      <c r="AK235" s="653"/>
      <c r="AL235" s="653"/>
      <c r="AM235" s="653"/>
      <c r="AN235" s="653"/>
      <c r="AO235" s="653"/>
      <c r="AP235" s="653"/>
      <c r="AQ235" s="653"/>
      <c r="AR235" s="653"/>
      <c r="AS235" s="653"/>
      <c r="AT235" s="653"/>
      <c r="AU235" s="653"/>
      <c r="AV235" s="653"/>
      <c r="AW235" s="653"/>
      <c r="AX235" s="653"/>
      <c r="AY235" s="653"/>
      <c r="AZ235" s="653"/>
      <c r="BA235" s="653"/>
      <c r="BB235" s="653"/>
    </row>
    <row r="236" spans="1:54" s="175" customFormat="1" ht="12.75" hidden="1" outlineLevel="1">
      <c r="A236" s="173" t="s">
        <v>447</v>
      </c>
      <c r="B236" s="174"/>
      <c r="C236" s="174" t="s">
        <v>448</v>
      </c>
      <c r="D236" s="174" t="s">
        <v>449</v>
      </c>
      <c r="E236" s="210">
        <v>1847.5</v>
      </c>
      <c r="F236" s="210">
        <v>0</v>
      </c>
      <c r="G236" s="210"/>
      <c r="H236" s="211">
        <v>0</v>
      </c>
      <c r="I236" s="211">
        <v>0</v>
      </c>
      <c r="J236" s="211">
        <v>0</v>
      </c>
      <c r="K236" s="211">
        <v>0</v>
      </c>
      <c r="L236" s="211">
        <v>0</v>
      </c>
      <c r="M236" s="211">
        <v>0</v>
      </c>
      <c r="N236" s="211">
        <v>0</v>
      </c>
      <c r="O236" s="210">
        <v>0</v>
      </c>
      <c r="P236" s="210">
        <v>0</v>
      </c>
      <c r="Q236" s="210">
        <f t="shared" si="7"/>
        <v>1847.5</v>
      </c>
      <c r="R236" s="173"/>
      <c r="T236" s="653"/>
      <c r="U236" s="653"/>
      <c r="V236" s="653"/>
      <c r="W236" s="653"/>
      <c r="X236" s="653"/>
      <c r="Y236" s="653"/>
      <c r="Z236" s="653"/>
      <c r="AA236" s="653"/>
      <c r="AB236" s="653"/>
      <c r="AC236" s="653"/>
      <c r="AD236" s="653"/>
      <c r="AE236" s="653"/>
      <c r="AF236" s="653"/>
      <c r="AG236" s="653"/>
      <c r="AH236" s="653"/>
      <c r="AI236" s="653"/>
      <c r="AJ236" s="653"/>
      <c r="AK236" s="653"/>
      <c r="AL236" s="653"/>
      <c r="AM236" s="653"/>
      <c r="AN236" s="653"/>
      <c r="AO236" s="653"/>
      <c r="AP236" s="653"/>
      <c r="AQ236" s="653"/>
      <c r="AR236" s="653"/>
      <c r="AS236" s="653"/>
      <c r="AT236" s="653"/>
      <c r="AU236" s="653"/>
      <c r="AV236" s="653"/>
      <c r="AW236" s="653"/>
      <c r="AX236" s="653"/>
      <c r="AY236" s="653"/>
      <c r="AZ236" s="653"/>
      <c r="BA236" s="653"/>
      <c r="BB236" s="653"/>
    </row>
    <row r="237" spans="1:54" s="175" customFormat="1" ht="12.75" hidden="1" outlineLevel="1">
      <c r="A237" s="173" t="s">
        <v>450</v>
      </c>
      <c r="B237" s="174"/>
      <c r="C237" s="174" t="s">
        <v>451</v>
      </c>
      <c r="D237" s="174" t="s">
        <v>452</v>
      </c>
      <c r="E237" s="210">
        <v>485333.98</v>
      </c>
      <c r="F237" s="210">
        <v>12803.13</v>
      </c>
      <c r="G237" s="210"/>
      <c r="H237" s="211">
        <v>1869768.81</v>
      </c>
      <c r="I237" s="211">
        <v>0</v>
      </c>
      <c r="J237" s="211">
        <v>0</v>
      </c>
      <c r="K237" s="211">
        <v>0</v>
      </c>
      <c r="L237" s="211">
        <v>60.5</v>
      </c>
      <c r="M237" s="211">
        <v>0</v>
      </c>
      <c r="N237" s="211">
        <v>0</v>
      </c>
      <c r="O237" s="210">
        <v>1869829.31</v>
      </c>
      <c r="P237" s="210">
        <v>0</v>
      </c>
      <c r="Q237" s="210">
        <f t="shared" si="7"/>
        <v>2367966.42</v>
      </c>
      <c r="R237" s="173"/>
      <c r="T237" s="653"/>
      <c r="U237" s="653"/>
      <c r="V237" s="653"/>
      <c r="W237" s="653"/>
      <c r="X237" s="653"/>
      <c r="Y237" s="653"/>
      <c r="Z237" s="653"/>
      <c r="AA237" s="653"/>
      <c r="AB237" s="653"/>
      <c r="AC237" s="653"/>
      <c r="AD237" s="653"/>
      <c r="AE237" s="653"/>
      <c r="AF237" s="653"/>
      <c r="AG237" s="653"/>
      <c r="AH237" s="653"/>
      <c r="AI237" s="653"/>
      <c r="AJ237" s="653"/>
      <c r="AK237" s="653"/>
      <c r="AL237" s="653"/>
      <c r="AM237" s="653"/>
      <c r="AN237" s="653"/>
      <c r="AO237" s="653"/>
      <c r="AP237" s="653"/>
      <c r="AQ237" s="653"/>
      <c r="AR237" s="653"/>
      <c r="AS237" s="653"/>
      <c r="AT237" s="653"/>
      <c r="AU237" s="653"/>
      <c r="AV237" s="653"/>
      <c r="AW237" s="653"/>
      <c r="AX237" s="653"/>
      <c r="AY237" s="653"/>
      <c r="AZ237" s="653"/>
      <c r="BA237" s="653"/>
      <c r="BB237" s="653"/>
    </row>
    <row r="238" spans="1:54" s="175" customFormat="1" ht="12.75" hidden="1" outlineLevel="1">
      <c r="A238" s="173" t="s">
        <v>453</v>
      </c>
      <c r="B238" s="174"/>
      <c r="C238" s="174" t="s">
        <v>454</v>
      </c>
      <c r="D238" s="174" t="s">
        <v>455</v>
      </c>
      <c r="E238" s="210">
        <v>14113</v>
      </c>
      <c r="F238" s="210">
        <v>0</v>
      </c>
      <c r="G238" s="210"/>
      <c r="H238" s="211">
        <v>0</v>
      </c>
      <c r="I238" s="211">
        <v>0</v>
      </c>
      <c r="J238" s="211">
        <v>0</v>
      </c>
      <c r="K238" s="211">
        <v>1500</v>
      </c>
      <c r="L238" s="211">
        <v>0</v>
      </c>
      <c r="M238" s="211">
        <v>0</v>
      </c>
      <c r="N238" s="211">
        <v>0</v>
      </c>
      <c r="O238" s="210">
        <v>1500</v>
      </c>
      <c r="P238" s="210">
        <v>0</v>
      </c>
      <c r="Q238" s="210">
        <f t="shared" si="7"/>
        <v>15613</v>
      </c>
      <c r="R238" s="173"/>
      <c r="T238" s="653"/>
      <c r="U238" s="653"/>
      <c r="V238" s="653"/>
      <c r="W238" s="653"/>
      <c r="X238" s="653"/>
      <c r="Y238" s="653"/>
      <c r="Z238" s="653"/>
      <c r="AA238" s="653"/>
      <c r="AB238" s="653"/>
      <c r="AC238" s="653"/>
      <c r="AD238" s="653"/>
      <c r="AE238" s="653"/>
      <c r="AF238" s="653"/>
      <c r="AG238" s="653"/>
      <c r="AH238" s="653"/>
      <c r="AI238" s="653"/>
      <c r="AJ238" s="653"/>
      <c r="AK238" s="653"/>
      <c r="AL238" s="653"/>
      <c r="AM238" s="653"/>
      <c r="AN238" s="653"/>
      <c r="AO238" s="653"/>
      <c r="AP238" s="653"/>
      <c r="AQ238" s="653"/>
      <c r="AR238" s="653"/>
      <c r="AS238" s="653"/>
      <c r="AT238" s="653"/>
      <c r="AU238" s="653"/>
      <c r="AV238" s="653"/>
      <c r="AW238" s="653"/>
      <c r="AX238" s="653"/>
      <c r="AY238" s="653"/>
      <c r="AZ238" s="653"/>
      <c r="BA238" s="653"/>
      <c r="BB238" s="653"/>
    </row>
    <row r="239" spans="1:54" s="175" customFormat="1" ht="12.75" hidden="1" outlineLevel="1">
      <c r="A239" s="173" t="s">
        <v>456</v>
      </c>
      <c r="B239" s="174"/>
      <c r="C239" s="174" t="s">
        <v>457</v>
      </c>
      <c r="D239" s="174" t="s">
        <v>458</v>
      </c>
      <c r="E239" s="210">
        <v>360</v>
      </c>
      <c r="F239" s="210">
        <v>0</v>
      </c>
      <c r="G239" s="210"/>
      <c r="H239" s="211">
        <v>0</v>
      </c>
      <c r="I239" s="211">
        <v>0</v>
      </c>
      <c r="J239" s="211">
        <v>0</v>
      </c>
      <c r="K239" s="211">
        <v>0</v>
      </c>
      <c r="L239" s="211">
        <v>0</v>
      </c>
      <c r="M239" s="211">
        <v>0</v>
      </c>
      <c r="N239" s="211">
        <v>0</v>
      </c>
      <c r="O239" s="210">
        <v>0</v>
      </c>
      <c r="P239" s="210">
        <v>0</v>
      </c>
      <c r="Q239" s="210">
        <f t="shared" si="7"/>
        <v>360</v>
      </c>
      <c r="R239" s="173"/>
      <c r="T239" s="653"/>
      <c r="U239" s="653"/>
      <c r="V239" s="653"/>
      <c r="W239" s="653"/>
      <c r="X239" s="653"/>
      <c r="Y239" s="653"/>
      <c r="Z239" s="653"/>
      <c r="AA239" s="653"/>
      <c r="AB239" s="653"/>
      <c r="AC239" s="653"/>
      <c r="AD239" s="653"/>
      <c r="AE239" s="653"/>
      <c r="AF239" s="653"/>
      <c r="AG239" s="653"/>
      <c r="AH239" s="653"/>
      <c r="AI239" s="653"/>
      <c r="AJ239" s="653"/>
      <c r="AK239" s="653"/>
      <c r="AL239" s="653"/>
      <c r="AM239" s="653"/>
      <c r="AN239" s="653"/>
      <c r="AO239" s="653"/>
      <c r="AP239" s="653"/>
      <c r="AQ239" s="653"/>
      <c r="AR239" s="653"/>
      <c r="AS239" s="653"/>
      <c r="AT239" s="653"/>
      <c r="AU239" s="653"/>
      <c r="AV239" s="653"/>
      <c r="AW239" s="653"/>
      <c r="AX239" s="653"/>
      <c r="AY239" s="653"/>
      <c r="AZ239" s="653"/>
      <c r="BA239" s="653"/>
      <c r="BB239" s="653"/>
    </row>
    <row r="240" spans="1:54" s="175" customFormat="1" ht="12.75" hidden="1" outlineLevel="1">
      <c r="A240" s="173" t="s">
        <v>459</v>
      </c>
      <c r="B240" s="174"/>
      <c r="C240" s="174" t="s">
        <v>460</v>
      </c>
      <c r="D240" s="174" t="s">
        <v>461</v>
      </c>
      <c r="E240" s="210">
        <v>1128.36</v>
      </c>
      <c r="F240" s="210">
        <v>0</v>
      </c>
      <c r="G240" s="210"/>
      <c r="H240" s="211">
        <v>0</v>
      </c>
      <c r="I240" s="211">
        <v>0</v>
      </c>
      <c r="J240" s="211">
        <v>0</v>
      </c>
      <c r="K240" s="211">
        <v>0</v>
      </c>
      <c r="L240" s="211">
        <v>0</v>
      </c>
      <c r="M240" s="211">
        <v>0</v>
      </c>
      <c r="N240" s="211">
        <v>0</v>
      </c>
      <c r="O240" s="210">
        <v>0</v>
      </c>
      <c r="P240" s="210">
        <v>0</v>
      </c>
      <c r="Q240" s="210">
        <f t="shared" si="7"/>
        <v>1128.36</v>
      </c>
      <c r="R240" s="173"/>
      <c r="T240" s="653"/>
      <c r="U240" s="653"/>
      <c r="V240" s="653"/>
      <c r="W240" s="653"/>
      <c r="X240" s="653"/>
      <c r="Y240" s="653"/>
      <c r="Z240" s="653"/>
      <c r="AA240" s="653"/>
      <c r="AB240" s="653"/>
      <c r="AC240" s="653"/>
      <c r="AD240" s="653"/>
      <c r="AE240" s="653"/>
      <c r="AF240" s="653"/>
      <c r="AG240" s="653"/>
      <c r="AH240" s="653"/>
      <c r="AI240" s="653"/>
      <c r="AJ240" s="653"/>
      <c r="AK240" s="653"/>
      <c r="AL240" s="653"/>
      <c r="AM240" s="653"/>
      <c r="AN240" s="653"/>
      <c r="AO240" s="653"/>
      <c r="AP240" s="653"/>
      <c r="AQ240" s="653"/>
      <c r="AR240" s="653"/>
      <c r="AS240" s="653"/>
      <c r="AT240" s="653"/>
      <c r="AU240" s="653"/>
      <c r="AV240" s="653"/>
      <c r="AW240" s="653"/>
      <c r="AX240" s="653"/>
      <c r="AY240" s="653"/>
      <c r="AZ240" s="653"/>
      <c r="BA240" s="653"/>
      <c r="BB240" s="653"/>
    </row>
    <row r="241" spans="1:54" s="175" customFormat="1" ht="12.75" hidden="1" outlineLevel="1">
      <c r="A241" s="173" t="s">
        <v>462</v>
      </c>
      <c r="B241" s="174"/>
      <c r="C241" s="174" t="s">
        <v>463</v>
      </c>
      <c r="D241" s="174" t="s">
        <v>464</v>
      </c>
      <c r="E241" s="210">
        <v>719.52</v>
      </c>
      <c r="F241" s="210">
        <v>0</v>
      </c>
      <c r="G241" s="210"/>
      <c r="H241" s="211">
        <v>0</v>
      </c>
      <c r="I241" s="211">
        <v>0</v>
      </c>
      <c r="J241" s="211">
        <v>0</v>
      </c>
      <c r="K241" s="211">
        <v>0</v>
      </c>
      <c r="L241" s="211">
        <v>0</v>
      </c>
      <c r="M241" s="211">
        <v>0</v>
      </c>
      <c r="N241" s="211">
        <v>0</v>
      </c>
      <c r="O241" s="210">
        <v>0</v>
      </c>
      <c r="P241" s="210">
        <v>0</v>
      </c>
      <c r="Q241" s="210">
        <f t="shared" si="7"/>
        <v>719.52</v>
      </c>
      <c r="R241" s="173"/>
      <c r="T241" s="653"/>
      <c r="U241" s="653"/>
      <c r="V241" s="653"/>
      <c r="W241" s="653"/>
      <c r="X241" s="653"/>
      <c r="Y241" s="653"/>
      <c r="Z241" s="653"/>
      <c r="AA241" s="653"/>
      <c r="AB241" s="653"/>
      <c r="AC241" s="653"/>
      <c r="AD241" s="653"/>
      <c r="AE241" s="653"/>
      <c r="AF241" s="653"/>
      <c r="AG241" s="653"/>
      <c r="AH241" s="653"/>
      <c r="AI241" s="653"/>
      <c r="AJ241" s="653"/>
      <c r="AK241" s="653"/>
      <c r="AL241" s="653"/>
      <c r="AM241" s="653"/>
      <c r="AN241" s="653"/>
      <c r="AO241" s="653"/>
      <c r="AP241" s="653"/>
      <c r="AQ241" s="653"/>
      <c r="AR241" s="653"/>
      <c r="AS241" s="653"/>
      <c r="AT241" s="653"/>
      <c r="AU241" s="653"/>
      <c r="AV241" s="653"/>
      <c r="AW241" s="653"/>
      <c r="AX241" s="653"/>
      <c r="AY241" s="653"/>
      <c r="AZ241" s="653"/>
      <c r="BA241" s="653"/>
      <c r="BB241" s="653"/>
    </row>
    <row r="242" spans="1:54" s="175" customFormat="1" ht="12.75" hidden="1" outlineLevel="1">
      <c r="A242" s="173" t="s">
        <v>465</v>
      </c>
      <c r="B242" s="174"/>
      <c r="C242" s="174" t="s">
        <v>466</v>
      </c>
      <c r="D242" s="174" t="s">
        <v>467</v>
      </c>
      <c r="E242" s="210">
        <v>0</v>
      </c>
      <c r="F242" s="210">
        <v>3991.56</v>
      </c>
      <c r="G242" s="210"/>
      <c r="H242" s="211">
        <v>0</v>
      </c>
      <c r="I242" s="211">
        <v>0</v>
      </c>
      <c r="J242" s="211">
        <v>0</v>
      </c>
      <c r="K242" s="211">
        <v>0</v>
      </c>
      <c r="L242" s="211">
        <v>0</v>
      </c>
      <c r="M242" s="211">
        <v>0</v>
      </c>
      <c r="N242" s="211">
        <v>0</v>
      </c>
      <c r="O242" s="210">
        <v>0</v>
      </c>
      <c r="P242" s="210">
        <v>0</v>
      </c>
      <c r="Q242" s="210">
        <f t="shared" si="7"/>
        <v>3991.56</v>
      </c>
      <c r="R242" s="173"/>
      <c r="T242" s="653"/>
      <c r="U242" s="653"/>
      <c r="V242" s="653"/>
      <c r="W242" s="653"/>
      <c r="X242" s="653"/>
      <c r="Y242" s="653"/>
      <c r="Z242" s="653"/>
      <c r="AA242" s="653"/>
      <c r="AB242" s="653"/>
      <c r="AC242" s="653"/>
      <c r="AD242" s="653"/>
      <c r="AE242" s="653"/>
      <c r="AF242" s="653"/>
      <c r="AG242" s="653"/>
      <c r="AH242" s="653"/>
      <c r="AI242" s="653"/>
      <c r="AJ242" s="653"/>
      <c r="AK242" s="653"/>
      <c r="AL242" s="653"/>
      <c r="AM242" s="653"/>
      <c r="AN242" s="653"/>
      <c r="AO242" s="653"/>
      <c r="AP242" s="653"/>
      <c r="AQ242" s="653"/>
      <c r="AR242" s="653"/>
      <c r="AS242" s="653"/>
      <c r="AT242" s="653"/>
      <c r="AU242" s="653"/>
      <c r="AV242" s="653"/>
      <c r="AW242" s="653"/>
      <c r="AX242" s="653"/>
      <c r="AY242" s="653"/>
      <c r="AZ242" s="653"/>
      <c r="BA242" s="653"/>
      <c r="BB242" s="653"/>
    </row>
    <row r="243" spans="1:54" s="175" customFormat="1" ht="12.75" hidden="1" outlineLevel="1">
      <c r="A243" s="173" t="s">
        <v>468</v>
      </c>
      <c r="B243" s="174"/>
      <c r="C243" s="174" t="s">
        <v>469</v>
      </c>
      <c r="D243" s="174" t="s">
        <v>470</v>
      </c>
      <c r="E243" s="210">
        <v>25510.65</v>
      </c>
      <c r="F243" s="210">
        <v>0</v>
      </c>
      <c r="G243" s="210"/>
      <c r="H243" s="211">
        <v>0</v>
      </c>
      <c r="I243" s="211">
        <v>0</v>
      </c>
      <c r="J243" s="211">
        <v>0</v>
      </c>
      <c r="K243" s="211">
        <v>716</v>
      </c>
      <c r="L243" s="211">
        <v>0</v>
      </c>
      <c r="M243" s="211">
        <v>0</v>
      </c>
      <c r="N243" s="211">
        <v>0</v>
      </c>
      <c r="O243" s="210">
        <v>716</v>
      </c>
      <c r="P243" s="210">
        <v>0</v>
      </c>
      <c r="Q243" s="210">
        <f t="shared" si="7"/>
        <v>26226.65</v>
      </c>
      <c r="R243" s="173"/>
      <c r="T243" s="653"/>
      <c r="U243" s="653"/>
      <c r="V243" s="653"/>
      <c r="W243" s="653"/>
      <c r="X243" s="653"/>
      <c r="Y243" s="653"/>
      <c r="Z243" s="653"/>
      <c r="AA243" s="653"/>
      <c r="AB243" s="653"/>
      <c r="AC243" s="653"/>
      <c r="AD243" s="653"/>
      <c r="AE243" s="653"/>
      <c r="AF243" s="653"/>
      <c r="AG243" s="653"/>
      <c r="AH243" s="653"/>
      <c r="AI243" s="653"/>
      <c r="AJ243" s="653"/>
      <c r="AK243" s="653"/>
      <c r="AL243" s="653"/>
      <c r="AM243" s="653"/>
      <c r="AN243" s="653"/>
      <c r="AO243" s="653"/>
      <c r="AP243" s="653"/>
      <c r="AQ243" s="653"/>
      <c r="AR243" s="653"/>
      <c r="AS243" s="653"/>
      <c r="AT243" s="653"/>
      <c r="AU243" s="653"/>
      <c r="AV243" s="653"/>
      <c r="AW243" s="653"/>
      <c r="AX243" s="653"/>
      <c r="AY243" s="653"/>
      <c r="AZ243" s="653"/>
      <c r="BA243" s="653"/>
      <c r="BB243" s="653"/>
    </row>
    <row r="244" spans="1:54" s="175" customFormat="1" ht="12.75" hidden="1" outlineLevel="1">
      <c r="A244" s="173" t="s">
        <v>471</v>
      </c>
      <c r="B244" s="174"/>
      <c r="C244" s="174" t="s">
        <v>472</v>
      </c>
      <c r="D244" s="174" t="s">
        <v>473</v>
      </c>
      <c r="E244" s="210">
        <v>103633.24</v>
      </c>
      <c r="F244" s="210">
        <v>0</v>
      </c>
      <c r="G244" s="210"/>
      <c r="H244" s="211">
        <v>0</v>
      </c>
      <c r="I244" s="211">
        <v>0</v>
      </c>
      <c r="J244" s="211">
        <v>0</v>
      </c>
      <c r="K244" s="211">
        <v>0</v>
      </c>
      <c r="L244" s="211">
        <v>0</v>
      </c>
      <c r="M244" s="211">
        <v>0</v>
      </c>
      <c r="N244" s="211">
        <v>3146.81</v>
      </c>
      <c r="O244" s="210">
        <v>3146.81</v>
      </c>
      <c r="P244" s="210">
        <v>0</v>
      </c>
      <c r="Q244" s="210">
        <f t="shared" si="7"/>
        <v>106780.05</v>
      </c>
      <c r="R244" s="173"/>
      <c r="T244" s="653"/>
      <c r="U244" s="653"/>
      <c r="V244" s="653"/>
      <c r="W244" s="653"/>
      <c r="X244" s="653"/>
      <c r="Y244" s="653"/>
      <c r="Z244" s="653"/>
      <c r="AA244" s="653"/>
      <c r="AB244" s="653"/>
      <c r="AC244" s="653"/>
      <c r="AD244" s="653"/>
      <c r="AE244" s="653"/>
      <c r="AF244" s="653"/>
      <c r="AG244" s="653"/>
      <c r="AH244" s="653"/>
      <c r="AI244" s="653"/>
      <c r="AJ244" s="653"/>
      <c r="AK244" s="653"/>
      <c r="AL244" s="653"/>
      <c r="AM244" s="653"/>
      <c r="AN244" s="653"/>
      <c r="AO244" s="653"/>
      <c r="AP244" s="653"/>
      <c r="AQ244" s="653"/>
      <c r="AR244" s="653"/>
      <c r="AS244" s="653"/>
      <c r="AT244" s="653"/>
      <c r="AU244" s="653"/>
      <c r="AV244" s="653"/>
      <c r="AW244" s="653"/>
      <c r="AX244" s="653"/>
      <c r="AY244" s="653"/>
      <c r="AZ244" s="653"/>
      <c r="BA244" s="653"/>
      <c r="BB244" s="653"/>
    </row>
    <row r="245" spans="1:54" s="175" customFormat="1" ht="12.75" hidden="1" outlineLevel="1">
      <c r="A245" s="173" t="s">
        <v>474</v>
      </c>
      <c r="B245" s="174"/>
      <c r="C245" s="174" t="s">
        <v>475</v>
      </c>
      <c r="D245" s="174" t="s">
        <v>476</v>
      </c>
      <c r="E245" s="210">
        <v>1018.46</v>
      </c>
      <c r="F245" s="210">
        <v>164.66</v>
      </c>
      <c r="G245" s="210"/>
      <c r="H245" s="211">
        <v>0</v>
      </c>
      <c r="I245" s="211">
        <v>0</v>
      </c>
      <c r="J245" s="211">
        <v>0</v>
      </c>
      <c r="K245" s="211">
        <v>0</v>
      </c>
      <c r="L245" s="211">
        <v>0</v>
      </c>
      <c r="M245" s="211">
        <v>0</v>
      </c>
      <c r="N245" s="211">
        <v>0</v>
      </c>
      <c r="O245" s="210">
        <v>0</v>
      </c>
      <c r="P245" s="210">
        <v>0</v>
      </c>
      <c r="Q245" s="210">
        <f t="shared" si="7"/>
        <v>1183.1200000000001</v>
      </c>
      <c r="R245" s="173"/>
      <c r="T245" s="653"/>
      <c r="U245" s="653"/>
      <c r="V245" s="653"/>
      <c r="W245" s="653"/>
      <c r="X245" s="653"/>
      <c r="Y245" s="653"/>
      <c r="Z245" s="653"/>
      <c r="AA245" s="653"/>
      <c r="AB245" s="653"/>
      <c r="AC245" s="653"/>
      <c r="AD245" s="653"/>
      <c r="AE245" s="653"/>
      <c r="AF245" s="653"/>
      <c r="AG245" s="653"/>
      <c r="AH245" s="653"/>
      <c r="AI245" s="653"/>
      <c r="AJ245" s="653"/>
      <c r="AK245" s="653"/>
      <c r="AL245" s="653"/>
      <c r="AM245" s="653"/>
      <c r="AN245" s="653"/>
      <c r="AO245" s="653"/>
      <c r="AP245" s="653"/>
      <c r="AQ245" s="653"/>
      <c r="AR245" s="653"/>
      <c r="AS245" s="653"/>
      <c r="AT245" s="653"/>
      <c r="AU245" s="653"/>
      <c r="AV245" s="653"/>
      <c r="AW245" s="653"/>
      <c r="AX245" s="653"/>
      <c r="AY245" s="653"/>
      <c r="AZ245" s="653"/>
      <c r="BA245" s="653"/>
      <c r="BB245" s="653"/>
    </row>
    <row r="246" spans="1:54" s="175" customFormat="1" ht="12.75" hidden="1" outlineLevel="1">
      <c r="A246" s="173" t="s">
        <v>477</v>
      </c>
      <c r="B246" s="174"/>
      <c r="C246" s="174" t="s">
        <v>478</v>
      </c>
      <c r="D246" s="174" t="s">
        <v>479</v>
      </c>
      <c r="E246" s="210">
        <v>153.04</v>
      </c>
      <c r="F246" s="210">
        <v>6534.19</v>
      </c>
      <c r="G246" s="210"/>
      <c r="H246" s="211">
        <v>0</v>
      </c>
      <c r="I246" s="211">
        <v>0</v>
      </c>
      <c r="J246" s="211">
        <v>0</v>
      </c>
      <c r="K246" s="211">
        <v>0</v>
      </c>
      <c r="L246" s="211">
        <v>0</v>
      </c>
      <c r="M246" s="211">
        <v>0</v>
      </c>
      <c r="N246" s="211">
        <v>0</v>
      </c>
      <c r="O246" s="210">
        <v>0</v>
      </c>
      <c r="P246" s="210">
        <v>0</v>
      </c>
      <c r="Q246" s="210">
        <f t="shared" si="7"/>
        <v>6687.23</v>
      </c>
      <c r="R246" s="173"/>
      <c r="T246" s="653"/>
      <c r="U246" s="653"/>
      <c r="V246" s="653"/>
      <c r="W246" s="653"/>
      <c r="X246" s="653"/>
      <c r="Y246" s="653"/>
      <c r="Z246" s="653"/>
      <c r="AA246" s="653"/>
      <c r="AB246" s="653"/>
      <c r="AC246" s="653"/>
      <c r="AD246" s="653"/>
      <c r="AE246" s="653"/>
      <c r="AF246" s="653"/>
      <c r="AG246" s="653"/>
      <c r="AH246" s="653"/>
      <c r="AI246" s="653"/>
      <c r="AJ246" s="653"/>
      <c r="AK246" s="653"/>
      <c r="AL246" s="653"/>
      <c r="AM246" s="653"/>
      <c r="AN246" s="653"/>
      <c r="AO246" s="653"/>
      <c r="AP246" s="653"/>
      <c r="AQ246" s="653"/>
      <c r="AR246" s="653"/>
      <c r="AS246" s="653"/>
      <c r="AT246" s="653"/>
      <c r="AU246" s="653"/>
      <c r="AV246" s="653"/>
      <c r="AW246" s="653"/>
      <c r="AX246" s="653"/>
      <c r="AY246" s="653"/>
      <c r="AZ246" s="653"/>
      <c r="BA246" s="653"/>
      <c r="BB246" s="653"/>
    </row>
    <row r="247" spans="1:54" s="175" customFormat="1" ht="12.75" hidden="1" outlineLevel="1">
      <c r="A247" s="173" t="s">
        <v>480</v>
      </c>
      <c r="B247" s="174"/>
      <c r="C247" s="174" t="s">
        <v>481</v>
      </c>
      <c r="D247" s="174" t="s">
        <v>482</v>
      </c>
      <c r="E247" s="210">
        <v>4147.67</v>
      </c>
      <c r="F247" s="210">
        <v>0</v>
      </c>
      <c r="G247" s="210"/>
      <c r="H247" s="211">
        <v>0</v>
      </c>
      <c r="I247" s="211">
        <v>0</v>
      </c>
      <c r="J247" s="211">
        <v>0</v>
      </c>
      <c r="K247" s="211">
        <v>0</v>
      </c>
      <c r="L247" s="211">
        <v>89.27</v>
      </c>
      <c r="M247" s="211">
        <v>0</v>
      </c>
      <c r="N247" s="211">
        <v>0</v>
      </c>
      <c r="O247" s="210">
        <v>89.27</v>
      </c>
      <c r="P247" s="210">
        <v>0</v>
      </c>
      <c r="Q247" s="210">
        <f t="shared" si="7"/>
        <v>4236.9400000000005</v>
      </c>
      <c r="R247" s="173"/>
      <c r="T247" s="653"/>
      <c r="U247" s="653"/>
      <c r="V247" s="653"/>
      <c r="W247" s="653"/>
      <c r="X247" s="653"/>
      <c r="Y247" s="653"/>
      <c r="Z247" s="653"/>
      <c r="AA247" s="653"/>
      <c r="AB247" s="653"/>
      <c r="AC247" s="653"/>
      <c r="AD247" s="653"/>
      <c r="AE247" s="653"/>
      <c r="AF247" s="653"/>
      <c r="AG247" s="653"/>
      <c r="AH247" s="653"/>
      <c r="AI247" s="653"/>
      <c r="AJ247" s="653"/>
      <c r="AK247" s="653"/>
      <c r="AL247" s="653"/>
      <c r="AM247" s="653"/>
      <c r="AN247" s="653"/>
      <c r="AO247" s="653"/>
      <c r="AP247" s="653"/>
      <c r="AQ247" s="653"/>
      <c r="AR247" s="653"/>
      <c r="AS247" s="653"/>
      <c r="AT247" s="653"/>
      <c r="AU247" s="653"/>
      <c r="AV247" s="653"/>
      <c r="AW247" s="653"/>
      <c r="AX247" s="653"/>
      <c r="AY247" s="653"/>
      <c r="AZ247" s="653"/>
      <c r="BA247" s="653"/>
      <c r="BB247" s="653"/>
    </row>
    <row r="248" spans="1:54" s="175" customFormat="1" ht="12.75" hidden="1" outlineLevel="1">
      <c r="A248" s="173" t="s">
        <v>483</v>
      </c>
      <c r="B248" s="174"/>
      <c r="C248" s="174" t="s">
        <v>484</v>
      </c>
      <c r="D248" s="174" t="s">
        <v>485</v>
      </c>
      <c r="E248" s="210">
        <v>1100</v>
      </c>
      <c r="F248" s="210">
        <v>0</v>
      </c>
      <c r="G248" s="210"/>
      <c r="H248" s="211">
        <v>0</v>
      </c>
      <c r="I248" s="211">
        <v>0</v>
      </c>
      <c r="J248" s="211">
        <v>0</v>
      </c>
      <c r="K248" s="211">
        <v>0</v>
      </c>
      <c r="L248" s="211">
        <v>0</v>
      </c>
      <c r="M248" s="211">
        <v>0</v>
      </c>
      <c r="N248" s="211">
        <v>0</v>
      </c>
      <c r="O248" s="210">
        <v>0</v>
      </c>
      <c r="P248" s="210">
        <v>0</v>
      </c>
      <c r="Q248" s="210">
        <f t="shared" si="7"/>
        <v>1100</v>
      </c>
      <c r="R248" s="173"/>
      <c r="T248" s="653"/>
      <c r="U248" s="653"/>
      <c r="V248" s="653"/>
      <c r="W248" s="653"/>
      <c r="X248" s="653"/>
      <c r="Y248" s="653"/>
      <c r="Z248" s="653"/>
      <c r="AA248" s="653"/>
      <c r="AB248" s="653"/>
      <c r="AC248" s="653"/>
      <c r="AD248" s="653"/>
      <c r="AE248" s="653"/>
      <c r="AF248" s="653"/>
      <c r="AG248" s="653"/>
      <c r="AH248" s="653"/>
      <c r="AI248" s="653"/>
      <c r="AJ248" s="653"/>
      <c r="AK248" s="653"/>
      <c r="AL248" s="653"/>
      <c r="AM248" s="653"/>
      <c r="AN248" s="653"/>
      <c r="AO248" s="653"/>
      <c r="AP248" s="653"/>
      <c r="AQ248" s="653"/>
      <c r="AR248" s="653"/>
      <c r="AS248" s="653"/>
      <c r="AT248" s="653"/>
      <c r="AU248" s="653"/>
      <c r="AV248" s="653"/>
      <c r="AW248" s="653"/>
      <c r="AX248" s="653"/>
      <c r="AY248" s="653"/>
      <c r="AZ248" s="653"/>
      <c r="BA248" s="653"/>
      <c r="BB248" s="653"/>
    </row>
    <row r="249" spans="1:54" s="175" customFormat="1" ht="12.75" hidden="1" outlineLevel="1">
      <c r="A249" s="173" t="s">
        <v>486</v>
      </c>
      <c r="B249" s="174"/>
      <c r="C249" s="174" t="s">
        <v>487</v>
      </c>
      <c r="D249" s="174" t="s">
        <v>488</v>
      </c>
      <c r="E249" s="210">
        <v>265920.14</v>
      </c>
      <c r="F249" s="210">
        <v>4635</v>
      </c>
      <c r="G249" s="210"/>
      <c r="H249" s="211">
        <v>228092.37</v>
      </c>
      <c r="I249" s="211">
        <v>0</v>
      </c>
      <c r="J249" s="211">
        <v>0</v>
      </c>
      <c r="K249" s="211">
        <v>0</v>
      </c>
      <c r="L249" s="211">
        <v>0</v>
      </c>
      <c r="M249" s="211">
        <v>0</v>
      </c>
      <c r="N249" s="211">
        <v>0</v>
      </c>
      <c r="O249" s="210">
        <v>228092.37</v>
      </c>
      <c r="P249" s="210">
        <v>0</v>
      </c>
      <c r="Q249" s="210">
        <f t="shared" si="7"/>
        <v>498647.51</v>
      </c>
      <c r="R249" s="173"/>
      <c r="T249" s="653"/>
      <c r="U249" s="653"/>
      <c r="V249" s="653"/>
      <c r="W249" s="653"/>
      <c r="X249" s="653"/>
      <c r="Y249" s="653"/>
      <c r="Z249" s="653"/>
      <c r="AA249" s="653"/>
      <c r="AB249" s="653"/>
      <c r="AC249" s="653"/>
      <c r="AD249" s="653"/>
      <c r="AE249" s="653"/>
      <c r="AF249" s="653"/>
      <c r="AG249" s="653"/>
      <c r="AH249" s="653"/>
      <c r="AI249" s="653"/>
      <c r="AJ249" s="653"/>
      <c r="AK249" s="653"/>
      <c r="AL249" s="653"/>
      <c r="AM249" s="653"/>
      <c r="AN249" s="653"/>
      <c r="AO249" s="653"/>
      <c r="AP249" s="653"/>
      <c r="AQ249" s="653"/>
      <c r="AR249" s="653"/>
      <c r="AS249" s="653"/>
      <c r="AT249" s="653"/>
      <c r="AU249" s="653"/>
      <c r="AV249" s="653"/>
      <c r="AW249" s="653"/>
      <c r="AX249" s="653"/>
      <c r="AY249" s="653"/>
      <c r="AZ249" s="653"/>
      <c r="BA249" s="653"/>
      <c r="BB249" s="653"/>
    </row>
    <row r="250" spans="1:54" s="175" customFormat="1" ht="12.75" hidden="1" outlineLevel="1">
      <c r="A250" s="173" t="s">
        <v>489</v>
      </c>
      <c r="B250" s="174"/>
      <c r="C250" s="174" t="s">
        <v>490</v>
      </c>
      <c r="D250" s="174" t="s">
        <v>491</v>
      </c>
      <c r="E250" s="210">
        <v>139816.61</v>
      </c>
      <c r="F250" s="210">
        <v>15554.15</v>
      </c>
      <c r="G250" s="210"/>
      <c r="H250" s="211">
        <v>7925</v>
      </c>
      <c r="I250" s="211">
        <v>0</v>
      </c>
      <c r="J250" s="211">
        <v>0</v>
      </c>
      <c r="K250" s="211">
        <v>0</v>
      </c>
      <c r="L250" s="211">
        <v>0</v>
      </c>
      <c r="M250" s="211">
        <v>0</v>
      </c>
      <c r="N250" s="211">
        <v>0</v>
      </c>
      <c r="O250" s="210">
        <v>7925</v>
      </c>
      <c r="P250" s="210">
        <v>0</v>
      </c>
      <c r="Q250" s="210">
        <f t="shared" si="7"/>
        <v>163295.75999999998</v>
      </c>
      <c r="R250" s="173"/>
      <c r="T250" s="653"/>
      <c r="U250" s="653"/>
      <c r="V250" s="653"/>
      <c r="W250" s="653"/>
      <c r="X250" s="653"/>
      <c r="Y250" s="653"/>
      <c r="Z250" s="653"/>
      <c r="AA250" s="653"/>
      <c r="AB250" s="653"/>
      <c r="AC250" s="653"/>
      <c r="AD250" s="653"/>
      <c r="AE250" s="653"/>
      <c r="AF250" s="653"/>
      <c r="AG250" s="653"/>
      <c r="AH250" s="653"/>
      <c r="AI250" s="653"/>
      <c r="AJ250" s="653"/>
      <c r="AK250" s="653"/>
      <c r="AL250" s="653"/>
      <c r="AM250" s="653"/>
      <c r="AN250" s="653"/>
      <c r="AO250" s="653"/>
      <c r="AP250" s="653"/>
      <c r="AQ250" s="653"/>
      <c r="AR250" s="653"/>
      <c r="AS250" s="653"/>
      <c r="AT250" s="653"/>
      <c r="AU250" s="653"/>
      <c r="AV250" s="653"/>
      <c r="AW250" s="653"/>
      <c r="AX250" s="653"/>
      <c r="AY250" s="653"/>
      <c r="AZ250" s="653"/>
      <c r="BA250" s="653"/>
      <c r="BB250" s="653"/>
    </row>
    <row r="251" spans="1:54" s="175" customFormat="1" ht="12.75" hidden="1" outlineLevel="1">
      <c r="A251" s="173" t="s">
        <v>492</v>
      </c>
      <c r="B251" s="174"/>
      <c r="C251" s="174" t="s">
        <v>493</v>
      </c>
      <c r="D251" s="174" t="s">
        <v>494</v>
      </c>
      <c r="E251" s="210">
        <v>38864.8</v>
      </c>
      <c r="F251" s="210">
        <v>0</v>
      </c>
      <c r="G251" s="210"/>
      <c r="H251" s="211">
        <v>0</v>
      </c>
      <c r="I251" s="211">
        <v>0</v>
      </c>
      <c r="J251" s="211">
        <v>0</v>
      </c>
      <c r="K251" s="211">
        <v>0</v>
      </c>
      <c r="L251" s="211">
        <v>0</v>
      </c>
      <c r="M251" s="211">
        <v>0</v>
      </c>
      <c r="N251" s="211">
        <v>138.6</v>
      </c>
      <c r="O251" s="210">
        <v>138.6</v>
      </c>
      <c r="P251" s="210">
        <v>0</v>
      </c>
      <c r="Q251" s="210">
        <f t="shared" si="7"/>
        <v>39003.4</v>
      </c>
      <c r="R251" s="173"/>
      <c r="T251" s="653"/>
      <c r="U251" s="653"/>
      <c r="V251" s="653"/>
      <c r="W251" s="653"/>
      <c r="X251" s="653"/>
      <c r="Y251" s="653"/>
      <c r="Z251" s="653"/>
      <c r="AA251" s="653"/>
      <c r="AB251" s="653"/>
      <c r="AC251" s="653"/>
      <c r="AD251" s="653"/>
      <c r="AE251" s="653"/>
      <c r="AF251" s="653"/>
      <c r="AG251" s="653"/>
      <c r="AH251" s="653"/>
      <c r="AI251" s="653"/>
      <c r="AJ251" s="653"/>
      <c r="AK251" s="653"/>
      <c r="AL251" s="653"/>
      <c r="AM251" s="653"/>
      <c r="AN251" s="653"/>
      <c r="AO251" s="653"/>
      <c r="AP251" s="653"/>
      <c r="AQ251" s="653"/>
      <c r="AR251" s="653"/>
      <c r="AS251" s="653"/>
      <c r="AT251" s="653"/>
      <c r="AU251" s="653"/>
      <c r="AV251" s="653"/>
      <c r="AW251" s="653"/>
      <c r="AX251" s="653"/>
      <c r="AY251" s="653"/>
      <c r="AZ251" s="653"/>
      <c r="BA251" s="653"/>
      <c r="BB251" s="653"/>
    </row>
    <row r="252" spans="1:54" s="175" customFormat="1" ht="12.75" hidden="1" outlineLevel="1">
      <c r="A252" s="173" t="s">
        <v>495</v>
      </c>
      <c r="B252" s="174"/>
      <c r="C252" s="174" t="s">
        <v>496</v>
      </c>
      <c r="D252" s="174" t="s">
        <v>497</v>
      </c>
      <c r="E252" s="210">
        <v>129.1</v>
      </c>
      <c r="F252" s="210">
        <v>0</v>
      </c>
      <c r="G252" s="210"/>
      <c r="H252" s="211">
        <v>0</v>
      </c>
      <c r="I252" s="211">
        <v>0</v>
      </c>
      <c r="J252" s="211">
        <v>0</v>
      </c>
      <c r="K252" s="211">
        <v>0</v>
      </c>
      <c r="L252" s="211">
        <v>0</v>
      </c>
      <c r="M252" s="211">
        <v>0</v>
      </c>
      <c r="N252" s="211">
        <v>0</v>
      </c>
      <c r="O252" s="210">
        <v>0</v>
      </c>
      <c r="P252" s="210">
        <v>0</v>
      </c>
      <c r="Q252" s="210">
        <f t="shared" si="7"/>
        <v>129.1</v>
      </c>
      <c r="R252" s="173"/>
      <c r="T252" s="653"/>
      <c r="U252" s="653"/>
      <c r="V252" s="653"/>
      <c r="W252" s="653"/>
      <c r="X252" s="653"/>
      <c r="Y252" s="653"/>
      <c r="Z252" s="653"/>
      <c r="AA252" s="653"/>
      <c r="AB252" s="653"/>
      <c r="AC252" s="653"/>
      <c r="AD252" s="653"/>
      <c r="AE252" s="653"/>
      <c r="AF252" s="653"/>
      <c r="AG252" s="653"/>
      <c r="AH252" s="653"/>
      <c r="AI252" s="653"/>
      <c r="AJ252" s="653"/>
      <c r="AK252" s="653"/>
      <c r="AL252" s="653"/>
      <c r="AM252" s="653"/>
      <c r="AN252" s="653"/>
      <c r="AO252" s="653"/>
      <c r="AP252" s="653"/>
      <c r="AQ252" s="653"/>
      <c r="AR252" s="653"/>
      <c r="AS252" s="653"/>
      <c r="AT252" s="653"/>
      <c r="AU252" s="653"/>
      <c r="AV252" s="653"/>
      <c r="AW252" s="653"/>
      <c r="AX252" s="653"/>
      <c r="AY252" s="653"/>
      <c r="AZ252" s="653"/>
      <c r="BA252" s="653"/>
      <c r="BB252" s="653"/>
    </row>
    <row r="253" spans="1:54" s="175" customFormat="1" ht="12.75" hidden="1" outlineLevel="1">
      <c r="A253" s="173" t="s">
        <v>498</v>
      </c>
      <c r="B253" s="174"/>
      <c r="C253" s="174" t="s">
        <v>499</v>
      </c>
      <c r="D253" s="174" t="s">
        <v>500</v>
      </c>
      <c r="E253" s="210">
        <v>46973.43</v>
      </c>
      <c r="F253" s="210">
        <v>0</v>
      </c>
      <c r="G253" s="210"/>
      <c r="H253" s="211">
        <v>2972.05</v>
      </c>
      <c r="I253" s="211">
        <v>0</v>
      </c>
      <c r="J253" s="211">
        <v>0</v>
      </c>
      <c r="K253" s="211">
        <v>0</v>
      </c>
      <c r="L253" s="211">
        <v>0</v>
      </c>
      <c r="M253" s="211">
        <v>0</v>
      </c>
      <c r="N253" s="211">
        <v>0</v>
      </c>
      <c r="O253" s="210">
        <v>2972.05</v>
      </c>
      <c r="P253" s="210">
        <v>0</v>
      </c>
      <c r="Q253" s="210">
        <f t="shared" si="7"/>
        <v>49945.48</v>
      </c>
      <c r="R253" s="173"/>
      <c r="T253" s="653"/>
      <c r="U253" s="653"/>
      <c r="V253" s="653"/>
      <c r="W253" s="653"/>
      <c r="X253" s="653"/>
      <c r="Y253" s="653"/>
      <c r="Z253" s="653"/>
      <c r="AA253" s="653"/>
      <c r="AB253" s="653"/>
      <c r="AC253" s="653"/>
      <c r="AD253" s="653"/>
      <c r="AE253" s="653"/>
      <c r="AF253" s="653"/>
      <c r="AG253" s="653"/>
      <c r="AH253" s="653"/>
      <c r="AI253" s="653"/>
      <c r="AJ253" s="653"/>
      <c r="AK253" s="653"/>
      <c r="AL253" s="653"/>
      <c r="AM253" s="653"/>
      <c r="AN253" s="653"/>
      <c r="AO253" s="653"/>
      <c r="AP253" s="653"/>
      <c r="AQ253" s="653"/>
      <c r="AR253" s="653"/>
      <c r="AS253" s="653"/>
      <c r="AT253" s="653"/>
      <c r="AU253" s="653"/>
      <c r="AV253" s="653"/>
      <c r="AW253" s="653"/>
      <c r="AX253" s="653"/>
      <c r="AY253" s="653"/>
      <c r="AZ253" s="653"/>
      <c r="BA253" s="653"/>
      <c r="BB253" s="653"/>
    </row>
    <row r="254" spans="1:54" s="175" customFormat="1" ht="12.75" hidden="1" outlineLevel="1">
      <c r="A254" s="173" t="s">
        <v>501</v>
      </c>
      <c r="B254" s="174"/>
      <c r="C254" s="174" t="s">
        <v>502</v>
      </c>
      <c r="D254" s="174" t="s">
        <v>503</v>
      </c>
      <c r="E254" s="210">
        <v>52847.65</v>
      </c>
      <c r="F254" s="210">
        <v>0</v>
      </c>
      <c r="G254" s="210"/>
      <c r="H254" s="211">
        <v>0</v>
      </c>
      <c r="I254" s="211">
        <v>0</v>
      </c>
      <c r="J254" s="211">
        <v>0</v>
      </c>
      <c r="K254" s="211">
        <v>0</v>
      </c>
      <c r="L254" s="211">
        <v>0</v>
      </c>
      <c r="M254" s="211">
        <v>0</v>
      </c>
      <c r="N254" s="211">
        <v>0</v>
      </c>
      <c r="O254" s="210">
        <v>0</v>
      </c>
      <c r="P254" s="210">
        <v>0</v>
      </c>
      <c r="Q254" s="210">
        <f t="shared" si="7"/>
        <v>52847.65</v>
      </c>
      <c r="R254" s="173"/>
      <c r="T254" s="653"/>
      <c r="U254" s="653"/>
      <c r="V254" s="653"/>
      <c r="W254" s="653"/>
      <c r="X254" s="653"/>
      <c r="Y254" s="653"/>
      <c r="Z254" s="653"/>
      <c r="AA254" s="653"/>
      <c r="AB254" s="653"/>
      <c r="AC254" s="653"/>
      <c r="AD254" s="653"/>
      <c r="AE254" s="653"/>
      <c r="AF254" s="653"/>
      <c r="AG254" s="653"/>
      <c r="AH254" s="653"/>
      <c r="AI254" s="653"/>
      <c r="AJ254" s="653"/>
      <c r="AK254" s="653"/>
      <c r="AL254" s="653"/>
      <c r="AM254" s="653"/>
      <c r="AN254" s="653"/>
      <c r="AO254" s="653"/>
      <c r="AP254" s="653"/>
      <c r="AQ254" s="653"/>
      <c r="AR254" s="653"/>
      <c r="AS254" s="653"/>
      <c r="AT254" s="653"/>
      <c r="AU254" s="653"/>
      <c r="AV254" s="653"/>
      <c r="AW254" s="653"/>
      <c r="AX254" s="653"/>
      <c r="AY254" s="653"/>
      <c r="AZ254" s="653"/>
      <c r="BA254" s="653"/>
      <c r="BB254" s="653"/>
    </row>
    <row r="255" spans="1:54" s="175" customFormat="1" ht="12.75" hidden="1" outlineLevel="1">
      <c r="A255" s="173" t="s">
        <v>504</v>
      </c>
      <c r="B255" s="174"/>
      <c r="C255" s="174" t="s">
        <v>505</v>
      </c>
      <c r="D255" s="174" t="s">
        <v>506</v>
      </c>
      <c r="E255" s="210">
        <v>8010.72</v>
      </c>
      <c r="F255" s="210">
        <v>0</v>
      </c>
      <c r="G255" s="210"/>
      <c r="H255" s="211">
        <v>0</v>
      </c>
      <c r="I255" s="211">
        <v>0</v>
      </c>
      <c r="J255" s="211">
        <v>0</v>
      </c>
      <c r="K255" s="211">
        <v>0</v>
      </c>
      <c r="L255" s="211">
        <v>0</v>
      </c>
      <c r="M255" s="211">
        <v>0</v>
      </c>
      <c r="N255" s="211">
        <v>0</v>
      </c>
      <c r="O255" s="210">
        <v>0</v>
      </c>
      <c r="P255" s="210">
        <v>0</v>
      </c>
      <c r="Q255" s="210">
        <f t="shared" si="7"/>
        <v>8010.72</v>
      </c>
      <c r="R255" s="173"/>
      <c r="T255" s="653"/>
      <c r="U255" s="653"/>
      <c r="V255" s="653"/>
      <c r="W255" s="653"/>
      <c r="X255" s="653"/>
      <c r="Y255" s="653"/>
      <c r="Z255" s="653"/>
      <c r="AA255" s="653"/>
      <c r="AB255" s="653"/>
      <c r="AC255" s="653"/>
      <c r="AD255" s="653"/>
      <c r="AE255" s="653"/>
      <c r="AF255" s="653"/>
      <c r="AG255" s="653"/>
      <c r="AH255" s="653"/>
      <c r="AI255" s="653"/>
      <c r="AJ255" s="653"/>
      <c r="AK255" s="653"/>
      <c r="AL255" s="653"/>
      <c r="AM255" s="653"/>
      <c r="AN255" s="653"/>
      <c r="AO255" s="653"/>
      <c r="AP255" s="653"/>
      <c r="AQ255" s="653"/>
      <c r="AR255" s="653"/>
      <c r="AS255" s="653"/>
      <c r="AT255" s="653"/>
      <c r="AU255" s="653"/>
      <c r="AV255" s="653"/>
      <c r="AW255" s="653"/>
      <c r="AX255" s="653"/>
      <c r="AY255" s="653"/>
      <c r="AZ255" s="653"/>
      <c r="BA255" s="653"/>
      <c r="BB255" s="653"/>
    </row>
    <row r="256" spans="1:54" s="175" customFormat="1" ht="12.75" hidden="1" outlineLevel="1">
      <c r="A256" s="173" t="s">
        <v>507</v>
      </c>
      <c r="B256" s="174"/>
      <c r="C256" s="174" t="s">
        <v>508</v>
      </c>
      <c r="D256" s="174" t="s">
        <v>509</v>
      </c>
      <c r="E256" s="210">
        <v>4902.72</v>
      </c>
      <c r="F256" s="210">
        <v>0</v>
      </c>
      <c r="G256" s="210"/>
      <c r="H256" s="211">
        <v>0</v>
      </c>
      <c r="I256" s="211">
        <v>0</v>
      </c>
      <c r="J256" s="211">
        <v>0</v>
      </c>
      <c r="K256" s="211">
        <v>0</v>
      </c>
      <c r="L256" s="211">
        <v>0</v>
      </c>
      <c r="M256" s="211">
        <v>0</v>
      </c>
      <c r="N256" s="211">
        <v>0</v>
      </c>
      <c r="O256" s="210">
        <v>0</v>
      </c>
      <c r="P256" s="210">
        <v>0</v>
      </c>
      <c r="Q256" s="210">
        <f t="shared" si="7"/>
        <v>4902.72</v>
      </c>
      <c r="R256" s="173"/>
      <c r="T256" s="653"/>
      <c r="U256" s="653"/>
      <c r="V256" s="653"/>
      <c r="W256" s="653"/>
      <c r="X256" s="653"/>
      <c r="Y256" s="653"/>
      <c r="Z256" s="653"/>
      <c r="AA256" s="653"/>
      <c r="AB256" s="653"/>
      <c r="AC256" s="653"/>
      <c r="AD256" s="653"/>
      <c r="AE256" s="653"/>
      <c r="AF256" s="653"/>
      <c r="AG256" s="653"/>
      <c r="AH256" s="653"/>
      <c r="AI256" s="653"/>
      <c r="AJ256" s="653"/>
      <c r="AK256" s="653"/>
      <c r="AL256" s="653"/>
      <c r="AM256" s="653"/>
      <c r="AN256" s="653"/>
      <c r="AO256" s="653"/>
      <c r="AP256" s="653"/>
      <c r="AQ256" s="653"/>
      <c r="AR256" s="653"/>
      <c r="AS256" s="653"/>
      <c r="AT256" s="653"/>
      <c r="AU256" s="653"/>
      <c r="AV256" s="653"/>
      <c r="AW256" s="653"/>
      <c r="AX256" s="653"/>
      <c r="AY256" s="653"/>
      <c r="AZ256" s="653"/>
      <c r="BA256" s="653"/>
      <c r="BB256" s="653"/>
    </row>
    <row r="257" spans="1:54" s="175" customFormat="1" ht="12.75" hidden="1" outlineLevel="1">
      <c r="A257" s="173" t="s">
        <v>510</v>
      </c>
      <c r="B257" s="174"/>
      <c r="C257" s="174" t="s">
        <v>511</v>
      </c>
      <c r="D257" s="174" t="s">
        <v>512</v>
      </c>
      <c r="E257" s="210">
        <v>59</v>
      </c>
      <c r="F257" s="210">
        <v>-10494</v>
      </c>
      <c r="G257" s="210"/>
      <c r="H257" s="211">
        <v>0</v>
      </c>
      <c r="I257" s="211">
        <v>0</v>
      </c>
      <c r="J257" s="211">
        <v>0</v>
      </c>
      <c r="K257" s="211">
        <v>0</v>
      </c>
      <c r="L257" s="211">
        <v>0</v>
      </c>
      <c r="M257" s="211">
        <v>0</v>
      </c>
      <c r="N257" s="211">
        <v>0</v>
      </c>
      <c r="O257" s="210">
        <v>0</v>
      </c>
      <c r="P257" s="210">
        <v>0</v>
      </c>
      <c r="Q257" s="210">
        <f t="shared" si="7"/>
        <v>-10435</v>
      </c>
      <c r="R257" s="173"/>
      <c r="T257" s="653"/>
      <c r="U257" s="653"/>
      <c r="V257" s="653"/>
      <c r="W257" s="653"/>
      <c r="X257" s="653"/>
      <c r="Y257" s="653"/>
      <c r="Z257" s="653"/>
      <c r="AA257" s="653"/>
      <c r="AB257" s="653"/>
      <c r="AC257" s="653"/>
      <c r="AD257" s="653"/>
      <c r="AE257" s="653"/>
      <c r="AF257" s="653"/>
      <c r="AG257" s="653"/>
      <c r="AH257" s="653"/>
      <c r="AI257" s="653"/>
      <c r="AJ257" s="653"/>
      <c r="AK257" s="653"/>
      <c r="AL257" s="653"/>
      <c r="AM257" s="653"/>
      <c r="AN257" s="653"/>
      <c r="AO257" s="653"/>
      <c r="AP257" s="653"/>
      <c r="AQ257" s="653"/>
      <c r="AR257" s="653"/>
      <c r="AS257" s="653"/>
      <c r="AT257" s="653"/>
      <c r="AU257" s="653"/>
      <c r="AV257" s="653"/>
      <c r="AW257" s="653"/>
      <c r="AX257" s="653"/>
      <c r="AY257" s="653"/>
      <c r="AZ257" s="653"/>
      <c r="BA257" s="653"/>
      <c r="BB257" s="653"/>
    </row>
    <row r="258" spans="1:54" s="175" customFormat="1" ht="12.75" hidden="1" outlineLevel="1">
      <c r="A258" s="173" t="s">
        <v>513</v>
      </c>
      <c r="B258" s="174"/>
      <c r="C258" s="174" t="s">
        <v>514</v>
      </c>
      <c r="D258" s="174" t="s">
        <v>515</v>
      </c>
      <c r="E258" s="210">
        <v>2668.76</v>
      </c>
      <c r="F258" s="210">
        <v>200</v>
      </c>
      <c r="G258" s="210"/>
      <c r="H258" s="211">
        <v>0</v>
      </c>
      <c r="I258" s="211">
        <v>0</v>
      </c>
      <c r="J258" s="211">
        <v>0</v>
      </c>
      <c r="K258" s="211">
        <v>0</v>
      </c>
      <c r="L258" s="211">
        <v>0</v>
      </c>
      <c r="M258" s="211">
        <v>0</v>
      </c>
      <c r="N258" s="211">
        <v>0</v>
      </c>
      <c r="O258" s="210">
        <v>0</v>
      </c>
      <c r="P258" s="210">
        <v>0</v>
      </c>
      <c r="Q258" s="210">
        <f t="shared" si="7"/>
        <v>2868.76</v>
      </c>
      <c r="R258" s="173"/>
      <c r="T258" s="653"/>
      <c r="U258" s="653"/>
      <c r="V258" s="653"/>
      <c r="W258" s="653"/>
      <c r="X258" s="653"/>
      <c r="Y258" s="653"/>
      <c r="Z258" s="653"/>
      <c r="AA258" s="653"/>
      <c r="AB258" s="653"/>
      <c r="AC258" s="653"/>
      <c r="AD258" s="653"/>
      <c r="AE258" s="653"/>
      <c r="AF258" s="653"/>
      <c r="AG258" s="653"/>
      <c r="AH258" s="653"/>
      <c r="AI258" s="653"/>
      <c r="AJ258" s="653"/>
      <c r="AK258" s="653"/>
      <c r="AL258" s="653"/>
      <c r="AM258" s="653"/>
      <c r="AN258" s="653"/>
      <c r="AO258" s="653"/>
      <c r="AP258" s="653"/>
      <c r="AQ258" s="653"/>
      <c r="AR258" s="653"/>
      <c r="AS258" s="653"/>
      <c r="AT258" s="653"/>
      <c r="AU258" s="653"/>
      <c r="AV258" s="653"/>
      <c r="AW258" s="653"/>
      <c r="AX258" s="653"/>
      <c r="AY258" s="653"/>
      <c r="AZ258" s="653"/>
      <c r="BA258" s="653"/>
      <c r="BB258" s="653"/>
    </row>
    <row r="259" spans="1:54" s="175" customFormat="1" ht="12.75" hidden="1" outlineLevel="1">
      <c r="A259" s="173" t="s">
        <v>516</v>
      </c>
      <c r="B259" s="174"/>
      <c r="C259" s="174" t="s">
        <v>517</v>
      </c>
      <c r="D259" s="174" t="s">
        <v>518</v>
      </c>
      <c r="E259" s="210">
        <v>170160.52</v>
      </c>
      <c r="F259" s="210">
        <v>0</v>
      </c>
      <c r="G259" s="210"/>
      <c r="H259" s="211">
        <v>0</v>
      </c>
      <c r="I259" s="211">
        <v>0</v>
      </c>
      <c r="J259" s="211">
        <v>0</v>
      </c>
      <c r="K259" s="211">
        <v>0</v>
      </c>
      <c r="L259" s="211">
        <v>0</v>
      </c>
      <c r="M259" s="211">
        <v>0</v>
      </c>
      <c r="N259" s="211">
        <v>0</v>
      </c>
      <c r="O259" s="210">
        <v>0</v>
      </c>
      <c r="P259" s="210">
        <v>0</v>
      </c>
      <c r="Q259" s="210">
        <f t="shared" si="7"/>
        <v>170160.52</v>
      </c>
      <c r="R259" s="173"/>
      <c r="T259" s="653"/>
      <c r="U259" s="653"/>
      <c r="V259" s="653"/>
      <c r="W259" s="653"/>
      <c r="X259" s="653"/>
      <c r="Y259" s="653"/>
      <c r="Z259" s="653"/>
      <c r="AA259" s="653"/>
      <c r="AB259" s="653"/>
      <c r="AC259" s="653"/>
      <c r="AD259" s="653"/>
      <c r="AE259" s="653"/>
      <c r="AF259" s="653"/>
      <c r="AG259" s="653"/>
      <c r="AH259" s="653"/>
      <c r="AI259" s="653"/>
      <c r="AJ259" s="653"/>
      <c r="AK259" s="653"/>
      <c r="AL259" s="653"/>
      <c r="AM259" s="653"/>
      <c r="AN259" s="653"/>
      <c r="AO259" s="653"/>
      <c r="AP259" s="653"/>
      <c r="AQ259" s="653"/>
      <c r="AR259" s="653"/>
      <c r="AS259" s="653"/>
      <c r="AT259" s="653"/>
      <c r="AU259" s="653"/>
      <c r="AV259" s="653"/>
      <c r="AW259" s="653"/>
      <c r="AX259" s="653"/>
      <c r="AY259" s="653"/>
      <c r="AZ259" s="653"/>
      <c r="BA259" s="653"/>
      <c r="BB259" s="653"/>
    </row>
    <row r="260" spans="1:54" s="175" customFormat="1" ht="12.75" hidden="1" outlineLevel="1">
      <c r="A260" s="173" t="s">
        <v>519</v>
      </c>
      <c r="B260" s="174"/>
      <c r="C260" s="174" t="s">
        <v>520</v>
      </c>
      <c r="D260" s="174" t="s">
        <v>521</v>
      </c>
      <c r="E260" s="210">
        <v>2770.69</v>
      </c>
      <c r="F260" s="210">
        <v>0</v>
      </c>
      <c r="G260" s="210"/>
      <c r="H260" s="211">
        <v>0</v>
      </c>
      <c r="I260" s="211">
        <v>0</v>
      </c>
      <c r="J260" s="211">
        <v>0</v>
      </c>
      <c r="K260" s="211">
        <v>0</v>
      </c>
      <c r="L260" s="211">
        <v>0</v>
      </c>
      <c r="M260" s="211">
        <v>0</v>
      </c>
      <c r="N260" s="211">
        <v>0</v>
      </c>
      <c r="O260" s="210">
        <v>0</v>
      </c>
      <c r="P260" s="210">
        <v>0</v>
      </c>
      <c r="Q260" s="210">
        <f t="shared" si="7"/>
        <v>2770.69</v>
      </c>
      <c r="R260" s="173"/>
      <c r="T260" s="653"/>
      <c r="U260" s="653"/>
      <c r="V260" s="653"/>
      <c r="W260" s="653"/>
      <c r="X260" s="653"/>
      <c r="Y260" s="653"/>
      <c r="Z260" s="653"/>
      <c r="AA260" s="653"/>
      <c r="AB260" s="653"/>
      <c r="AC260" s="653"/>
      <c r="AD260" s="653"/>
      <c r="AE260" s="653"/>
      <c r="AF260" s="653"/>
      <c r="AG260" s="653"/>
      <c r="AH260" s="653"/>
      <c r="AI260" s="653"/>
      <c r="AJ260" s="653"/>
      <c r="AK260" s="653"/>
      <c r="AL260" s="653"/>
      <c r="AM260" s="653"/>
      <c r="AN260" s="653"/>
      <c r="AO260" s="653"/>
      <c r="AP260" s="653"/>
      <c r="AQ260" s="653"/>
      <c r="AR260" s="653"/>
      <c r="AS260" s="653"/>
      <c r="AT260" s="653"/>
      <c r="AU260" s="653"/>
      <c r="AV260" s="653"/>
      <c r="AW260" s="653"/>
      <c r="AX260" s="653"/>
      <c r="AY260" s="653"/>
      <c r="AZ260" s="653"/>
      <c r="BA260" s="653"/>
      <c r="BB260" s="653"/>
    </row>
    <row r="261" spans="1:54" s="175" customFormat="1" ht="12.75" hidden="1" outlineLevel="1">
      <c r="A261" s="173" t="s">
        <v>522</v>
      </c>
      <c r="B261" s="174"/>
      <c r="C261" s="174" t="s">
        <v>523</v>
      </c>
      <c r="D261" s="174" t="s">
        <v>524</v>
      </c>
      <c r="E261" s="210">
        <v>525870.9</v>
      </c>
      <c r="F261" s="210">
        <v>50458.7</v>
      </c>
      <c r="G261" s="210"/>
      <c r="H261" s="211">
        <v>0</v>
      </c>
      <c r="I261" s="211">
        <v>0</v>
      </c>
      <c r="J261" s="211">
        <v>0</v>
      </c>
      <c r="K261" s="211">
        <v>0</v>
      </c>
      <c r="L261" s="211">
        <v>0</v>
      </c>
      <c r="M261" s="211">
        <v>0</v>
      </c>
      <c r="N261" s="211">
        <v>0</v>
      </c>
      <c r="O261" s="210">
        <v>0</v>
      </c>
      <c r="P261" s="210">
        <v>0</v>
      </c>
      <c r="Q261" s="210">
        <f t="shared" si="7"/>
        <v>576329.6</v>
      </c>
      <c r="R261" s="173"/>
      <c r="T261" s="653"/>
      <c r="U261" s="653"/>
      <c r="V261" s="653"/>
      <c r="W261" s="653"/>
      <c r="X261" s="653"/>
      <c r="Y261" s="653"/>
      <c r="Z261" s="653"/>
      <c r="AA261" s="653"/>
      <c r="AB261" s="653"/>
      <c r="AC261" s="653"/>
      <c r="AD261" s="653"/>
      <c r="AE261" s="653"/>
      <c r="AF261" s="653"/>
      <c r="AG261" s="653"/>
      <c r="AH261" s="653"/>
      <c r="AI261" s="653"/>
      <c r="AJ261" s="653"/>
      <c r="AK261" s="653"/>
      <c r="AL261" s="653"/>
      <c r="AM261" s="653"/>
      <c r="AN261" s="653"/>
      <c r="AO261" s="653"/>
      <c r="AP261" s="653"/>
      <c r="AQ261" s="653"/>
      <c r="AR261" s="653"/>
      <c r="AS261" s="653"/>
      <c r="AT261" s="653"/>
      <c r="AU261" s="653"/>
      <c r="AV261" s="653"/>
      <c r="AW261" s="653"/>
      <c r="AX261" s="653"/>
      <c r="AY261" s="653"/>
      <c r="AZ261" s="653"/>
      <c r="BA261" s="653"/>
      <c r="BB261" s="653"/>
    </row>
    <row r="262" spans="1:54" s="175" customFormat="1" ht="12.75" hidden="1" outlineLevel="1">
      <c r="A262" s="173" t="s">
        <v>525</v>
      </c>
      <c r="B262" s="174"/>
      <c r="C262" s="174" t="s">
        <v>526</v>
      </c>
      <c r="D262" s="174" t="s">
        <v>527</v>
      </c>
      <c r="E262" s="210">
        <v>290332.73</v>
      </c>
      <c r="F262" s="210">
        <v>0</v>
      </c>
      <c r="G262" s="210"/>
      <c r="H262" s="211">
        <v>0</v>
      </c>
      <c r="I262" s="211">
        <v>0</v>
      </c>
      <c r="J262" s="211">
        <v>0</v>
      </c>
      <c r="K262" s="211">
        <v>0</v>
      </c>
      <c r="L262" s="211">
        <v>0</v>
      </c>
      <c r="M262" s="211">
        <v>0</v>
      </c>
      <c r="N262" s="211">
        <v>0</v>
      </c>
      <c r="O262" s="210">
        <v>0</v>
      </c>
      <c r="P262" s="210">
        <v>0</v>
      </c>
      <c r="Q262" s="210">
        <f t="shared" si="7"/>
        <v>290332.73</v>
      </c>
      <c r="R262" s="173"/>
      <c r="T262" s="653"/>
      <c r="U262" s="653"/>
      <c r="V262" s="653"/>
      <c r="W262" s="653"/>
      <c r="X262" s="653"/>
      <c r="Y262" s="653"/>
      <c r="Z262" s="653"/>
      <c r="AA262" s="653"/>
      <c r="AB262" s="653"/>
      <c r="AC262" s="653"/>
      <c r="AD262" s="653"/>
      <c r="AE262" s="653"/>
      <c r="AF262" s="653"/>
      <c r="AG262" s="653"/>
      <c r="AH262" s="653"/>
      <c r="AI262" s="653"/>
      <c r="AJ262" s="653"/>
      <c r="AK262" s="653"/>
      <c r="AL262" s="653"/>
      <c r="AM262" s="653"/>
      <c r="AN262" s="653"/>
      <c r="AO262" s="653"/>
      <c r="AP262" s="653"/>
      <c r="AQ262" s="653"/>
      <c r="AR262" s="653"/>
      <c r="AS262" s="653"/>
      <c r="AT262" s="653"/>
      <c r="AU262" s="653"/>
      <c r="AV262" s="653"/>
      <c r="AW262" s="653"/>
      <c r="AX262" s="653"/>
      <c r="AY262" s="653"/>
      <c r="AZ262" s="653"/>
      <c r="BA262" s="653"/>
      <c r="BB262" s="653"/>
    </row>
    <row r="263" spans="1:54" s="175" customFormat="1" ht="12.75" hidden="1" outlineLevel="1">
      <c r="A263" s="173" t="s">
        <v>528</v>
      </c>
      <c r="B263" s="174"/>
      <c r="C263" s="174" t="s">
        <v>529</v>
      </c>
      <c r="D263" s="174" t="s">
        <v>530</v>
      </c>
      <c r="E263" s="210">
        <v>206360.84</v>
      </c>
      <c r="F263" s="210">
        <v>0</v>
      </c>
      <c r="G263" s="210"/>
      <c r="H263" s="211">
        <v>0</v>
      </c>
      <c r="I263" s="211">
        <v>5329.66</v>
      </c>
      <c r="J263" s="211">
        <v>0</v>
      </c>
      <c r="K263" s="211">
        <v>0</v>
      </c>
      <c r="L263" s="211">
        <v>409.29</v>
      </c>
      <c r="M263" s="211">
        <v>-10000</v>
      </c>
      <c r="N263" s="211">
        <v>0</v>
      </c>
      <c r="O263" s="210">
        <v>-4261.05</v>
      </c>
      <c r="P263" s="210">
        <v>0</v>
      </c>
      <c r="Q263" s="210">
        <f t="shared" si="7"/>
        <v>202099.79</v>
      </c>
      <c r="R263" s="173"/>
      <c r="T263" s="653"/>
      <c r="U263" s="653"/>
      <c r="V263" s="653"/>
      <c r="W263" s="653"/>
      <c r="X263" s="653"/>
      <c r="Y263" s="653"/>
      <c r="Z263" s="653"/>
      <c r="AA263" s="653"/>
      <c r="AB263" s="653"/>
      <c r="AC263" s="653"/>
      <c r="AD263" s="653"/>
      <c r="AE263" s="653"/>
      <c r="AF263" s="653"/>
      <c r="AG263" s="653"/>
      <c r="AH263" s="653"/>
      <c r="AI263" s="653"/>
      <c r="AJ263" s="653"/>
      <c r="AK263" s="653"/>
      <c r="AL263" s="653"/>
      <c r="AM263" s="653"/>
      <c r="AN263" s="653"/>
      <c r="AO263" s="653"/>
      <c r="AP263" s="653"/>
      <c r="AQ263" s="653"/>
      <c r="AR263" s="653"/>
      <c r="AS263" s="653"/>
      <c r="AT263" s="653"/>
      <c r="AU263" s="653"/>
      <c r="AV263" s="653"/>
      <c r="AW263" s="653"/>
      <c r="AX263" s="653"/>
      <c r="AY263" s="653"/>
      <c r="AZ263" s="653"/>
      <c r="BA263" s="653"/>
      <c r="BB263" s="653"/>
    </row>
    <row r="264" spans="1:54" s="175" customFormat="1" ht="12.75" hidden="1" outlineLevel="1">
      <c r="A264" s="173" t="s">
        <v>531</v>
      </c>
      <c r="B264" s="174"/>
      <c r="C264" s="174" t="s">
        <v>1657</v>
      </c>
      <c r="D264" s="174" t="s">
        <v>1658</v>
      </c>
      <c r="E264" s="210">
        <v>101717.21</v>
      </c>
      <c r="F264" s="210">
        <v>0</v>
      </c>
      <c r="G264" s="210"/>
      <c r="H264" s="211">
        <v>0</v>
      </c>
      <c r="I264" s="211">
        <v>0</v>
      </c>
      <c r="J264" s="211">
        <v>0</v>
      </c>
      <c r="K264" s="211">
        <v>0</v>
      </c>
      <c r="L264" s="211">
        <v>0</v>
      </c>
      <c r="M264" s="211">
        <v>0</v>
      </c>
      <c r="N264" s="211">
        <v>0</v>
      </c>
      <c r="O264" s="210">
        <v>0</v>
      </c>
      <c r="P264" s="210">
        <v>0</v>
      </c>
      <c r="Q264" s="210">
        <f t="shared" si="7"/>
        <v>101717.21</v>
      </c>
      <c r="R264" s="173"/>
      <c r="T264" s="653"/>
      <c r="U264" s="653"/>
      <c r="V264" s="653"/>
      <c r="W264" s="653"/>
      <c r="X264" s="653"/>
      <c r="Y264" s="653"/>
      <c r="Z264" s="653"/>
      <c r="AA264" s="653"/>
      <c r="AB264" s="653"/>
      <c r="AC264" s="653"/>
      <c r="AD264" s="653"/>
      <c r="AE264" s="653"/>
      <c r="AF264" s="653"/>
      <c r="AG264" s="653"/>
      <c r="AH264" s="653"/>
      <c r="AI264" s="653"/>
      <c r="AJ264" s="653"/>
      <c r="AK264" s="653"/>
      <c r="AL264" s="653"/>
      <c r="AM264" s="653"/>
      <c r="AN264" s="653"/>
      <c r="AO264" s="653"/>
      <c r="AP264" s="653"/>
      <c r="AQ264" s="653"/>
      <c r="AR264" s="653"/>
      <c r="AS264" s="653"/>
      <c r="AT264" s="653"/>
      <c r="AU264" s="653"/>
      <c r="AV264" s="653"/>
      <c r="AW264" s="653"/>
      <c r="AX264" s="653"/>
      <c r="AY264" s="653"/>
      <c r="AZ264" s="653"/>
      <c r="BA264" s="653"/>
      <c r="BB264" s="653"/>
    </row>
    <row r="265" spans="1:54" s="175" customFormat="1" ht="12.75" hidden="1" outlineLevel="1">
      <c r="A265" s="173" t="s">
        <v>1659</v>
      </c>
      <c r="B265" s="174"/>
      <c r="C265" s="174" t="s">
        <v>1660</v>
      </c>
      <c r="D265" s="174" t="s">
        <v>1661</v>
      </c>
      <c r="E265" s="210">
        <v>127.14</v>
      </c>
      <c r="F265" s="210">
        <v>0</v>
      </c>
      <c r="G265" s="210"/>
      <c r="H265" s="211">
        <v>0</v>
      </c>
      <c r="I265" s="211">
        <v>0</v>
      </c>
      <c r="J265" s="211">
        <v>0</v>
      </c>
      <c r="K265" s="211">
        <v>0</v>
      </c>
      <c r="L265" s="211">
        <v>0</v>
      </c>
      <c r="M265" s="211">
        <v>0</v>
      </c>
      <c r="N265" s="211">
        <v>0</v>
      </c>
      <c r="O265" s="210">
        <v>0</v>
      </c>
      <c r="P265" s="210">
        <v>0</v>
      </c>
      <c r="Q265" s="210">
        <f t="shared" si="7"/>
        <v>127.14</v>
      </c>
      <c r="R265" s="173"/>
      <c r="T265" s="653"/>
      <c r="U265" s="653"/>
      <c r="V265" s="653"/>
      <c r="W265" s="653"/>
      <c r="X265" s="653"/>
      <c r="Y265" s="653"/>
      <c r="Z265" s="653"/>
      <c r="AA265" s="653"/>
      <c r="AB265" s="653"/>
      <c r="AC265" s="653"/>
      <c r="AD265" s="653"/>
      <c r="AE265" s="653"/>
      <c r="AF265" s="653"/>
      <c r="AG265" s="653"/>
      <c r="AH265" s="653"/>
      <c r="AI265" s="653"/>
      <c r="AJ265" s="653"/>
      <c r="AK265" s="653"/>
      <c r="AL265" s="653"/>
      <c r="AM265" s="653"/>
      <c r="AN265" s="653"/>
      <c r="AO265" s="653"/>
      <c r="AP265" s="653"/>
      <c r="AQ265" s="653"/>
      <c r="AR265" s="653"/>
      <c r="AS265" s="653"/>
      <c r="AT265" s="653"/>
      <c r="AU265" s="653"/>
      <c r="AV265" s="653"/>
      <c r="AW265" s="653"/>
      <c r="AX265" s="653"/>
      <c r="AY265" s="653"/>
      <c r="AZ265" s="653"/>
      <c r="BA265" s="653"/>
      <c r="BB265" s="653"/>
    </row>
    <row r="266" spans="1:54" s="175" customFormat="1" ht="12.75" hidden="1" outlineLevel="1">
      <c r="A266" s="173" t="s">
        <v>1662</v>
      </c>
      <c r="B266" s="174"/>
      <c r="C266" s="174" t="s">
        <v>1663</v>
      </c>
      <c r="D266" s="174" t="s">
        <v>1664</v>
      </c>
      <c r="E266" s="210">
        <v>45.03</v>
      </c>
      <c r="F266" s="210">
        <v>0</v>
      </c>
      <c r="G266" s="210"/>
      <c r="H266" s="211">
        <v>0</v>
      </c>
      <c r="I266" s="211">
        <v>0</v>
      </c>
      <c r="J266" s="211">
        <v>0</v>
      </c>
      <c r="K266" s="211">
        <v>0</v>
      </c>
      <c r="L266" s="211">
        <v>0</v>
      </c>
      <c r="M266" s="211">
        <v>0</v>
      </c>
      <c r="N266" s="211">
        <v>0</v>
      </c>
      <c r="O266" s="210">
        <v>0</v>
      </c>
      <c r="P266" s="210">
        <v>0</v>
      </c>
      <c r="Q266" s="210">
        <f t="shared" si="7"/>
        <v>45.03</v>
      </c>
      <c r="R266" s="173"/>
      <c r="T266" s="653"/>
      <c r="U266" s="653"/>
      <c r="V266" s="653"/>
      <c r="W266" s="653"/>
      <c r="X266" s="653"/>
      <c r="Y266" s="653"/>
      <c r="Z266" s="653"/>
      <c r="AA266" s="653"/>
      <c r="AB266" s="653"/>
      <c r="AC266" s="653"/>
      <c r="AD266" s="653"/>
      <c r="AE266" s="653"/>
      <c r="AF266" s="653"/>
      <c r="AG266" s="653"/>
      <c r="AH266" s="653"/>
      <c r="AI266" s="653"/>
      <c r="AJ266" s="653"/>
      <c r="AK266" s="653"/>
      <c r="AL266" s="653"/>
      <c r="AM266" s="653"/>
      <c r="AN266" s="653"/>
      <c r="AO266" s="653"/>
      <c r="AP266" s="653"/>
      <c r="AQ266" s="653"/>
      <c r="AR266" s="653"/>
      <c r="AS266" s="653"/>
      <c r="AT266" s="653"/>
      <c r="AU266" s="653"/>
      <c r="AV266" s="653"/>
      <c r="AW266" s="653"/>
      <c r="AX266" s="653"/>
      <c r="AY266" s="653"/>
      <c r="AZ266" s="653"/>
      <c r="BA266" s="653"/>
      <c r="BB266" s="653"/>
    </row>
    <row r="267" spans="1:54" s="175" customFormat="1" ht="12.75" hidden="1" outlineLevel="1">
      <c r="A267" s="173" t="s">
        <v>1665</v>
      </c>
      <c r="B267" s="174"/>
      <c r="C267" s="174" t="s">
        <v>1666</v>
      </c>
      <c r="D267" s="174" t="s">
        <v>1667</v>
      </c>
      <c r="E267" s="210">
        <v>199.61</v>
      </c>
      <c r="F267" s="210">
        <v>0</v>
      </c>
      <c r="G267" s="210"/>
      <c r="H267" s="211">
        <v>0</v>
      </c>
      <c r="I267" s="211">
        <v>0</v>
      </c>
      <c r="J267" s="211">
        <v>0</v>
      </c>
      <c r="K267" s="211">
        <v>0</v>
      </c>
      <c r="L267" s="211">
        <v>0</v>
      </c>
      <c r="M267" s="211">
        <v>0</v>
      </c>
      <c r="N267" s="211">
        <v>0</v>
      </c>
      <c r="O267" s="210">
        <v>0</v>
      </c>
      <c r="P267" s="210">
        <v>0</v>
      </c>
      <c r="Q267" s="210">
        <f t="shared" si="7"/>
        <v>199.61</v>
      </c>
      <c r="R267" s="173"/>
      <c r="T267" s="653"/>
      <c r="U267" s="653"/>
      <c r="V267" s="653"/>
      <c r="W267" s="653"/>
      <c r="X267" s="653"/>
      <c r="Y267" s="653"/>
      <c r="Z267" s="653"/>
      <c r="AA267" s="653"/>
      <c r="AB267" s="653"/>
      <c r="AC267" s="653"/>
      <c r="AD267" s="653"/>
      <c r="AE267" s="653"/>
      <c r="AF267" s="653"/>
      <c r="AG267" s="653"/>
      <c r="AH267" s="653"/>
      <c r="AI267" s="653"/>
      <c r="AJ267" s="653"/>
      <c r="AK267" s="653"/>
      <c r="AL267" s="653"/>
      <c r="AM267" s="653"/>
      <c r="AN267" s="653"/>
      <c r="AO267" s="653"/>
      <c r="AP267" s="653"/>
      <c r="AQ267" s="653"/>
      <c r="AR267" s="653"/>
      <c r="AS267" s="653"/>
      <c r="AT267" s="653"/>
      <c r="AU267" s="653"/>
      <c r="AV267" s="653"/>
      <c r="AW267" s="653"/>
      <c r="AX267" s="653"/>
      <c r="AY267" s="653"/>
      <c r="AZ267" s="653"/>
      <c r="BA267" s="653"/>
      <c r="BB267" s="653"/>
    </row>
    <row r="268" spans="1:54" s="175" customFormat="1" ht="12.75" hidden="1" outlineLevel="1">
      <c r="A268" s="173" t="s">
        <v>1668</v>
      </c>
      <c r="B268" s="174"/>
      <c r="C268" s="174" t="s">
        <v>1669</v>
      </c>
      <c r="D268" s="174" t="s">
        <v>1670</v>
      </c>
      <c r="E268" s="210">
        <v>59.35</v>
      </c>
      <c r="F268" s="210">
        <v>0</v>
      </c>
      <c r="G268" s="210"/>
      <c r="H268" s="211">
        <v>0</v>
      </c>
      <c r="I268" s="211">
        <v>0</v>
      </c>
      <c r="J268" s="211">
        <v>0</v>
      </c>
      <c r="K268" s="211">
        <v>0</v>
      </c>
      <c r="L268" s="211">
        <v>0</v>
      </c>
      <c r="M268" s="211">
        <v>0</v>
      </c>
      <c r="N268" s="211">
        <v>0</v>
      </c>
      <c r="O268" s="210">
        <v>0</v>
      </c>
      <c r="P268" s="210">
        <v>0</v>
      </c>
      <c r="Q268" s="210">
        <f t="shared" si="7"/>
        <v>59.35</v>
      </c>
      <c r="R268" s="173"/>
      <c r="T268" s="653"/>
      <c r="U268" s="653"/>
      <c r="V268" s="653"/>
      <c r="W268" s="653"/>
      <c r="X268" s="653"/>
      <c r="Y268" s="653"/>
      <c r="Z268" s="653"/>
      <c r="AA268" s="653"/>
      <c r="AB268" s="653"/>
      <c r="AC268" s="653"/>
      <c r="AD268" s="653"/>
      <c r="AE268" s="653"/>
      <c r="AF268" s="653"/>
      <c r="AG268" s="653"/>
      <c r="AH268" s="653"/>
      <c r="AI268" s="653"/>
      <c r="AJ268" s="653"/>
      <c r="AK268" s="653"/>
      <c r="AL268" s="653"/>
      <c r="AM268" s="653"/>
      <c r="AN268" s="653"/>
      <c r="AO268" s="653"/>
      <c r="AP268" s="653"/>
      <c r="AQ268" s="653"/>
      <c r="AR268" s="653"/>
      <c r="AS268" s="653"/>
      <c r="AT268" s="653"/>
      <c r="AU268" s="653"/>
      <c r="AV268" s="653"/>
      <c r="AW268" s="653"/>
      <c r="AX268" s="653"/>
      <c r="AY268" s="653"/>
      <c r="AZ268" s="653"/>
      <c r="BA268" s="653"/>
      <c r="BB268" s="653"/>
    </row>
    <row r="269" spans="1:54" s="175" customFormat="1" ht="12.75" hidden="1" outlineLevel="1">
      <c r="A269" s="173" t="s">
        <v>1671</v>
      </c>
      <c r="B269" s="174"/>
      <c r="C269" s="174" t="s">
        <v>1672</v>
      </c>
      <c r="D269" s="174" t="s">
        <v>1673</v>
      </c>
      <c r="E269" s="210">
        <v>390.5</v>
      </c>
      <c r="F269" s="210">
        <v>0</v>
      </c>
      <c r="G269" s="210"/>
      <c r="H269" s="211">
        <v>0</v>
      </c>
      <c r="I269" s="211">
        <v>0</v>
      </c>
      <c r="J269" s="211">
        <v>0</v>
      </c>
      <c r="K269" s="211">
        <v>0</v>
      </c>
      <c r="L269" s="211">
        <v>0</v>
      </c>
      <c r="M269" s="211">
        <v>0</v>
      </c>
      <c r="N269" s="211">
        <v>0</v>
      </c>
      <c r="O269" s="210">
        <v>0</v>
      </c>
      <c r="P269" s="210">
        <v>0</v>
      </c>
      <c r="Q269" s="210">
        <f t="shared" si="7"/>
        <v>390.5</v>
      </c>
      <c r="R269" s="173"/>
      <c r="T269" s="653"/>
      <c r="U269" s="653"/>
      <c r="V269" s="653"/>
      <c r="W269" s="653"/>
      <c r="X269" s="653"/>
      <c r="Y269" s="653"/>
      <c r="Z269" s="653"/>
      <c r="AA269" s="653"/>
      <c r="AB269" s="653"/>
      <c r="AC269" s="653"/>
      <c r="AD269" s="653"/>
      <c r="AE269" s="653"/>
      <c r="AF269" s="653"/>
      <c r="AG269" s="653"/>
      <c r="AH269" s="653"/>
      <c r="AI269" s="653"/>
      <c r="AJ269" s="653"/>
      <c r="AK269" s="653"/>
      <c r="AL269" s="653"/>
      <c r="AM269" s="653"/>
      <c r="AN269" s="653"/>
      <c r="AO269" s="653"/>
      <c r="AP269" s="653"/>
      <c r="AQ269" s="653"/>
      <c r="AR269" s="653"/>
      <c r="AS269" s="653"/>
      <c r="AT269" s="653"/>
      <c r="AU269" s="653"/>
      <c r="AV269" s="653"/>
      <c r="AW269" s="653"/>
      <c r="AX269" s="653"/>
      <c r="AY269" s="653"/>
      <c r="AZ269" s="653"/>
      <c r="BA269" s="653"/>
      <c r="BB269" s="653"/>
    </row>
    <row r="270" spans="1:54" s="175" customFormat="1" ht="12.75" hidden="1" outlineLevel="1">
      <c r="A270" s="173" t="s">
        <v>1674</v>
      </c>
      <c r="B270" s="174"/>
      <c r="C270" s="174" t="s">
        <v>1675</v>
      </c>
      <c r="D270" s="174" t="s">
        <v>1676</v>
      </c>
      <c r="E270" s="210">
        <v>21133</v>
      </c>
      <c r="F270" s="210">
        <v>0</v>
      </c>
      <c r="G270" s="210"/>
      <c r="H270" s="211">
        <v>0</v>
      </c>
      <c r="I270" s="211">
        <v>0</v>
      </c>
      <c r="J270" s="211">
        <v>0</v>
      </c>
      <c r="K270" s="211">
        <v>0</v>
      </c>
      <c r="L270" s="211">
        <v>0</v>
      </c>
      <c r="M270" s="211">
        <v>0</v>
      </c>
      <c r="N270" s="211">
        <v>0</v>
      </c>
      <c r="O270" s="210">
        <v>0</v>
      </c>
      <c r="P270" s="210">
        <v>0</v>
      </c>
      <c r="Q270" s="210">
        <f t="shared" si="7"/>
        <v>21133</v>
      </c>
      <c r="R270" s="173"/>
      <c r="T270" s="653"/>
      <c r="U270" s="653"/>
      <c r="V270" s="653"/>
      <c r="W270" s="653"/>
      <c r="X270" s="653"/>
      <c r="Y270" s="653"/>
      <c r="Z270" s="653"/>
      <c r="AA270" s="653"/>
      <c r="AB270" s="653"/>
      <c r="AC270" s="653"/>
      <c r="AD270" s="653"/>
      <c r="AE270" s="653"/>
      <c r="AF270" s="653"/>
      <c r="AG270" s="653"/>
      <c r="AH270" s="653"/>
      <c r="AI270" s="653"/>
      <c r="AJ270" s="653"/>
      <c r="AK270" s="653"/>
      <c r="AL270" s="653"/>
      <c r="AM270" s="653"/>
      <c r="AN270" s="653"/>
      <c r="AO270" s="653"/>
      <c r="AP270" s="653"/>
      <c r="AQ270" s="653"/>
      <c r="AR270" s="653"/>
      <c r="AS270" s="653"/>
      <c r="AT270" s="653"/>
      <c r="AU270" s="653"/>
      <c r="AV270" s="653"/>
      <c r="AW270" s="653"/>
      <c r="AX270" s="653"/>
      <c r="AY270" s="653"/>
      <c r="AZ270" s="653"/>
      <c r="BA270" s="653"/>
      <c r="BB270" s="653"/>
    </row>
    <row r="271" spans="1:54" s="175" customFormat="1" ht="12.75" hidden="1" outlineLevel="1">
      <c r="A271" s="173" t="s">
        <v>1677</v>
      </c>
      <c r="B271" s="174"/>
      <c r="C271" s="174" t="s">
        <v>1678</v>
      </c>
      <c r="D271" s="174" t="s">
        <v>1679</v>
      </c>
      <c r="E271" s="210">
        <v>23762</v>
      </c>
      <c r="F271" s="210">
        <v>50</v>
      </c>
      <c r="G271" s="210"/>
      <c r="H271" s="211">
        <v>0</v>
      </c>
      <c r="I271" s="211">
        <v>0</v>
      </c>
      <c r="J271" s="211">
        <v>0</v>
      </c>
      <c r="K271" s="211">
        <v>0</v>
      </c>
      <c r="L271" s="211">
        <v>0</v>
      </c>
      <c r="M271" s="211">
        <v>0</v>
      </c>
      <c r="N271" s="211">
        <v>0</v>
      </c>
      <c r="O271" s="210">
        <v>0</v>
      </c>
      <c r="P271" s="210">
        <v>0</v>
      </c>
      <c r="Q271" s="210">
        <f t="shared" si="7"/>
        <v>23812</v>
      </c>
      <c r="R271" s="173"/>
      <c r="T271" s="653"/>
      <c r="U271" s="653"/>
      <c r="V271" s="653"/>
      <c r="W271" s="653"/>
      <c r="X271" s="653"/>
      <c r="Y271" s="653"/>
      <c r="Z271" s="653"/>
      <c r="AA271" s="653"/>
      <c r="AB271" s="653"/>
      <c r="AC271" s="653"/>
      <c r="AD271" s="653"/>
      <c r="AE271" s="653"/>
      <c r="AF271" s="653"/>
      <c r="AG271" s="653"/>
      <c r="AH271" s="653"/>
      <c r="AI271" s="653"/>
      <c r="AJ271" s="653"/>
      <c r="AK271" s="653"/>
      <c r="AL271" s="653"/>
      <c r="AM271" s="653"/>
      <c r="AN271" s="653"/>
      <c r="AO271" s="653"/>
      <c r="AP271" s="653"/>
      <c r="AQ271" s="653"/>
      <c r="AR271" s="653"/>
      <c r="AS271" s="653"/>
      <c r="AT271" s="653"/>
      <c r="AU271" s="653"/>
      <c r="AV271" s="653"/>
      <c r="AW271" s="653"/>
      <c r="AX271" s="653"/>
      <c r="AY271" s="653"/>
      <c r="AZ271" s="653"/>
      <c r="BA271" s="653"/>
      <c r="BB271" s="653"/>
    </row>
    <row r="272" spans="1:54" s="175" customFormat="1" ht="12.75" hidden="1" outlineLevel="1">
      <c r="A272" s="173" t="s">
        <v>1680</v>
      </c>
      <c r="B272" s="174"/>
      <c r="C272" s="174" t="s">
        <v>1681</v>
      </c>
      <c r="D272" s="174" t="s">
        <v>1682</v>
      </c>
      <c r="E272" s="210">
        <v>-27897.89</v>
      </c>
      <c r="F272" s="210">
        <v>0</v>
      </c>
      <c r="G272" s="210"/>
      <c r="H272" s="211">
        <v>0</v>
      </c>
      <c r="I272" s="211">
        <v>0</v>
      </c>
      <c r="J272" s="211">
        <v>0</v>
      </c>
      <c r="K272" s="211">
        <v>0</v>
      </c>
      <c r="L272" s="211">
        <v>0</v>
      </c>
      <c r="M272" s="211">
        <v>0</v>
      </c>
      <c r="N272" s="211">
        <v>0</v>
      </c>
      <c r="O272" s="210">
        <v>0</v>
      </c>
      <c r="P272" s="210">
        <v>0</v>
      </c>
      <c r="Q272" s="210">
        <f t="shared" si="7"/>
        <v>-27897.89</v>
      </c>
      <c r="R272" s="173"/>
      <c r="T272" s="653"/>
      <c r="U272" s="653"/>
      <c r="V272" s="653"/>
      <c r="W272" s="653"/>
      <c r="X272" s="653"/>
      <c r="Y272" s="653"/>
      <c r="Z272" s="653"/>
      <c r="AA272" s="653"/>
      <c r="AB272" s="653"/>
      <c r="AC272" s="653"/>
      <c r="AD272" s="653"/>
      <c r="AE272" s="653"/>
      <c r="AF272" s="653"/>
      <c r="AG272" s="653"/>
      <c r="AH272" s="653"/>
      <c r="AI272" s="653"/>
      <c r="AJ272" s="653"/>
      <c r="AK272" s="653"/>
      <c r="AL272" s="653"/>
      <c r="AM272" s="653"/>
      <c r="AN272" s="653"/>
      <c r="AO272" s="653"/>
      <c r="AP272" s="653"/>
      <c r="AQ272" s="653"/>
      <c r="AR272" s="653"/>
      <c r="AS272" s="653"/>
      <c r="AT272" s="653"/>
      <c r="AU272" s="653"/>
      <c r="AV272" s="653"/>
      <c r="AW272" s="653"/>
      <c r="AX272" s="653"/>
      <c r="AY272" s="653"/>
      <c r="AZ272" s="653"/>
      <c r="BA272" s="653"/>
      <c r="BB272" s="653"/>
    </row>
    <row r="273" spans="1:54" s="175" customFormat="1" ht="12.75" hidden="1" outlineLevel="1">
      <c r="A273" s="173" t="s">
        <v>1683</v>
      </c>
      <c r="B273" s="174"/>
      <c r="C273" s="174" t="s">
        <v>1684</v>
      </c>
      <c r="D273" s="174" t="s">
        <v>1685</v>
      </c>
      <c r="E273" s="210">
        <v>8670.84</v>
      </c>
      <c r="F273" s="210">
        <v>0</v>
      </c>
      <c r="G273" s="210"/>
      <c r="H273" s="211">
        <v>0</v>
      </c>
      <c r="I273" s="211">
        <v>0</v>
      </c>
      <c r="J273" s="211">
        <v>0</v>
      </c>
      <c r="K273" s="211">
        <v>0</v>
      </c>
      <c r="L273" s="211">
        <v>0</v>
      </c>
      <c r="M273" s="211">
        <v>0</v>
      </c>
      <c r="N273" s="211">
        <v>0</v>
      </c>
      <c r="O273" s="210">
        <v>0</v>
      </c>
      <c r="P273" s="210">
        <v>0</v>
      </c>
      <c r="Q273" s="210">
        <f t="shared" si="7"/>
        <v>8670.84</v>
      </c>
      <c r="R273" s="173"/>
      <c r="T273" s="653"/>
      <c r="U273" s="653"/>
      <c r="V273" s="653"/>
      <c r="W273" s="653"/>
      <c r="X273" s="653"/>
      <c r="Y273" s="653"/>
      <c r="Z273" s="653"/>
      <c r="AA273" s="653"/>
      <c r="AB273" s="653"/>
      <c r="AC273" s="653"/>
      <c r="AD273" s="653"/>
      <c r="AE273" s="653"/>
      <c r="AF273" s="653"/>
      <c r="AG273" s="653"/>
      <c r="AH273" s="653"/>
      <c r="AI273" s="653"/>
      <c r="AJ273" s="653"/>
      <c r="AK273" s="653"/>
      <c r="AL273" s="653"/>
      <c r="AM273" s="653"/>
      <c r="AN273" s="653"/>
      <c r="AO273" s="653"/>
      <c r="AP273" s="653"/>
      <c r="AQ273" s="653"/>
      <c r="AR273" s="653"/>
      <c r="AS273" s="653"/>
      <c r="AT273" s="653"/>
      <c r="AU273" s="653"/>
      <c r="AV273" s="653"/>
      <c r="AW273" s="653"/>
      <c r="AX273" s="653"/>
      <c r="AY273" s="653"/>
      <c r="AZ273" s="653"/>
      <c r="BA273" s="653"/>
      <c r="BB273" s="653"/>
    </row>
    <row r="274" spans="1:54" s="175" customFormat="1" ht="12.75" hidden="1" outlineLevel="1">
      <c r="A274" s="173" t="s">
        <v>1686</v>
      </c>
      <c r="B274" s="174"/>
      <c r="C274" s="174" t="s">
        <v>1687</v>
      </c>
      <c r="D274" s="174" t="s">
        <v>1688</v>
      </c>
      <c r="E274" s="210">
        <v>-25252.69</v>
      </c>
      <c r="F274" s="210">
        <v>0</v>
      </c>
      <c r="G274" s="210"/>
      <c r="H274" s="211">
        <v>0</v>
      </c>
      <c r="I274" s="211">
        <v>0</v>
      </c>
      <c r="J274" s="211">
        <v>0</v>
      </c>
      <c r="K274" s="211">
        <v>0</v>
      </c>
      <c r="L274" s="211">
        <v>5144</v>
      </c>
      <c r="M274" s="211">
        <v>0</v>
      </c>
      <c r="N274" s="211">
        <v>0</v>
      </c>
      <c r="O274" s="210">
        <v>5144</v>
      </c>
      <c r="P274" s="210">
        <v>0</v>
      </c>
      <c r="Q274" s="210">
        <f t="shared" si="7"/>
        <v>-20108.69</v>
      </c>
      <c r="R274" s="173"/>
      <c r="T274" s="653"/>
      <c r="U274" s="653"/>
      <c r="V274" s="653"/>
      <c r="W274" s="653"/>
      <c r="X274" s="653"/>
      <c r="Y274" s="653"/>
      <c r="Z274" s="653"/>
      <c r="AA274" s="653"/>
      <c r="AB274" s="653"/>
      <c r="AC274" s="653"/>
      <c r="AD274" s="653"/>
      <c r="AE274" s="653"/>
      <c r="AF274" s="653"/>
      <c r="AG274" s="653"/>
      <c r="AH274" s="653"/>
      <c r="AI274" s="653"/>
      <c r="AJ274" s="653"/>
      <c r="AK274" s="653"/>
      <c r="AL274" s="653"/>
      <c r="AM274" s="653"/>
      <c r="AN274" s="653"/>
      <c r="AO274" s="653"/>
      <c r="AP274" s="653"/>
      <c r="AQ274" s="653"/>
      <c r="AR274" s="653"/>
      <c r="AS274" s="653"/>
      <c r="AT274" s="653"/>
      <c r="AU274" s="653"/>
      <c r="AV274" s="653"/>
      <c r="AW274" s="653"/>
      <c r="AX274" s="653"/>
      <c r="AY274" s="653"/>
      <c r="AZ274" s="653"/>
      <c r="BA274" s="653"/>
      <c r="BB274" s="653"/>
    </row>
    <row r="275" spans="1:54" s="175" customFormat="1" ht="12.75" hidden="1" outlineLevel="1">
      <c r="A275" s="173" t="s">
        <v>1689</v>
      </c>
      <c r="B275" s="174"/>
      <c r="C275" s="174" t="s">
        <v>1690</v>
      </c>
      <c r="D275" s="174" t="s">
        <v>1691</v>
      </c>
      <c r="E275" s="210">
        <v>866588.25</v>
      </c>
      <c r="F275" s="210">
        <v>46.2</v>
      </c>
      <c r="G275" s="210"/>
      <c r="H275" s="211">
        <v>0</v>
      </c>
      <c r="I275" s="211">
        <v>0</v>
      </c>
      <c r="J275" s="211">
        <v>0</v>
      </c>
      <c r="K275" s="211">
        <v>0</v>
      </c>
      <c r="L275" s="211">
        <v>5052.86</v>
      </c>
      <c r="M275" s="211">
        <v>0</v>
      </c>
      <c r="N275" s="211">
        <v>3238.03</v>
      </c>
      <c r="O275" s="210">
        <v>8290.89</v>
      </c>
      <c r="P275" s="210">
        <v>0</v>
      </c>
      <c r="Q275" s="210">
        <f t="shared" si="7"/>
        <v>874925.34</v>
      </c>
      <c r="R275" s="173"/>
      <c r="T275" s="653"/>
      <c r="U275" s="653"/>
      <c r="V275" s="653"/>
      <c r="W275" s="653"/>
      <c r="X275" s="653"/>
      <c r="Y275" s="653"/>
      <c r="Z275" s="653"/>
      <c r="AA275" s="653"/>
      <c r="AB275" s="653"/>
      <c r="AC275" s="653"/>
      <c r="AD275" s="653"/>
      <c r="AE275" s="653"/>
      <c r="AF275" s="653"/>
      <c r="AG275" s="653"/>
      <c r="AH275" s="653"/>
      <c r="AI275" s="653"/>
      <c r="AJ275" s="653"/>
      <c r="AK275" s="653"/>
      <c r="AL275" s="653"/>
      <c r="AM275" s="653"/>
      <c r="AN275" s="653"/>
      <c r="AO275" s="653"/>
      <c r="AP275" s="653"/>
      <c r="AQ275" s="653"/>
      <c r="AR275" s="653"/>
      <c r="AS275" s="653"/>
      <c r="AT275" s="653"/>
      <c r="AU275" s="653"/>
      <c r="AV275" s="653"/>
      <c r="AW275" s="653"/>
      <c r="AX275" s="653"/>
      <c r="AY275" s="653"/>
      <c r="AZ275" s="653"/>
      <c r="BA275" s="653"/>
      <c r="BB275" s="653"/>
    </row>
    <row r="276" spans="1:54" s="175" customFormat="1" ht="12.75" hidden="1" outlineLevel="1">
      <c r="A276" s="173" t="s">
        <v>1692</v>
      </c>
      <c r="B276" s="174"/>
      <c r="C276" s="174" t="s">
        <v>1693</v>
      </c>
      <c r="D276" s="174" t="s">
        <v>1694</v>
      </c>
      <c r="E276" s="210">
        <v>45627.64</v>
      </c>
      <c r="F276" s="210">
        <v>0</v>
      </c>
      <c r="G276" s="210"/>
      <c r="H276" s="211">
        <v>0</v>
      </c>
      <c r="I276" s="211">
        <v>0</v>
      </c>
      <c r="J276" s="211">
        <v>0</v>
      </c>
      <c r="K276" s="211">
        <v>0</v>
      </c>
      <c r="L276" s="211">
        <v>511.96</v>
      </c>
      <c r="M276" s="211">
        <v>0</v>
      </c>
      <c r="N276" s="211">
        <v>0</v>
      </c>
      <c r="O276" s="210">
        <v>511.96</v>
      </c>
      <c r="P276" s="210">
        <v>0</v>
      </c>
      <c r="Q276" s="210">
        <f t="shared" si="7"/>
        <v>46139.6</v>
      </c>
      <c r="R276" s="173"/>
      <c r="T276" s="653"/>
      <c r="U276" s="653"/>
      <c r="V276" s="653"/>
      <c r="W276" s="653"/>
      <c r="X276" s="653"/>
      <c r="Y276" s="653"/>
      <c r="Z276" s="653"/>
      <c r="AA276" s="653"/>
      <c r="AB276" s="653"/>
      <c r="AC276" s="653"/>
      <c r="AD276" s="653"/>
      <c r="AE276" s="653"/>
      <c r="AF276" s="653"/>
      <c r="AG276" s="653"/>
      <c r="AH276" s="653"/>
      <c r="AI276" s="653"/>
      <c r="AJ276" s="653"/>
      <c r="AK276" s="653"/>
      <c r="AL276" s="653"/>
      <c r="AM276" s="653"/>
      <c r="AN276" s="653"/>
      <c r="AO276" s="653"/>
      <c r="AP276" s="653"/>
      <c r="AQ276" s="653"/>
      <c r="AR276" s="653"/>
      <c r="AS276" s="653"/>
      <c r="AT276" s="653"/>
      <c r="AU276" s="653"/>
      <c r="AV276" s="653"/>
      <c r="AW276" s="653"/>
      <c r="AX276" s="653"/>
      <c r="AY276" s="653"/>
      <c r="AZ276" s="653"/>
      <c r="BA276" s="653"/>
      <c r="BB276" s="653"/>
    </row>
    <row r="277" spans="1:54" s="175" customFormat="1" ht="12.75" hidden="1" outlineLevel="1">
      <c r="A277" s="173" t="s">
        <v>1695</v>
      </c>
      <c r="B277" s="174"/>
      <c r="C277" s="174" t="s">
        <v>1696</v>
      </c>
      <c r="D277" s="174" t="s">
        <v>1697</v>
      </c>
      <c r="E277" s="210">
        <v>55677.87</v>
      </c>
      <c r="F277" s="210">
        <v>0</v>
      </c>
      <c r="G277" s="210"/>
      <c r="H277" s="211">
        <v>0</v>
      </c>
      <c r="I277" s="211">
        <v>200</v>
      </c>
      <c r="J277" s="211">
        <v>0</v>
      </c>
      <c r="K277" s="211">
        <v>0</v>
      </c>
      <c r="L277" s="211">
        <v>0</v>
      </c>
      <c r="M277" s="211">
        <v>0</v>
      </c>
      <c r="N277" s="211">
        <v>92</v>
      </c>
      <c r="O277" s="210">
        <v>292</v>
      </c>
      <c r="P277" s="210">
        <v>0</v>
      </c>
      <c r="Q277" s="210">
        <f t="shared" si="7"/>
        <v>55969.87</v>
      </c>
      <c r="R277" s="173"/>
      <c r="T277" s="653"/>
      <c r="U277" s="653"/>
      <c r="V277" s="653"/>
      <c r="W277" s="653"/>
      <c r="X277" s="653"/>
      <c r="Y277" s="653"/>
      <c r="Z277" s="653"/>
      <c r="AA277" s="653"/>
      <c r="AB277" s="653"/>
      <c r="AC277" s="653"/>
      <c r="AD277" s="653"/>
      <c r="AE277" s="653"/>
      <c r="AF277" s="653"/>
      <c r="AG277" s="653"/>
      <c r="AH277" s="653"/>
      <c r="AI277" s="653"/>
      <c r="AJ277" s="653"/>
      <c r="AK277" s="653"/>
      <c r="AL277" s="653"/>
      <c r="AM277" s="653"/>
      <c r="AN277" s="653"/>
      <c r="AO277" s="653"/>
      <c r="AP277" s="653"/>
      <c r="AQ277" s="653"/>
      <c r="AR277" s="653"/>
      <c r="AS277" s="653"/>
      <c r="AT277" s="653"/>
      <c r="AU277" s="653"/>
      <c r="AV277" s="653"/>
      <c r="AW277" s="653"/>
      <c r="AX277" s="653"/>
      <c r="AY277" s="653"/>
      <c r="AZ277" s="653"/>
      <c r="BA277" s="653"/>
      <c r="BB277" s="653"/>
    </row>
    <row r="278" spans="1:54" s="175" customFormat="1" ht="12.75" hidden="1" outlineLevel="1">
      <c r="A278" s="173" t="s">
        <v>1698</v>
      </c>
      <c r="B278" s="174"/>
      <c r="C278" s="174" t="s">
        <v>1699</v>
      </c>
      <c r="D278" s="174" t="s">
        <v>1700</v>
      </c>
      <c r="E278" s="210">
        <v>-494303.92</v>
      </c>
      <c r="F278" s="210">
        <v>0</v>
      </c>
      <c r="G278" s="210"/>
      <c r="H278" s="211">
        <v>0</v>
      </c>
      <c r="I278" s="211">
        <v>0</v>
      </c>
      <c r="J278" s="211">
        <v>0</v>
      </c>
      <c r="K278" s="211">
        <v>0</v>
      </c>
      <c r="L278" s="211">
        <v>5955</v>
      </c>
      <c r="M278" s="211">
        <v>0</v>
      </c>
      <c r="N278" s="211">
        <v>0</v>
      </c>
      <c r="O278" s="210">
        <v>5955</v>
      </c>
      <c r="P278" s="210">
        <v>0</v>
      </c>
      <c r="Q278" s="210">
        <f t="shared" si="7"/>
        <v>-488348.92</v>
      </c>
      <c r="R278" s="173"/>
      <c r="T278" s="653"/>
      <c r="U278" s="653"/>
      <c r="V278" s="653"/>
      <c r="W278" s="653"/>
      <c r="X278" s="653"/>
      <c r="Y278" s="653"/>
      <c r="Z278" s="653"/>
      <c r="AA278" s="653"/>
      <c r="AB278" s="653"/>
      <c r="AC278" s="653"/>
      <c r="AD278" s="653"/>
      <c r="AE278" s="653"/>
      <c r="AF278" s="653"/>
      <c r="AG278" s="653"/>
      <c r="AH278" s="653"/>
      <c r="AI278" s="653"/>
      <c r="AJ278" s="653"/>
      <c r="AK278" s="653"/>
      <c r="AL278" s="653"/>
      <c r="AM278" s="653"/>
      <c r="AN278" s="653"/>
      <c r="AO278" s="653"/>
      <c r="AP278" s="653"/>
      <c r="AQ278" s="653"/>
      <c r="AR278" s="653"/>
      <c r="AS278" s="653"/>
      <c r="AT278" s="653"/>
      <c r="AU278" s="653"/>
      <c r="AV278" s="653"/>
      <c r="AW278" s="653"/>
      <c r="AX278" s="653"/>
      <c r="AY278" s="653"/>
      <c r="AZ278" s="653"/>
      <c r="BA278" s="653"/>
      <c r="BB278" s="653"/>
    </row>
    <row r="279" spans="1:54" s="175" customFormat="1" ht="12.75" hidden="1" outlineLevel="1">
      <c r="A279" s="173" t="s">
        <v>1701</v>
      </c>
      <c r="B279" s="174"/>
      <c r="C279" s="174" t="s">
        <v>1702</v>
      </c>
      <c r="D279" s="174" t="s">
        <v>1703</v>
      </c>
      <c r="E279" s="210">
        <v>20</v>
      </c>
      <c r="F279" s="210">
        <v>1094.02</v>
      </c>
      <c r="G279" s="210"/>
      <c r="H279" s="211">
        <v>0</v>
      </c>
      <c r="I279" s="211">
        <v>0</v>
      </c>
      <c r="J279" s="211">
        <v>0</v>
      </c>
      <c r="K279" s="211">
        <v>0</v>
      </c>
      <c r="L279" s="211">
        <v>0</v>
      </c>
      <c r="M279" s="211">
        <v>0</v>
      </c>
      <c r="N279" s="211">
        <v>0</v>
      </c>
      <c r="O279" s="210">
        <v>0</v>
      </c>
      <c r="P279" s="210">
        <v>0</v>
      </c>
      <c r="Q279" s="210">
        <f t="shared" si="7"/>
        <v>1114.02</v>
      </c>
      <c r="R279" s="173"/>
      <c r="T279" s="653"/>
      <c r="U279" s="653"/>
      <c r="V279" s="653"/>
      <c r="W279" s="653"/>
      <c r="X279" s="653"/>
      <c r="Y279" s="653"/>
      <c r="Z279" s="653"/>
      <c r="AA279" s="653"/>
      <c r="AB279" s="653"/>
      <c r="AC279" s="653"/>
      <c r="AD279" s="653"/>
      <c r="AE279" s="653"/>
      <c r="AF279" s="653"/>
      <c r="AG279" s="653"/>
      <c r="AH279" s="653"/>
      <c r="AI279" s="653"/>
      <c r="AJ279" s="653"/>
      <c r="AK279" s="653"/>
      <c r="AL279" s="653"/>
      <c r="AM279" s="653"/>
      <c r="AN279" s="653"/>
      <c r="AO279" s="653"/>
      <c r="AP279" s="653"/>
      <c r="AQ279" s="653"/>
      <c r="AR279" s="653"/>
      <c r="AS279" s="653"/>
      <c r="AT279" s="653"/>
      <c r="AU279" s="653"/>
      <c r="AV279" s="653"/>
      <c r="AW279" s="653"/>
      <c r="AX279" s="653"/>
      <c r="AY279" s="653"/>
      <c r="AZ279" s="653"/>
      <c r="BA279" s="653"/>
      <c r="BB279" s="653"/>
    </row>
    <row r="280" spans="1:54" s="175" customFormat="1" ht="12.75" hidden="1" outlineLevel="1">
      <c r="A280" s="173" t="s">
        <v>1704</v>
      </c>
      <c r="B280" s="174"/>
      <c r="C280" s="174" t="s">
        <v>1705</v>
      </c>
      <c r="D280" s="174" t="s">
        <v>1706</v>
      </c>
      <c r="E280" s="210">
        <v>1762525</v>
      </c>
      <c r="F280" s="210">
        <v>0</v>
      </c>
      <c r="G280" s="210"/>
      <c r="H280" s="211">
        <v>0</v>
      </c>
      <c r="I280" s="211">
        <v>0</v>
      </c>
      <c r="J280" s="211">
        <v>0</v>
      </c>
      <c r="K280" s="211">
        <v>0</v>
      </c>
      <c r="L280" s="211">
        <v>0</v>
      </c>
      <c r="M280" s="211">
        <v>0</v>
      </c>
      <c r="N280" s="211">
        <v>0</v>
      </c>
      <c r="O280" s="210">
        <v>0</v>
      </c>
      <c r="P280" s="210">
        <v>0</v>
      </c>
      <c r="Q280" s="210">
        <f t="shared" si="7"/>
        <v>1762525</v>
      </c>
      <c r="R280" s="173"/>
      <c r="T280" s="653"/>
      <c r="U280" s="653"/>
      <c r="V280" s="653"/>
      <c r="W280" s="653"/>
      <c r="X280" s="653"/>
      <c r="Y280" s="653"/>
      <c r="Z280" s="653"/>
      <c r="AA280" s="653"/>
      <c r="AB280" s="653"/>
      <c r="AC280" s="653"/>
      <c r="AD280" s="653"/>
      <c r="AE280" s="653"/>
      <c r="AF280" s="653"/>
      <c r="AG280" s="653"/>
      <c r="AH280" s="653"/>
      <c r="AI280" s="653"/>
      <c r="AJ280" s="653"/>
      <c r="AK280" s="653"/>
      <c r="AL280" s="653"/>
      <c r="AM280" s="653"/>
      <c r="AN280" s="653"/>
      <c r="AO280" s="653"/>
      <c r="AP280" s="653"/>
      <c r="AQ280" s="653"/>
      <c r="AR280" s="653"/>
      <c r="AS280" s="653"/>
      <c r="AT280" s="653"/>
      <c r="AU280" s="653"/>
      <c r="AV280" s="653"/>
      <c r="AW280" s="653"/>
      <c r="AX280" s="653"/>
      <c r="AY280" s="653"/>
      <c r="AZ280" s="653"/>
      <c r="BA280" s="653"/>
      <c r="BB280" s="653"/>
    </row>
    <row r="281" spans="1:54" s="175" customFormat="1" ht="12.75" hidden="1" outlineLevel="1">
      <c r="A281" s="173" t="s">
        <v>1707</v>
      </c>
      <c r="B281" s="174"/>
      <c r="C281" s="174" t="s">
        <v>1708</v>
      </c>
      <c r="D281" s="174" t="s">
        <v>1709</v>
      </c>
      <c r="E281" s="210">
        <v>157223.63</v>
      </c>
      <c r="F281" s="210">
        <v>0</v>
      </c>
      <c r="G281" s="210"/>
      <c r="H281" s="211">
        <v>0</v>
      </c>
      <c r="I281" s="211">
        <v>0</v>
      </c>
      <c r="J281" s="211">
        <v>0</v>
      </c>
      <c r="K281" s="211">
        <v>0</v>
      </c>
      <c r="L281" s="211">
        <v>0</v>
      </c>
      <c r="M281" s="211">
        <v>0</v>
      </c>
      <c r="N281" s="211">
        <v>0</v>
      </c>
      <c r="O281" s="210">
        <v>0</v>
      </c>
      <c r="P281" s="210">
        <v>0</v>
      </c>
      <c r="Q281" s="210">
        <f t="shared" si="7"/>
        <v>157223.63</v>
      </c>
      <c r="R281" s="173"/>
      <c r="T281" s="653"/>
      <c r="U281" s="653"/>
      <c r="V281" s="653"/>
      <c r="W281" s="653"/>
      <c r="X281" s="653"/>
      <c r="Y281" s="653"/>
      <c r="Z281" s="653"/>
      <c r="AA281" s="653"/>
      <c r="AB281" s="653"/>
      <c r="AC281" s="653"/>
      <c r="AD281" s="653"/>
      <c r="AE281" s="653"/>
      <c r="AF281" s="653"/>
      <c r="AG281" s="653"/>
      <c r="AH281" s="653"/>
      <c r="AI281" s="653"/>
      <c r="AJ281" s="653"/>
      <c r="AK281" s="653"/>
      <c r="AL281" s="653"/>
      <c r="AM281" s="653"/>
      <c r="AN281" s="653"/>
      <c r="AO281" s="653"/>
      <c r="AP281" s="653"/>
      <c r="AQ281" s="653"/>
      <c r="AR281" s="653"/>
      <c r="AS281" s="653"/>
      <c r="AT281" s="653"/>
      <c r="AU281" s="653"/>
      <c r="AV281" s="653"/>
      <c r="AW281" s="653"/>
      <c r="AX281" s="653"/>
      <c r="AY281" s="653"/>
      <c r="AZ281" s="653"/>
      <c r="BA281" s="653"/>
      <c r="BB281" s="653"/>
    </row>
    <row r="282" spans="1:54" s="175" customFormat="1" ht="12.75" hidden="1" outlineLevel="1">
      <c r="A282" s="173" t="s">
        <v>1710</v>
      </c>
      <c r="B282" s="174"/>
      <c r="C282" s="174" t="s">
        <v>1711</v>
      </c>
      <c r="D282" s="174" t="s">
        <v>1712</v>
      </c>
      <c r="E282" s="210">
        <v>116925.45</v>
      </c>
      <c r="F282" s="210">
        <v>0</v>
      </c>
      <c r="G282" s="210"/>
      <c r="H282" s="211">
        <v>0</v>
      </c>
      <c r="I282" s="211">
        <v>0</v>
      </c>
      <c r="J282" s="211">
        <v>0</v>
      </c>
      <c r="K282" s="211">
        <v>0</v>
      </c>
      <c r="L282" s="211">
        <v>0</v>
      </c>
      <c r="M282" s="211">
        <v>0</v>
      </c>
      <c r="N282" s="211">
        <v>0</v>
      </c>
      <c r="O282" s="210">
        <v>0</v>
      </c>
      <c r="P282" s="210">
        <v>0</v>
      </c>
      <c r="Q282" s="210">
        <f t="shared" si="7"/>
        <v>116925.45</v>
      </c>
      <c r="R282" s="173"/>
      <c r="T282" s="653"/>
      <c r="U282" s="653"/>
      <c r="V282" s="653"/>
      <c r="W282" s="653"/>
      <c r="X282" s="653"/>
      <c r="Y282" s="653"/>
      <c r="Z282" s="653"/>
      <c r="AA282" s="653"/>
      <c r="AB282" s="653"/>
      <c r="AC282" s="653"/>
      <c r="AD282" s="653"/>
      <c r="AE282" s="653"/>
      <c r="AF282" s="653"/>
      <c r="AG282" s="653"/>
      <c r="AH282" s="653"/>
      <c r="AI282" s="653"/>
      <c r="AJ282" s="653"/>
      <c r="AK282" s="653"/>
      <c r="AL282" s="653"/>
      <c r="AM282" s="653"/>
      <c r="AN282" s="653"/>
      <c r="AO282" s="653"/>
      <c r="AP282" s="653"/>
      <c r="AQ282" s="653"/>
      <c r="AR282" s="653"/>
      <c r="AS282" s="653"/>
      <c r="AT282" s="653"/>
      <c r="AU282" s="653"/>
      <c r="AV282" s="653"/>
      <c r="AW282" s="653"/>
      <c r="AX282" s="653"/>
      <c r="AY282" s="653"/>
      <c r="AZ282" s="653"/>
      <c r="BA282" s="653"/>
      <c r="BB282" s="653"/>
    </row>
    <row r="283" spans="1:54" s="175" customFormat="1" ht="12.75" hidden="1" outlineLevel="1">
      <c r="A283" s="173" t="s">
        <v>1713</v>
      </c>
      <c r="B283" s="174"/>
      <c r="C283" s="174" t="s">
        <v>1714</v>
      </c>
      <c r="D283" s="174" t="s">
        <v>1715</v>
      </c>
      <c r="E283" s="210">
        <v>2179.38</v>
      </c>
      <c r="F283" s="210">
        <v>0</v>
      </c>
      <c r="G283" s="210"/>
      <c r="H283" s="211">
        <v>0</v>
      </c>
      <c r="I283" s="211">
        <v>0</v>
      </c>
      <c r="J283" s="211">
        <v>0</v>
      </c>
      <c r="K283" s="211">
        <v>0</v>
      </c>
      <c r="L283" s="211">
        <v>0</v>
      </c>
      <c r="M283" s="211">
        <v>0</v>
      </c>
      <c r="N283" s="211">
        <v>0</v>
      </c>
      <c r="O283" s="210">
        <v>0</v>
      </c>
      <c r="P283" s="210">
        <v>0</v>
      </c>
      <c r="Q283" s="210">
        <f t="shared" si="7"/>
        <v>2179.38</v>
      </c>
      <c r="R283" s="173"/>
      <c r="T283" s="653"/>
      <c r="U283" s="653"/>
      <c r="V283" s="653"/>
      <c r="W283" s="653"/>
      <c r="X283" s="653"/>
      <c r="Y283" s="653"/>
      <c r="Z283" s="653"/>
      <c r="AA283" s="653"/>
      <c r="AB283" s="653"/>
      <c r="AC283" s="653"/>
      <c r="AD283" s="653"/>
      <c r="AE283" s="653"/>
      <c r="AF283" s="653"/>
      <c r="AG283" s="653"/>
      <c r="AH283" s="653"/>
      <c r="AI283" s="653"/>
      <c r="AJ283" s="653"/>
      <c r="AK283" s="653"/>
      <c r="AL283" s="653"/>
      <c r="AM283" s="653"/>
      <c r="AN283" s="653"/>
      <c r="AO283" s="653"/>
      <c r="AP283" s="653"/>
      <c r="AQ283" s="653"/>
      <c r="AR283" s="653"/>
      <c r="AS283" s="653"/>
      <c r="AT283" s="653"/>
      <c r="AU283" s="653"/>
      <c r="AV283" s="653"/>
      <c r="AW283" s="653"/>
      <c r="AX283" s="653"/>
      <c r="AY283" s="653"/>
      <c r="AZ283" s="653"/>
      <c r="BA283" s="653"/>
      <c r="BB283" s="653"/>
    </row>
    <row r="284" spans="1:54" s="175" customFormat="1" ht="12.75" hidden="1" outlineLevel="1">
      <c r="A284" s="173" t="s">
        <v>1716</v>
      </c>
      <c r="B284" s="174"/>
      <c r="C284" s="174" t="s">
        <v>1717</v>
      </c>
      <c r="D284" s="174" t="s">
        <v>1718</v>
      </c>
      <c r="E284" s="210">
        <v>101706.85</v>
      </c>
      <c r="F284" s="210">
        <v>0</v>
      </c>
      <c r="G284" s="210"/>
      <c r="H284" s="211">
        <v>0</v>
      </c>
      <c r="I284" s="211">
        <v>0</v>
      </c>
      <c r="J284" s="211">
        <v>0</v>
      </c>
      <c r="K284" s="211">
        <v>0</v>
      </c>
      <c r="L284" s="211">
        <v>0</v>
      </c>
      <c r="M284" s="211">
        <v>0</v>
      </c>
      <c r="N284" s="211">
        <v>0</v>
      </c>
      <c r="O284" s="210">
        <v>0</v>
      </c>
      <c r="P284" s="210">
        <v>0</v>
      </c>
      <c r="Q284" s="210">
        <f t="shared" si="7"/>
        <v>101706.85</v>
      </c>
      <c r="R284" s="173"/>
      <c r="T284" s="653"/>
      <c r="U284" s="653"/>
      <c r="V284" s="653"/>
      <c r="W284" s="653"/>
      <c r="X284" s="653"/>
      <c r="Y284" s="653"/>
      <c r="Z284" s="653"/>
      <c r="AA284" s="653"/>
      <c r="AB284" s="653"/>
      <c r="AC284" s="653"/>
      <c r="AD284" s="653"/>
      <c r="AE284" s="653"/>
      <c r="AF284" s="653"/>
      <c r="AG284" s="653"/>
      <c r="AH284" s="653"/>
      <c r="AI284" s="653"/>
      <c r="AJ284" s="653"/>
      <c r="AK284" s="653"/>
      <c r="AL284" s="653"/>
      <c r="AM284" s="653"/>
      <c r="AN284" s="653"/>
      <c r="AO284" s="653"/>
      <c r="AP284" s="653"/>
      <c r="AQ284" s="653"/>
      <c r="AR284" s="653"/>
      <c r="AS284" s="653"/>
      <c r="AT284" s="653"/>
      <c r="AU284" s="653"/>
      <c r="AV284" s="653"/>
      <c r="AW284" s="653"/>
      <c r="AX284" s="653"/>
      <c r="AY284" s="653"/>
      <c r="AZ284" s="653"/>
      <c r="BA284" s="653"/>
      <c r="BB284" s="653"/>
    </row>
    <row r="285" spans="1:54" s="175" customFormat="1" ht="12.75" hidden="1" outlineLevel="1">
      <c r="A285" s="173" t="s">
        <v>1719</v>
      </c>
      <c r="B285" s="174"/>
      <c r="C285" s="174" t="s">
        <v>1720</v>
      </c>
      <c r="D285" s="174" t="s">
        <v>1721</v>
      </c>
      <c r="E285" s="210">
        <v>2093.53</v>
      </c>
      <c r="F285" s="210">
        <v>0</v>
      </c>
      <c r="G285" s="210"/>
      <c r="H285" s="211">
        <v>0</v>
      </c>
      <c r="I285" s="211">
        <v>0</v>
      </c>
      <c r="J285" s="211">
        <v>0</v>
      </c>
      <c r="K285" s="211">
        <v>0</v>
      </c>
      <c r="L285" s="211">
        <v>0</v>
      </c>
      <c r="M285" s="211">
        <v>0</v>
      </c>
      <c r="N285" s="211">
        <v>0</v>
      </c>
      <c r="O285" s="210">
        <v>0</v>
      </c>
      <c r="P285" s="210">
        <v>0</v>
      </c>
      <c r="Q285" s="210">
        <f t="shared" si="7"/>
        <v>2093.53</v>
      </c>
      <c r="R285" s="173"/>
      <c r="T285" s="653"/>
      <c r="U285" s="653"/>
      <c r="V285" s="653"/>
      <c r="W285" s="653"/>
      <c r="X285" s="653"/>
      <c r="Y285" s="653"/>
      <c r="Z285" s="653"/>
      <c r="AA285" s="653"/>
      <c r="AB285" s="653"/>
      <c r="AC285" s="653"/>
      <c r="AD285" s="653"/>
      <c r="AE285" s="653"/>
      <c r="AF285" s="653"/>
      <c r="AG285" s="653"/>
      <c r="AH285" s="653"/>
      <c r="AI285" s="653"/>
      <c r="AJ285" s="653"/>
      <c r="AK285" s="653"/>
      <c r="AL285" s="653"/>
      <c r="AM285" s="653"/>
      <c r="AN285" s="653"/>
      <c r="AO285" s="653"/>
      <c r="AP285" s="653"/>
      <c r="AQ285" s="653"/>
      <c r="AR285" s="653"/>
      <c r="AS285" s="653"/>
      <c r="AT285" s="653"/>
      <c r="AU285" s="653"/>
      <c r="AV285" s="653"/>
      <c r="AW285" s="653"/>
      <c r="AX285" s="653"/>
      <c r="AY285" s="653"/>
      <c r="AZ285" s="653"/>
      <c r="BA285" s="653"/>
      <c r="BB285" s="653"/>
    </row>
    <row r="286" spans="1:54" s="175" customFormat="1" ht="12.75" hidden="1" outlineLevel="1">
      <c r="A286" s="173" t="s">
        <v>1722</v>
      </c>
      <c r="B286" s="174"/>
      <c r="C286" s="174" t="s">
        <v>1723</v>
      </c>
      <c r="D286" s="174" t="s">
        <v>1724</v>
      </c>
      <c r="E286" s="210">
        <v>-5051.69</v>
      </c>
      <c r="F286" s="210">
        <v>0</v>
      </c>
      <c r="G286" s="210"/>
      <c r="H286" s="211">
        <v>0</v>
      </c>
      <c r="I286" s="211">
        <v>0</v>
      </c>
      <c r="J286" s="211">
        <v>0</v>
      </c>
      <c r="K286" s="211">
        <v>0</v>
      </c>
      <c r="L286" s="211">
        <v>0</v>
      </c>
      <c r="M286" s="211">
        <v>0</v>
      </c>
      <c r="N286" s="211">
        <v>0</v>
      </c>
      <c r="O286" s="210">
        <v>0</v>
      </c>
      <c r="P286" s="210">
        <v>0</v>
      </c>
      <c r="Q286" s="210">
        <f t="shared" si="7"/>
        <v>-5051.69</v>
      </c>
      <c r="R286" s="173"/>
      <c r="T286" s="653"/>
      <c r="U286" s="653"/>
      <c r="V286" s="653"/>
      <c r="W286" s="653"/>
      <c r="X286" s="653"/>
      <c r="Y286" s="653"/>
      <c r="Z286" s="653"/>
      <c r="AA286" s="653"/>
      <c r="AB286" s="653"/>
      <c r="AC286" s="653"/>
      <c r="AD286" s="653"/>
      <c r="AE286" s="653"/>
      <c r="AF286" s="653"/>
      <c r="AG286" s="653"/>
      <c r="AH286" s="653"/>
      <c r="AI286" s="653"/>
      <c r="AJ286" s="653"/>
      <c r="AK286" s="653"/>
      <c r="AL286" s="653"/>
      <c r="AM286" s="653"/>
      <c r="AN286" s="653"/>
      <c r="AO286" s="653"/>
      <c r="AP286" s="653"/>
      <c r="AQ286" s="653"/>
      <c r="AR286" s="653"/>
      <c r="AS286" s="653"/>
      <c r="AT286" s="653"/>
      <c r="AU286" s="653"/>
      <c r="AV286" s="653"/>
      <c r="AW286" s="653"/>
      <c r="AX286" s="653"/>
      <c r="AY286" s="653"/>
      <c r="AZ286" s="653"/>
      <c r="BA286" s="653"/>
      <c r="BB286" s="653"/>
    </row>
    <row r="287" spans="1:54" s="175" customFormat="1" ht="12.75" hidden="1" outlineLevel="1">
      <c r="A287" s="173" t="s">
        <v>1725</v>
      </c>
      <c r="B287" s="174"/>
      <c r="C287" s="174" t="s">
        <v>1726</v>
      </c>
      <c r="D287" s="174" t="s">
        <v>1727</v>
      </c>
      <c r="E287" s="210">
        <v>-145812.09</v>
      </c>
      <c r="F287" s="210">
        <v>95312.09</v>
      </c>
      <c r="G287" s="210"/>
      <c r="H287" s="211">
        <v>0</v>
      </c>
      <c r="I287" s="211">
        <v>0</v>
      </c>
      <c r="J287" s="211">
        <v>5900</v>
      </c>
      <c r="K287" s="211">
        <v>0</v>
      </c>
      <c r="L287" s="211">
        <v>0</v>
      </c>
      <c r="M287" s="211">
        <v>0</v>
      </c>
      <c r="N287" s="211">
        <v>0</v>
      </c>
      <c r="O287" s="210">
        <v>5900</v>
      </c>
      <c r="P287" s="210">
        <v>0</v>
      </c>
      <c r="Q287" s="210">
        <f t="shared" si="7"/>
        <v>-44600</v>
      </c>
      <c r="R287" s="173"/>
      <c r="T287" s="653"/>
      <c r="U287" s="653"/>
      <c r="V287" s="653"/>
      <c r="W287" s="653"/>
      <c r="X287" s="653"/>
      <c r="Y287" s="653"/>
      <c r="Z287" s="653"/>
      <c r="AA287" s="653"/>
      <c r="AB287" s="653"/>
      <c r="AC287" s="653"/>
      <c r="AD287" s="653"/>
      <c r="AE287" s="653"/>
      <c r="AF287" s="653"/>
      <c r="AG287" s="653"/>
      <c r="AH287" s="653"/>
      <c r="AI287" s="653"/>
      <c r="AJ287" s="653"/>
      <c r="AK287" s="653"/>
      <c r="AL287" s="653"/>
      <c r="AM287" s="653"/>
      <c r="AN287" s="653"/>
      <c r="AO287" s="653"/>
      <c r="AP287" s="653"/>
      <c r="AQ287" s="653"/>
      <c r="AR287" s="653"/>
      <c r="AS287" s="653"/>
      <c r="AT287" s="653"/>
      <c r="AU287" s="653"/>
      <c r="AV287" s="653"/>
      <c r="AW287" s="653"/>
      <c r="AX287" s="653"/>
      <c r="AY287" s="653"/>
      <c r="AZ287" s="653"/>
      <c r="BA287" s="653"/>
      <c r="BB287" s="653"/>
    </row>
    <row r="288" spans="1:54" s="175" customFormat="1" ht="12.75" hidden="1" outlineLevel="1">
      <c r="A288" s="173" t="s">
        <v>1728</v>
      </c>
      <c r="B288" s="174"/>
      <c r="C288" s="174" t="s">
        <v>1729</v>
      </c>
      <c r="D288" s="174" t="s">
        <v>1730</v>
      </c>
      <c r="E288" s="210">
        <v>-74959.9</v>
      </c>
      <c r="F288" s="210">
        <v>0</v>
      </c>
      <c r="G288" s="210"/>
      <c r="H288" s="211">
        <v>0</v>
      </c>
      <c r="I288" s="211">
        <v>0</v>
      </c>
      <c r="J288" s="211">
        <v>0</v>
      </c>
      <c r="K288" s="211">
        <v>0</v>
      </c>
      <c r="L288" s="211">
        <v>0</v>
      </c>
      <c r="M288" s="211">
        <v>0</v>
      </c>
      <c r="N288" s="211">
        <v>0</v>
      </c>
      <c r="O288" s="210">
        <v>0</v>
      </c>
      <c r="P288" s="210">
        <v>0</v>
      </c>
      <c r="Q288" s="210">
        <f t="shared" si="7"/>
        <v>-74959.9</v>
      </c>
      <c r="R288" s="173"/>
      <c r="T288" s="653"/>
      <c r="U288" s="653"/>
      <c r="V288" s="653"/>
      <c r="W288" s="653"/>
      <c r="X288" s="653"/>
      <c r="Y288" s="653"/>
      <c r="Z288" s="653"/>
      <c r="AA288" s="653"/>
      <c r="AB288" s="653"/>
      <c r="AC288" s="653"/>
      <c r="AD288" s="653"/>
      <c r="AE288" s="653"/>
      <c r="AF288" s="653"/>
      <c r="AG288" s="653"/>
      <c r="AH288" s="653"/>
      <c r="AI288" s="653"/>
      <c r="AJ288" s="653"/>
      <c r="AK288" s="653"/>
      <c r="AL288" s="653"/>
      <c r="AM288" s="653"/>
      <c r="AN288" s="653"/>
      <c r="AO288" s="653"/>
      <c r="AP288" s="653"/>
      <c r="AQ288" s="653"/>
      <c r="AR288" s="653"/>
      <c r="AS288" s="653"/>
      <c r="AT288" s="653"/>
      <c r="AU288" s="653"/>
      <c r="AV288" s="653"/>
      <c r="AW288" s="653"/>
      <c r="AX288" s="653"/>
      <c r="AY288" s="653"/>
      <c r="AZ288" s="653"/>
      <c r="BA288" s="653"/>
      <c r="BB288" s="653"/>
    </row>
    <row r="289" spans="1:54" ht="12.75" customHeight="1" collapsed="1">
      <c r="A289" s="217" t="s">
        <v>1731</v>
      </c>
      <c r="B289" s="199"/>
      <c r="C289" s="201" t="s">
        <v>2180</v>
      </c>
      <c r="D289" s="207"/>
      <c r="E289" s="103">
        <v>12648155.009999998</v>
      </c>
      <c r="F289" s="103">
        <v>540204.68</v>
      </c>
      <c r="G289" s="103">
        <v>4362244.15</v>
      </c>
      <c r="H289" s="218">
        <v>-186315.64999999938</v>
      </c>
      <c r="I289" s="218">
        <v>-689146.53</v>
      </c>
      <c r="J289" s="218">
        <v>-69228.34</v>
      </c>
      <c r="K289" s="218">
        <v>1013.39</v>
      </c>
      <c r="L289" s="218">
        <v>-184523.84</v>
      </c>
      <c r="M289" s="218">
        <v>-20000</v>
      </c>
      <c r="N289" s="218">
        <v>-238331.08</v>
      </c>
      <c r="O289" s="103">
        <v>-1386532.05</v>
      </c>
      <c r="P289" s="103">
        <v>0</v>
      </c>
      <c r="Q289" s="103">
        <f aca="true" t="shared" si="8" ref="Q289:Q306">E289+F289+G289+O289+P289</f>
        <v>16164071.789999995</v>
      </c>
      <c r="R289" s="217"/>
      <c r="T289" s="230"/>
      <c r="U289" s="230"/>
      <c r="V289" s="230"/>
      <c r="W289" s="230"/>
      <c r="X289" s="230"/>
      <c r="Y289" s="230"/>
      <c r="Z289" s="230"/>
      <c r="AA289" s="230"/>
      <c r="AB289" s="230"/>
      <c r="AC289" s="230"/>
      <c r="AD289" s="230"/>
      <c r="AE289" s="230"/>
      <c r="AF289" s="230"/>
      <c r="AG289" s="230"/>
      <c r="AH289" s="230"/>
      <c r="AI289" s="230"/>
      <c r="AJ289" s="230"/>
      <c r="AK289" s="230"/>
      <c r="AL289" s="230"/>
      <c r="AM289" s="230"/>
      <c r="AN289" s="230"/>
      <c r="AO289" s="230"/>
      <c r="AP289" s="230"/>
      <c r="AQ289" s="230"/>
      <c r="AR289" s="230"/>
      <c r="AS289" s="230"/>
      <c r="AT289" s="230"/>
      <c r="AU289" s="230"/>
      <c r="AV289" s="230"/>
      <c r="AW289" s="230"/>
      <c r="AX289" s="230"/>
      <c r="AY289" s="230"/>
      <c r="AZ289" s="230"/>
      <c r="BA289" s="230"/>
      <c r="BB289" s="230"/>
    </row>
    <row r="290" spans="1:18" s="175" customFormat="1" ht="12.75" hidden="1" outlineLevel="1">
      <c r="A290" s="173" t="s">
        <v>1732</v>
      </c>
      <c r="B290" s="174"/>
      <c r="C290" s="174" t="s">
        <v>1733</v>
      </c>
      <c r="D290" s="174" t="s">
        <v>1734</v>
      </c>
      <c r="E290" s="210">
        <v>1847000</v>
      </c>
      <c r="F290" s="210">
        <v>0</v>
      </c>
      <c r="G290" s="210"/>
      <c r="H290" s="211">
        <v>0</v>
      </c>
      <c r="I290" s="211">
        <v>0</v>
      </c>
      <c r="J290" s="211">
        <v>0</v>
      </c>
      <c r="K290" s="211">
        <v>0</v>
      </c>
      <c r="L290" s="211">
        <v>0</v>
      </c>
      <c r="M290" s="211">
        <v>0</v>
      </c>
      <c r="N290" s="211">
        <v>0</v>
      </c>
      <c r="O290" s="210">
        <v>0</v>
      </c>
      <c r="P290" s="210">
        <v>0</v>
      </c>
      <c r="Q290" s="210">
        <f t="shared" si="8"/>
        <v>1847000</v>
      </c>
      <c r="R290" s="173"/>
    </row>
    <row r="291" spans="1:18" ht="12.75" customHeight="1" collapsed="1">
      <c r="A291" s="201" t="s">
        <v>1735</v>
      </c>
      <c r="B291" s="199"/>
      <c r="C291" s="201" t="s">
        <v>2181</v>
      </c>
      <c r="D291" s="207"/>
      <c r="E291" s="103">
        <v>1847000</v>
      </c>
      <c r="F291" s="103">
        <v>0</v>
      </c>
      <c r="G291" s="103">
        <v>0</v>
      </c>
      <c r="H291" s="219">
        <v>0</v>
      </c>
      <c r="I291" s="219">
        <v>0</v>
      </c>
      <c r="J291" s="219">
        <v>0</v>
      </c>
      <c r="K291" s="219">
        <v>0</v>
      </c>
      <c r="L291" s="219">
        <v>0</v>
      </c>
      <c r="M291" s="219">
        <v>0</v>
      </c>
      <c r="N291" s="219">
        <v>0</v>
      </c>
      <c r="O291" s="103">
        <v>0</v>
      </c>
      <c r="P291" s="103">
        <v>0</v>
      </c>
      <c r="Q291" s="103">
        <f t="shared" si="8"/>
        <v>1847000</v>
      </c>
      <c r="R291" s="201"/>
    </row>
    <row r="292" spans="1:18" s="175" customFormat="1" ht="12.75" hidden="1" outlineLevel="1">
      <c r="A292" s="173" t="s">
        <v>1736</v>
      </c>
      <c r="B292" s="174"/>
      <c r="C292" s="174" t="s">
        <v>1737</v>
      </c>
      <c r="D292" s="174" t="s">
        <v>1738</v>
      </c>
      <c r="E292" s="210">
        <v>367586.43</v>
      </c>
      <c r="F292" s="210">
        <v>0</v>
      </c>
      <c r="G292" s="210"/>
      <c r="H292" s="211">
        <v>0</v>
      </c>
      <c r="I292" s="211">
        <v>0</v>
      </c>
      <c r="J292" s="211">
        <v>19968.75</v>
      </c>
      <c r="K292" s="211">
        <v>0</v>
      </c>
      <c r="L292" s="211">
        <v>8600</v>
      </c>
      <c r="M292" s="211">
        <v>0</v>
      </c>
      <c r="N292" s="211">
        <v>0</v>
      </c>
      <c r="O292" s="210">
        <v>28568.75</v>
      </c>
      <c r="P292" s="210">
        <v>0</v>
      </c>
      <c r="Q292" s="210">
        <f t="shared" si="8"/>
        <v>396155.18</v>
      </c>
      <c r="R292" s="173"/>
    </row>
    <row r="293" spans="1:18" s="175" customFormat="1" ht="12.75" hidden="1" outlineLevel="1">
      <c r="A293" s="173" t="s">
        <v>1739</v>
      </c>
      <c r="B293" s="174"/>
      <c r="C293" s="174" t="s">
        <v>1740</v>
      </c>
      <c r="D293" s="174" t="s">
        <v>1741</v>
      </c>
      <c r="E293" s="210">
        <v>64271.48</v>
      </c>
      <c r="F293" s="210">
        <v>0</v>
      </c>
      <c r="G293" s="210"/>
      <c r="H293" s="211">
        <v>0</v>
      </c>
      <c r="I293" s="211">
        <v>0</v>
      </c>
      <c r="J293" s="211">
        <v>0</v>
      </c>
      <c r="K293" s="211">
        <v>0</v>
      </c>
      <c r="L293" s="211">
        <v>0</v>
      </c>
      <c r="M293" s="211">
        <v>0</v>
      </c>
      <c r="N293" s="211">
        <v>0</v>
      </c>
      <c r="O293" s="210">
        <v>0</v>
      </c>
      <c r="P293" s="210">
        <v>0</v>
      </c>
      <c r="Q293" s="210">
        <f t="shared" si="8"/>
        <v>64271.48</v>
      </c>
      <c r="R293" s="173"/>
    </row>
    <row r="294" spans="1:18" s="175" customFormat="1" ht="12.75" hidden="1" outlineLevel="1">
      <c r="A294" s="173" t="s">
        <v>1742</v>
      </c>
      <c r="B294" s="174"/>
      <c r="C294" s="174" t="s">
        <v>1743</v>
      </c>
      <c r="D294" s="174" t="s">
        <v>1744</v>
      </c>
      <c r="E294" s="210">
        <v>49258.07</v>
      </c>
      <c r="F294" s="210">
        <v>0</v>
      </c>
      <c r="G294" s="210"/>
      <c r="H294" s="211">
        <v>0</v>
      </c>
      <c r="I294" s="211">
        <v>0</v>
      </c>
      <c r="J294" s="211">
        <v>0</v>
      </c>
      <c r="K294" s="211">
        <v>0</v>
      </c>
      <c r="L294" s="211">
        <v>0</v>
      </c>
      <c r="M294" s="211">
        <v>0</v>
      </c>
      <c r="N294" s="211">
        <v>0</v>
      </c>
      <c r="O294" s="210">
        <v>0</v>
      </c>
      <c r="P294" s="210">
        <v>0</v>
      </c>
      <c r="Q294" s="210">
        <f t="shared" si="8"/>
        <v>49258.07</v>
      </c>
      <c r="R294" s="173"/>
    </row>
    <row r="295" spans="1:18" s="175" customFormat="1" ht="12.75" hidden="1" outlineLevel="1">
      <c r="A295" s="173" t="s">
        <v>1745</v>
      </c>
      <c r="B295" s="174"/>
      <c r="C295" s="174" t="s">
        <v>1746</v>
      </c>
      <c r="D295" s="174" t="s">
        <v>1747</v>
      </c>
      <c r="E295" s="210">
        <v>5295</v>
      </c>
      <c r="F295" s="210">
        <v>0</v>
      </c>
      <c r="G295" s="210"/>
      <c r="H295" s="211">
        <v>47110.43</v>
      </c>
      <c r="I295" s="211">
        <v>0</v>
      </c>
      <c r="J295" s="211">
        <v>0</v>
      </c>
      <c r="K295" s="211">
        <v>0</v>
      </c>
      <c r="L295" s="211">
        <v>0</v>
      </c>
      <c r="M295" s="211">
        <v>0</v>
      </c>
      <c r="N295" s="211">
        <v>0</v>
      </c>
      <c r="O295" s="210">
        <v>47110.43</v>
      </c>
      <c r="P295" s="210">
        <v>0</v>
      </c>
      <c r="Q295" s="210">
        <f t="shared" si="8"/>
        <v>52405.43</v>
      </c>
      <c r="R295" s="173"/>
    </row>
    <row r="296" spans="1:18" s="175" customFormat="1" ht="12.75" hidden="1" outlineLevel="1">
      <c r="A296" s="173" t="s">
        <v>1748</v>
      </c>
      <c r="B296" s="174"/>
      <c r="C296" s="174" t="s">
        <v>1749</v>
      </c>
      <c r="D296" s="174" t="s">
        <v>1750</v>
      </c>
      <c r="E296" s="210">
        <v>250657.88</v>
      </c>
      <c r="F296" s="210">
        <v>0</v>
      </c>
      <c r="G296" s="210"/>
      <c r="H296" s="211">
        <v>0</v>
      </c>
      <c r="I296" s="211">
        <v>0</v>
      </c>
      <c r="J296" s="211">
        <v>0</v>
      </c>
      <c r="K296" s="211">
        <v>0</v>
      </c>
      <c r="L296" s="211">
        <v>0</v>
      </c>
      <c r="M296" s="211">
        <v>0</v>
      </c>
      <c r="N296" s="211">
        <v>0</v>
      </c>
      <c r="O296" s="210">
        <v>0</v>
      </c>
      <c r="P296" s="210">
        <v>0</v>
      </c>
      <c r="Q296" s="210">
        <f t="shared" si="8"/>
        <v>250657.88</v>
      </c>
      <c r="R296" s="173"/>
    </row>
    <row r="297" spans="1:18" s="175" customFormat="1" ht="12.75" hidden="1" outlineLevel="1">
      <c r="A297" s="173" t="s">
        <v>1751</v>
      </c>
      <c r="B297" s="174"/>
      <c r="C297" s="174" t="s">
        <v>1752</v>
      </c>
      <c r="D297" s="174" t="s">
        <v>1753</v>
      </c>
      <c r="E297" s="210">
        <v>14519.8</v>
      </c>
      <c r="F297" s="210">
        <v>0</v>
      </c>
      <c r="G297" s="210"/>
      <c r="H297" s="211">
        <v>0</v>
      </c>
      <c r="I297" s="211">
        <v>0</v>
      </c>
      <c r="J297" s="211">
        <v>0</v>
      </c>
      <c r="K297" s="211">
        <v>0</v>
      </c>
      <c r="L297" s="211">
        <v>0</v>
      </c>
      <c r="M297" s="211">
        <v>0</v>
      </c>
      <c r="N297" s="211">
        <v>0</v>
      </c>
      <c r="O297" s="210">
        <v>0</v>
      </c>
      <c r="P297" s="210">
        <v>0</v>
      </c>
      <c r="Q297" s="210">
        <f t="shared" si="8"/>
        <v>14519.8</v>
      </c>
      <c r="R297" s="173"/>
    </row>
    <row r="298" spans="1:18" s="175" customFormat="1" ht="12.75" hidden="1" outlineLevel="1">
      <c r="A298" s="173" t="s">
        <v>1754</v>
      </c>
      <c r="B298" s="174"/>
      <c r="C298" s="174" t="s">
        <v>1755</v>
      </c>
      <c r="D298" s="174" t="s">
        <v>1756</v>
      </c>
      <c r="E298" s="210">
        <v>974849.46</v>
      </c>
      <c r="F298" s="210">
        <v>0</v>
      </c>
      <c r="G298" s="210"/>
      <c r="H298" s="211">
        <v>0</v>
      </c>
      <c r="I298" s="211">
        <v>0</v>
      </c>
      <c r="J298" s="211">
        <v>0</v>
      </c>
      <c r="K298" s="211">
        <v>0</v>
      </c>
      <c r="L298" s="211">
        <v>0</v>
      </c>
      <c r="M298" s="211">
        <v>0</v>
      </c>
      <c r="N298" s="211">
        <v>0</v>
      </c>
      <c r="O298" s="210">
        <v>0</v>
      </c>
      <c r="P298" s="210">
        <v>0</v>
      </c>
      <c r="Q298" s="210">
        <f t="shared" si="8"/>
        <v>974849.46</v>
      </c>
      <c r="R298" s="173"/>
    </row>
    <row r="299" spans="1:18" s="175" customFormat="1" ht="12.75" hidden="1" outlineLevel="1">
      <c r="A299" s="173" t="s">
        <v>1757</v>
      </c>
      <c r="B299" s="174"/>
      <c r="C299" s="174" t="s">
        <v>1758</v>
      </c>
      <c r="D299" s="174" t="s">
        <v>1759</v>
      </c>
      <c r="E299" s="210">
        <v>17580.14</v>
      </c>
      <c r="F299" s="210">
        <v>0</v>
      </c>
      <c r="G299" s="210"/>
      <c r="H299" s="211">
        <v>0</v>
      </c>
      <c r="I299" s="211">
        <v>0</v>
      </c>
      <c r="J299" s="211">
        <v>0</v>
      </c>
      <c r="K299" s="211">
        <v>0</v>
      </c>
      <c r="L299" s="211">
        <v>0</v>
      </c>
      <c r="M299" s="211">
        <v>0</v>
      </c>
      <c r="N299" s="211">
        <v>0</v>
      </c>
      <c r="O299" s="210">
        <v>0</v>
      </c>
      <c r="P299" s="210">
        <v>0</v>
      </c>
      <c r="Q299" s="210">
        <f t="shared" si="8"/>
        <v>17580.14</v>
      </c>
      <c r="R299" s="173"/>
    </row>
    <row r="300" spans="1:18" s="175" customFormat="1" ht="12.75" hidden="1" outlineLevel="1">
      <c r="A300" s="173" t="s">
        <v>1760</v>
      </c>
      <c r="B300" s="174"/>
      <c r="C300" s="174" t="s">
        <v>1761</v>
      </c>
      <c r="D300" s="174" t="s">
        <v>1762</v>
      </c>
      <c r="E300" s="210">
        <v>273348.1</v>
      </c>
      <c r="F300" s="210">
        <v>0</v>
      </c>
      <c r="G300" s="210"/>
      <c r="H300" s="211">
        <v>0</v>
      </c>
      <c r="I300" s="211">
        <v>0</v>
      </c>
      <c r="J300" s="211">
        <v>0</v>
      </c>
      <c r="K300" s="211">
        <v>0</v>
      </c>
      <c r="L300" s="211">
        <v>0</v>
      </c>
      <c r="M300" s="211">
        <v>0</v>
      </c>
      <c r="N300" s="211">
        <v>0</v>
      </c>
      <c r="O300" s="210">
        <v>0</v>
      </c>
      <c r="P300" s="210">
        <v>0</v>
      </c>
      <c r="Q300" s="210">
        <f t="shared" si="8"/>
        <v>273348.1</v>
      </c>
      <c r="R300" s="173"/>
    </row>
    <row r="301" spans="1:18" s="175" customFormat="1" ht="12.75" hidden="1" outlineLevel="1">
      <c r="A301" s="173" t="s">
        <v>1763</v>
      </c>
      <c r="B301" s="174"/>
      <c r="C301" s="174" t="s">
        <v>1764</v>
      </c>
      <c r="D301" s="174" t="s">
        <v>1765</v>
      </c>
      <c r="E301" s="210">
        <v>246763.64</v>
      </c>
      <c r="F301" s="210">
        <v>0</v>
      </c>
      <c r="G301" s="210"/>
      <c r="H301" s="211">
        <v>0</v>
      </c>
      <c r="I301" s="211">
        <v>0</v>
      </c>
      <c r="J301" s="211">
        <v>0</v>
      </c>
      <c r="K301" s="211">
        <v>0</v>
      </c>
      <c r="L301" s="211">
        <v>0</v>
      </c>
      <c r="M301" s="211">
        <v>0</v>
      </c>
      <c r="N301" s="211">
        <v>4496.66</v>
      </c>
      <c r="O301" s="210">
        <v>4496.66</v>
      </c>
      <c r="P301" s="210">
        <v>0</v>
      </c>
      <c r="Q301" s="210">
        <f t="shared" si="8"/>
        <v>251260.30000000002</v>
      </c>
      <c r="R301" s="173"/>
    </row>
    <row r="302" spans="1:18" s="175" customFormat="1" ht="12.75" hidden="1" outlineLevel="1">
      <c r="A302" s="173" t="s">
        <v>1766</v>
      </c>
      <c r="B302" s="174"/>
      <c r="C302" s="174" t="s">
        <v>1767</v>
      </c>
      <c r="D302" s="174" t="s">
        <v>1768</v>
      </c>
      <c r="E302" s="210">
        <v>4908.61</v>
      </c>
      <c r="F302" s="210">
        <v>0</v>
      </c>
      <c r="G302" s="210"/>
      <c r="H302" s="211">
        <v>0</v>
      </c>
      <c r="I302" s="211">
        <v>0</v>
      </c>
      <c r="J302" s="211">
        <v>0</v>
      </c>
      <c r="K302" s="211">
        <v>0</v>
      </c>
      <c r="L302" s="211">
        <v>0</v>
      </c>
      <c r="M302" s="211">
        <v>0</v>
      </c>
      <c r="N302" s="211">
        <v>0</v>
      </c>
      <c r="O302" s="210">
        <v>0</v>
      </c>
      <c r="P302" s="210">
        <v>0</v>
      </c>
      <c r="Q302" s="210">
        <f t="shared" si="8"/>
        <v>4908.61</v>
      </c>
      <c r="R302" s="173"/>
    </row>
    <row r="303" spans="1:18" s="175" customFormat="1" ht="12.75" hidden="1" outlineLevel="1">
      <c r="A303" s="173" t="s">
        <v>1769</v>
      </c>
      <c r="B303" s="174"/>
      <c r="C303" s="174" t="s">
        <v>1770</v>
      </c>
      <c r="D303" s="174" t="s">
        <v>1771</v>
      </c>
      <c r="E303" s="210">
        <v>39048.43</v>
      </c>
      <c r="F303" s="210">
        <v>0</v>
      </c>
      <c r="G303" s="210"/>
      <c r="H303" s="211">
        <v>0</v>
      </c>
      <c r="I303" s="211">
        <v>0</v>
      </c>
      <c r="J303" s="211">
        <v>0</v>
      </c>
      <c r="K303" s="211">
        <v>0</v>
      </c>
      <c r="L303" s="211">
        <v>0</v>
      </c>
      <c r="M303" s="211">
        <v>0</v>
      </c>
      <c r="N303" s="211">
        <v>0</v>
      </c>
      <c r="O303" s="210">
        <v>0</v>
      </c>
      <c r="P303" s="210">
        <v>0</v>
      </c>
      <c r="Q303" s="210">
        <f t="shared" si="8"/>
        <v>39048.43</v>
      </c>
      <c r="R303" s="173"/>
    </row>
    <row r="304" spans="1:18" s="175" customFormat="1" ht="12.75" hidden="1" outlineLevel="1">
      <c r="A304" s="173" t="s">
        <v>1772</v>
      </c>
      <c r="B304" s="174"/>
      <c r="C304" s="174" t="s">
        <v>1773</v>
      </c>
      <c r="D304" s="174" t="s">
        <v>1774</v>
      </c>
      <c r="E304" s="210">
        <v>4180.59</v>
      </c>
      <c r="F304" s="210">
        <v>0</v>
      </c>
      <c r="G304" s="210"/>
      <c r="H304" s="211">
        <v>0</v>
      </c>
      <c r="I304" s="211">
        <v>0</v>
      </c>
      <c r="J304" s="211">
        <v>0</v>
      </c>
      <c r="K304" s="211">
        <v>0</v>
      </c>
      <c r="L304" s="211">
        <v>0</v>
      </c>
      <c r="M304" s="211">
        <v>0</v>
      </c>
      <c r="N304" s="211">
        <v>0</v>
      </c>
      <c r="O304" s="210">
        <v>0</v>
      </c>
      <c r="P304" s="210">
        <v>0</v>
      </c>
      <c r="Q304" s="210">
        <f t="shared" si="8"/>
        <v>4180.59</v>
      </c>
      <c r="R304" s="173"/>
    </row>
    <row r="305" spans="1:18" ht="12.75" customHeight="1" collapsed="1">
      <c r="A305" s="201" t="s">
        <v>1775</v>
      </c>
      <c r="B305" s="199"/>
      <c r="C305" s="201" t="s">
        <v>1776</v>
      </c>
      <c r="D305" s="207"/>
      <c r="E305" s="103">
        <v>2312267.63</v>
      </c>
      <c r="F305" s="103">
        <v>0</v>
      </c>
      <c r="G305" s="103">
        <v>168774.06</v>
      </c>
      <c r="H305" s="219">
        <v>47110.43</v>
      </c>
      <c r="I305" s="219">
        <v>0</v>
      </c>
      <c r="J305" s="219">
        <v>19968.75</v>
      </c>
      <c r="K305" s="219">
        <v>0</v>
      </c>
      <c r="L305" s="219">
        <v>8600</v>
      </c>
      <c r="M305" s="219">
        <v>0</v>
      </c>
      <c r="N305" s="219">
        <v>4496.66</v>
      </c>
      <c r="O305" s="103">
        <v>80175.84</v>
      </c>
      <c r="P305" s="103">
        <v>0</v>
      </c>
      <c r="Q305" s="103">
        <f t="shared" si="8"/>
        <v>2561217.53</v>
      </c>
      <c r="R305" s="201"/>
    </row>
    <row r="306" spans="1:18" ht="12.75" customHeight="1">
      <c r="A306" s="201" t="s">
        <v>1777</v>
      </c>
      <c r="B306" s="199"/>
      <c r="C306" s="201" t="s">
        <v>2182</v>
      </c>
      <c r="D306" s="207"/>
      <c r="E306" s="103">
        <v>0</v>
      </c>
      <c r="F306" s="103">
        <v>0</v>
      </c>
      <c r="G306" s="103">
        <v>0</v>
      </c>
      <c r="H306" s="219">
        <v>0</v>
      </c>
      <c r="I306" s="219">
        <v>0</v>
      </c>
      <c r="J306" s="219">
        <v>0</v>
      </c>
      <c r="K306" s="219">
        <v>0</v>
      </c>
      <c r="L306" s="219">
        <v>0</v>
      </c>
      <c r="M306" s="219">
        <v>0</v>
      </c>
      <c r="N306" s="219">
        <v>0</v>
      </c>
      <c r="O306" s="103">
        <v>0</v>
      </c>
      <c r="P306" s="103">
        <v>0</v>
      </c>
      <c r="Q306" s="103">
        <f t="shared" si="8"/>
        <v>0</v>
      </c>
      <c r="R306" s="201"/>
    </row>
    <row r="307" spans="1:18" ht="12.75" customHeight="1">
      <c r="A307" s="220" t="s">
        <v>2108</v>
      </c>
      <c r="B307" s="214"/>
      <c r="C307" s="204" t="s">
        <v>2183</v>
      </c>
      <c r="D307" s="65"/>
      <c r="E307" s="105">
        <f aca="true" t="shared" si="9" ref="E307:Q307">E110+E128+E289+E291+E306+E305</f>
        <v>80969537.61999997</v>
      </c>
      <c r="F307" s="105">
        <f t="shared" si="9"/>
        <v>1408188.04</v>
      </c>
      <c r="G307" s="105">
        <f t="shared" si="9"/>
        <v>6196423.57</v>
      </c>
      <c r="H307" s="221">
        <f t="shared" si="9"/>
        <v>520716.3000000006</v>
      </c>
      <c r="I307" s="221">
        <f t="shared" si="9"/>
        <v>-443278.22000000003</v>
      </c>
      <c r="J307" s="221">
        <f t="shared" si="9"/>
        <v>37170.32000000001</v>
      </c>
      <c r="K307" s="221">
        <f t="shared" si="9"/>
        <v>1013.39</v>
      </c>
      <c r="L307" s="221">
        <f t="shared" si="9"/>
        <v>34123.48999999999</v>
      </c>
      <c r="M307" s="221">
        <f t="shared" si="9"/>
        <v>-20000</v>
      </c>
      <c r="N307" s="221">
        <f t="shared" si="9"/>
        <v>-152252.05999999997</v>
      </c>
      <c r="O307" s="105">
        <f t="shared" si="9"/>
        <v>-22506.779999999882</v>
      </c>
      <c r="P307" s="105">
        <f t="shared" si="9"/>
        <v>0</v>
      </c>
      <c r="Q307" s="105">
        <f t="shared" si="9"/>
        <v>88551642.44999999</v>
      </c>
      <c r="R307" s="222"/>
    </row>
    <row r="308" spans="2:17" ht="12.75" customHeight="1">
      <c r="B308" s="214"/>
      <c r="C308" s="216"/>
      <c r="D308" s="74"/>
      <c r="E308" s="103"/>
      <c r="F308" s="103"/>
      <c r="G308" s="103"/>
      <c r="H308" s="223"/>
      <c r="I308" s="223"/>
      <c r="J308" s="223"/>
      <c r="K308" s="223"/>
      <c r="L308" s="223"/>
      <c r="M308" s="223"/>
      <c r="N308" s="223"/>
      <c r="O308" s="103"/>
      <c r="P308" s="103"/>
      <c r="Q308" s="103"/>
    </row>
    <row r="309" spans="1:18" ht="12.75" customHeight="1">
      <c r="A309" s="222"/>
      <c r="B309" s="214" t="s">
        <v>1778</v>
      </c>
      <c r="C309" s="216"/>
      <c r="D309" s="74"/>
      <c r="E309" s="103"/>
      <c r="F309" s="103"/>
      <c r="G309" s="103"/>
      <c r="H309" s="224"/>
      <c r="I309" s="224"/>
      <c r="J309" s="224"/>
      <c r="K309" s="224"/>
      <c r="L309" s="224"/>
      <c r="M309" s="224"/>
      <c r="N309" s="224"/>
      <c r="O309" s="103"/>
      <c r="P309" s="103"/>
      <c r="Q309" s="103"/>
      <c r="R309" s="222"/>
    </row>
    <row r="310" spans="1:18" ht="12.75" customHeight="1">
      <c r="A310" s="220" t="s">
        <v>2108</v>
      </c>
      <c r="B310" s="214" t="s">
        <v>1779</v>
      </c>
      <c r="C310" s="216"/>
      <c r="D310" s="74"/>
      <c r="E310" s="105">
        <f aca="true" t="shared" si="10" ref="E310:Q310">E94-E307</f>
        <v>-44336593.79999995</v>
      </c>
      <c r="F310" s="105">
        <f t="shared" si="10"/>
        <v>2132770.17</v>
      </c>
      <c r="G310" s="105">
        <f t="shared" si="10"/>
        <v>2853211.92</v>
      </c>
      <c r="H310" s="221">
        <f t="shared" si="10"/>
        <v>-520716.3000000006</v>
      </c>
      <c r="I310" s="221">
        <f t="shared" si="10"/>
        <v>443278.22000000003</v>
      </c>
      <c r="J310" s="221">
        <f t="shared" si="10"/>
        <v>-7859.360000000008</v>
      </c>
      <c r="K310" s="221">
        <f t="shared" si="10"/>
        <v>3311.98</v>
      </c>
      <c r="L310" s="221">
        <f t="shared" si="10"/>
        <v>-21350.32999999999</v>
      </c>
      <c r="M310" s="221">
        <f t="shared" si="10"/>
        <v>20000</v>
      </c>
      <c r="N310" s="221">
        <f t="shared" si="10"/>
        <v>152550.29999999996</v>
      </c>
      <c r="O310" s="105">
        <f t="shared" si="10"/>
        <v>69214.5099999999</v>
      </c>
      <c r="P310" s="105">
        <f t="shared" si="10"/>
        <v>0</v>
      </c>
      <c r="Q310" s="105">
        <f t="shared" si="10"/>
        <v>-39281397.19999997</v>
      </c>
      <c r="R310" s="222"/>
    </row>
    <row r="311" spans="2:17" ht="12.75" customHeight="1">
      <c r="B311" s="199"/>
      <c r="C311" s="201"/>
      <c r="D311" s="207"/>
      <c r="E311" s="103"/>
      <c r="F311" s="103"/>
      <c r="G311" s="103"/>
      <c r="H311" s="223"/>
      <c r="I311" s="223"/>
      <c r="J311" s="223"/>
      <c r="K311" s="223"/>
      <c r="L311" s="223"/>
      <c r="M311" s="223"/>
      <c r="N311" s="223"/>
      <c r="O311" s="103"/>
      <c r="P311" s="103"/>
      <c r="Q311" s="103"/>
    </row>
    <row r="312" spans="1:18" ht="12.75" customHeight="1">
      <c r="A312" s="201" t="s">
        <v>1780</v>
      </c>
      <c r="B312" s="199"/>
      <c r="C312" s="201" t="s">
        <v>2186</v>
      </c>
      <c r="D312" s="207"/>
      <c r="E312" s="103">
        <v>44400760</v>
      </c>
      <c r="F312" s="103">
        <v>0</v>
      </c>
      <c r="G312" s="103">
        <v>0</v>
      </c>
      <c r="H312" s="219">
        <v>0</v>
      </c>
      <c r="I312" s="219">
        <v>0</v>
      </c>
      <c r="J312" s="219">
        <v>0</v>
      </c>
      <c r="K312" s="219">
        <v>0</v>
      </c>
      <c r="L312" s="219">
        <v>0</v>
      </c>
      <c r="M312" s="219">
        <v>0</v>
      </c>
      <c r="N312" s="219">
        <v>0</v>
      </c>
      <c r="O312" s="103">
        <v>0</v>
      </c>
      <c r="P312" s="103">
        <v>0</v>
      </c>
      <c r="Q312" s="103">
        <f>E312+F312+G312+O312+P312</f>
        <v>44400760</v>
      </c>
      <c r="R312" s="201"/>
    </row>
    <row r="313" spans="2:17" ht="12.75" customHeight="1">
      <c r="B313" s="199"/>
      <c r="C313" s="201"/>
      <c r="D313" s="207"/>
      <c r="E313" s="103"/>
      <c r="F313" s="103"/>
      <c r="G313" s="103"/>
      <c r="H313" s="223"/>
      <c r="I313" s="223"/>
      <c r="J313" s="223"/>
      <c r="K313" s="223"/>
      <c r="L313" s="223"/>
      <c r="M313" s="223"/>
      <c r="N313" s="223"/>
      <c r="O313" s="103"/>
      <c r="P313" s="103"/>
      <c r="Q313" s="103"/>
    </row>
    <row r="314" spans="1:18" ht="12.75" customHeight="1">
      <c r="A314" s="222"/>
      <c r="B314" s="214" t="s">
        <v>1781</v>
      </c>
      <c r="C314" s="216"/>
      <c r="D314" s="207"/>
      <c r="E314" s="103"/>
      <c r="F314" s="103"/>
      <c r="G314" s="103"/>
      <c r="H314" s="224"/>
      <c r="I314" s="224"/>
      <c r="J314" s="224"/>
      <c r="K314" s="224"/>
      <c r="L314" s="224"/>
      <c r="M314" s="224"/>
      <c r="N314" s="224"/>
      <c r="O314" s="103"/>
      <c r="P314" s="103"/>
      <c r="Q314" s="103"/>
      <c r="R314" s="222"/>
    </row>
    <row r="315" spans="1:18" ht="12.75" customHeight="1">
      <c r="A315" s="220" t="s">
        <v>2108</v>
      </c>
      <c r="B315" s="214" t="s">
        <v>1782</v>
      </c>
      <c r="C315" s="216"/>
      <c r="D315" s="74"/>
      <c r="E315" s="105">
        <f aca="true" t="shared" si="11" ref="E315:Q315">E310+E312</f>
        <v>64166.200000047684</v>
      </c>
      <c r="F315" s="105">
        <f t="shared" si="11"/>
        <v>2132770.17</v>
      </c>
      <c r="G315" s="105">
        <f t="shared" si="11"/>
        <v>2853211.92</v>
      </c>
      <c r="H315" s="221">
        <f t="shared" si="11"/>
        <v>-520716.3000000006</v>
      </c>
      <c r="I315" s="221">
        <f t="shared" si="11"/>
        <v>443278.22000000003</v>
      </c>
      <c r="J315" s="221">
        <f t="shared" si="11"/>
        <v>-7859.360000000008</v>
      </c>
      <c r="K315" s="221">
        <f t="shared" si="11"/>
        <v>3311.98</v>
      </c>
      <c r="L315" s="221">
        <f t="shared" si="11"/>
        <v>-21350.32999999999</v>
      </c>
      <c r="M315" s="221">
        <f t="shared" si="11"/>
        <v>20000</v>
      </c>
      <c r="N315" s="221">
        <f t="shared" si="11"/>
        <v>152550.29999999996</v>
      </c>
      <c r="O315" s="105">
        <f t="shared" si="11"/>
        <v>69214.5099999999</v>
      </c>
      <c r="P315" s="105">
        <f t="shared" si="11"/>
        <v>0</v>
      </c>
      <c r="Q315" s="105">
        <f t="shared" si="11"/>
        <v>5119362.800000027</v>
      </c>
      <c r="R315" s="222"/>
    </row>
    <row r="316" spans="2:17" ht="12.75" customHeight="1">
      <c r="B316" s="199"/>
      <c r="C316" s="201"/>
      <c r="D316" s="207"/>
      <c r="E316" s="103"/>
      <c r="F316" s="103"/>
      <c r="G316" s="103"/>
      <c r="H316" s="223"/>
      <c r="I316" s="223"/>
      <c r="J316" s="223"/>
      <c r="K316" s="223"/>
      <c r="L316" s="223"/>
      <c r="M316" s="223"/>
      <c r="N316" s="223"/>
      <c r="O316" s="103"/>
      <c r="P316" s="103"/>
      <c r="Q316" s="103"/>
    </row>
    <row r="317" spans="1:18" ht="12.75" customHeight="1">
      <c r="A317" s="222"/>
      <c r="B317" s="214" t="s">
        <v>1783</v>
      </c>
      <c r="C317" s="216"/>
      <c r="D317" s="74"/>
      <c r="E317" s="103"/>
      <c r="F317" s="103"/>
      <c r="G317" s="103"/>
      <c r="H317" s="224"/>
      <c r="I317" s="224"/>
      <c r="J317" s="224"/>
      <c r="K317" s="224"/>
      <c r="L317" s="224"/>
      <c r="M317" s="224"/>
      <c r="N317" s="224"/>
      <c r="O317" s="103"/>
      <c r="P317" s="103"/>
      <c r="Q317" s="103"/>
      <c r="R317" s="222"/>
    </row>
    <row r="318" spans="1:18" ht="12.75" customHeight="1">
      <c r="A318" s="201" t="s">
        <v>1784</v>
      </c>
      <c r="B318" s="199"/>
      <c r="C318" s="201" t="s">
        <v>2189</v>
      </c>
      <c r="D318" s="207"/>
      <c r="E318" s="103">
        <v>0</v>
      </c>
      <c r="F318" s="103">
        <v>0</v>
      </c>
      <c r="G318" s="103">
        <v>0</v>
      </c>
      <c r="H318" s="219">
        <v>0</v>
      </c>
      <c r="I318" s="219">
        <v>0</v>
      </c>
      <c r="J318" s="219">
        <v>0</v>
      </c>
      <c r="K318" s="219">
        <v>0</v>
      </c>
      <c r="L318" s="219">
        <v>0</v>
      </c>
      <c r="M318" s="219">
        <v>0</v>
      </c>
      <c r="N318" s="219">
        <v>0</v>
      </c>
      <c r="O318" s="103">
        <v>0</v>
      </c>
      <c r="P318" s="103">
        <v>0</v>
      </c>
      <c r="Q318" s="103">
        <f aca="true" t="shared" si="12" ref="Q318:Q328">E318+F318+G318+O318+P318</f>
        <v>0</v>
      </c>
      <c r="R318" s="201"/>
    </row>
    <row r="319" spans="1:18" s="175" customFormat="1" ht="12.75" hidden="1" outlineLevel="1">
      <c r="A319" s="173" t="s">
        <v>1785</v>
      </c>
      <c r="B319" s="174"/>
      <c r="C319" s="174" t="s">
        <v>1786</v>
      </c>
      <c r="D319" s="174" t="s">
        <v>1787</v>
      </c>
      <c r="E319" s="210">
        <v>-2138.37</v>
      </c>
      <c r="F319" s="210">
        <v>0</v>
      </c>
      <c r="G319" s="210"/>
      <c r="H319" s="211">
        <v>0</v>
      </c>
      <c r="I319" s="211">
        <v>0</v>
      </c>
      <c r="J319" s="211">
        <v>0</v>
      </c>
      <c r="K319" s="211">
        <v>0</v>
      </c>
      <c r="L319" s="211">
        <v>0</v>
      </c>
      <c r="M319" s="211">
        <v>0</v>
      </c>
      <c r="N319" s="211">
        <v>0</v>
      </c>
      <c r="O319" s="210">
        <v>0</v>
      </c>
      <c r="P319" s="210">
        <v>0</v>
      </c>
      <c r="Q319" s="210">
        <f t="shared" si="12"/>
        <v>-2138.37</v>
      </c>
      <c r="R319" s="173"/>
    </row>
    <row r="320" spans="1:18" s="175" customFormat="1" ht="12.75" hidden="1" outlineLevel="1">
      <c r="A320" s="173" t="s">
        <v>1788</v>
      </c>
      <c r="B320" s="174"/>
      <c r="C320" s="174" t="s">
        <v>1789</v>
      </c>
      <c r="D320" s="174" t="s">
        <v>1790</v>
      </c>
      <c r="E320" s="210">
        <v>27033.25</v>
      </c>
      <c r="F320" s="210">
        <v>0</v>
      </c>
      <c r="G320" s="210"/>
      <c r="H320" s="211">
        <v>0</v>
      </c>
      <c r="I320" s="211">
        <v>0</v>
      </c>
      <c r="J320" s="211">
        <v>0</v>
      </c>
      <c r="K320" s="211">
        <v>0</v>
      </c>
      <c r="L320" s="211">
        <v>0</v>
      </c>
      <c r="M320" s="211">
        <v>0</v>
      </c>
      <c r="N320" s="211">
        <v>0</v>
      </c>
      <c r="O320" s="210">
        <v>0</v>
      </c>
      <c r="P320" s="210">
        <v>0</v>
      </c>
      <c r="Q320" s="210">
        <f t="shared" si="12"/>
        <v>27033.25</v>
      </c>
      <c r="R320" s="173"/>
    </row>
    <row r="321" spans="1:18" s="175" customFormat="1" ht="12.75" hidden="1" outlineLevel="1">
      <c r="A321" s="173" t="s">
        <v>1791</v>
      </c>
      <c r="B321" s="174"/>
      <c r="C321" s="174" t="s">
        <v>1792</v>
      </c>
      <c r="D321" s="174" t="s">
        <v>1793</v>
      </c>
      <c r="E321" s="210">
        <v>0.86</v>
      </c>
      <c r="F321" s="210">
        <v>0</v>
      </c>
      <c r="G321" s="210"/>
      <c r="H321" s="211">
        <v>0</v>
      </c>
      <c r="I321" s="211">
        <v>0</v>
      </c>
      <c r="J321" s="211">
        <v>0</v>
      </c>
      <c r="K321" s="211">
        <v>0</v>
      </c>
      <c r="L321" s="211">
        <v>0</v>
      </c>
      <c r="M321" s="211">
        <v>0</v>
      </c>
      <c r="N321" s="211">
        <v>0</v>
      </c>
      <c r="O321" s="210">
        <v>0</v>
      </c>
      <c r="P321" s="210">
        <v>0</v>
      </c>
      <c r="Q321" s="210">
        <f t="shared" si="12"/>
        <v>0.86</v>
      </c>
      <c r="R321" s="173"/>
    </row>
    <row r="322" spans="1:18" s="175" customFormat="1" ht="12.75" hidden="1" outlineLevel="1">
      <c r="A322" s="173" t="s">
        <v>1794</v>
      </c>
      <c r="B322" s="174"/>
      <c r="C322" s="174" t="s">
        <v>1795</v>
      </c>
      <c r="D322" s="174" t="s">
        <v>1796</v>
      </c>
      <c r="E322" s="210">
        <v>168523.08</v>
      </c>
      <c r="F322" s="210">
        <v>0</v>
      </c>
      <c r="G322" s="210"/>
      <c r="H322" s="211">
        <v>0</v>
      </c>
      <c r="I322" s="211">
        <v>0</v>
      </c>
      <c r="J322" s="211">
        <v>0</v>
      </c>
      <c r="K322" s="211">
        <v>0</v>
      </c>
      <c r="L322" s="211">
        <v>0</v>
      </c>
      <c r="M322" s="211">
        <v>0</v>
      </c>
      <c r="N322" s="211">
        <v>0</v>
      </c>
      <c r="O322" s="210">
        <v>0</v>
      </c>
      <c r="P322" s="210">
        <v>0</v>
      </c>
      <c r="Q322" s="210">
        <f t="shared" si="12"/>
        <v>168523.08</v>
      </c>
      <c r="R322" s="173"/>
    </row>
    <row r="323" spans="1:18" s="175" customFormat="1" ht="12.75" hidden="1" outlineLevel="1">
      <c r="A323" s="173" t="s">
        <v>1797</v>
      </c>
      <c r="B323" s="174"/>
      <c r="C323" s="174" t="s">
        <v>1798</v>
      </c>
      <c r="D323" s="174" t="s">
        <v>1799</v>
      </c>
      <c r="E323" s="210">
        <v>138</v>
      </c>
      <c r="F323" s="210">
        <v>0</v>
      </c>
      <c r="G323" s="210"/>
      <c r="H323" s="211">
        <v>0</v>
      </c>
      <c r="I323" s="211">
        <v>0</v>
      </c>
      <c r="J323" s="211">
        <v>0</v>
      </c>
      <c r="K323" s="211">
        <v>0</v>
      </c>
      <c r="L323" s="211">
        <v>0</v>
      </c>
      <c r="M323" s="211">
        <v>0</v>
      </c>
      <c r="N323" s="211">
        <v>0</v>
      </c>
      <c r="O323" s="210">
        <v>0</v>
      </c>
      <c r="P323" s="210">
        <v>0</v>
      </c>
      <c r="Q323" s="210">
        <f t="shared" si="12"/>
        <v>138</v>
      </c>
      <c r="R323" s="173"/>
    </row>
    <row r="324" spans="1:18" ht="12.75" customHeight="1" collapsed="1">
      <c r="A324" s="201" t="s">
        <v>1800</v>
      </c>
      <c r="B324" s="199"/>
      <c r="C324" s="201" t="s">
        <v>1801</v>
      </c>
      <c r="D324" s="207"/>
      <c r="E324" s="103">
        <v>193556.82</v>
      </c>
      <c r="F324" s="103">
        <v>0</v>
      </c>
      <c r="G324" s="103">
        <v>59924.42</v>
      </c>
      <c r="H324" s="219">
        <v>0</v>
      </c>
      <c r="I324" s="219">
        <v>0</v>
      </c>
      <c r="J324" s="219">
        <v>0</v>
      </c>
      <c r="K324" s="219">
        <v>0</v>
      </c>
      <c r="L324" s="219">
        <v>0</v>
      </c>
      <c r="M324" s="219">
        <v>0</v>
      </c>
      <c r="N324" s="219">
        <v>0</v>
      </c>
      <c r="O324" s="103">
        <v>0</v>
      </c>
      <c r="P324" s="103">
        <v>0</v>
      </c>
      <c r="Q324" s="103">
        <f t="shared" si="12"/>
        <v>253481.24</v>
      </c>
      <c r="R324" s="201"/>
    </row>
    <row r="325" spans="1:18" ht="12.75" customHeight="1">
      <c r="A325" s="201" t="s">
        <v>1802</v>
      </c>
      <c r="B325" s="199"/>
      <c r="C325" s="201" t="s">
        <v>2191</v>
      </c>
      <c r="D325" s="207"/>
      <c r="E325" s="103">
        <v>275953.39</v>
      </c>
      <c r="F325" s="103">
        <v>0</v>
      </c>
      <c r="G325" s="103">
        <v>0</v>
      </c>
      <c r="H325" s="219">
        <v>0</v>
      </c>
      <c r="I325" s="219">
        <v>0</v>
      </c>
      <c r="J325" s="219">
        <v>0</v>
      </c>
      <c r="K325" s="219">
        <v>0</v>
      </c>
      <c r="L325" s="219">
        <v>0</v>
      </c>
      <c r="M325" s="219">
        <v>0</v>
      </c>
      <c r="N325" s="219">
        <v>0</v>
      </c>
      <c r="O325" s="103">
        <v>0</v>
      </c>
      <c r="P325" s="103">
        <v>0</v>
      </c>
      <c r="Q325" s="103">
        <f t="shared" si="12"/>
        <v>275953.39</v>
      </c>
      <c r="R325" s="201"/>
    </row>
    <row r="326" spans="1:18" ht="12.75" customHeight="1">
      <c r="A326" s="201" t="s">
        <v>1803</v>
      </c>
      <c r="B326" s="199"/>
      <c r="C326" s="201" t="s">
        <v>2192</v>
      </c>
      <c r="D326" s="207"/>
      <c r="E326" s="103">
        <v>0</v>
      </c>
      <c r="F326" s="103">
        <v>0</v>
      </c>
      <c r="G326" s="103">
        <v>0</v>
      </c>
      <c r="H326" s="219">
        <v>0</v>
      </c>
      <c r="I326" s="219">
        <v>0</v>
      </c>
      <c r="J326" s="219">
        <v>0</v>
      </c>
      <c r="K326" s="219">
        <v>0</v>
      </c>
      <c r="L326" s="219">
        <v>0</v>
      </c>
      <c r="M326" s="219">
        <v>0</v>
      </c>
      <c r="N326" s="219">
        <v>0</v>
      </c>
      <c r="O326" s="103">
        <v>0</v>
      </c>
      <c r="P326" s="103">
        <v>0</v>
      </c>
      <c r="Q326" s="103">
        <f t="shared" si="12"/>
        <v>0</v>
      </c>
      <c r="R326" s="201"/>
    </row>
    <row r="327" spans="1:18" ht="12.75" customHeight="1">
      <c r="A327" s="201" t="s">
        <v>1804</v>
      </c>
      <c r="B327" s="199"/>
      <c r="C327" s="201" t="s">
        <v>1805</v>
      </c>
      <c r="D327" s="207"/>
      <c r="E327" s="103">
        <v>0</v>
      </c>
      <c r="F327" s="103">
        <v>0</v>
      </c>
      <c r="G327" s="103">
        <v>0</v>
      </c>
      <c r="H327" s="219">
        <v>0</v>
      </c>
      <c r="I327" s="219">
        <v>0</v>
      </c>
      <c r="J327" s="219">
        <v>0</v>
      </c>
      <c r="K327" s="219">
        <v>0</v>
      </c>
      <c r="L327" s="219">
        <v>0</v>
      </c>
      <c r="M327" s="219">
        <v>0</v>
      </c>
      <c r="N327" s="219">
        <v>0</v>
      </c>
      <c r="O327" s="103">
        <v>0</v>
      </c>
      <c r="P327" s="103">
        <v>0</v>
      </c>
      <c r="Q327" s="103">
        <f t="shared" si="12"/>
        <v>0</v>
      </c>
      <c r="R327" s="201"/>
    </row>
    <row r="328" spans="1:18" ht="12.75" customHeight="1">
      <c r="A328" s="201" t="s">
        <v>1806</v>
      </c>
      <c r="B328" s="199"/>
      <c r="C328" s="201" t="s">
        <v>1807</v>
      </c>
      <c r="D328" s="207"/>
      <c r="E328" s="103">
        <v>0</v>
      </c>
      <c r="F328" s="103">
        <v>0</v>
      </c>
      <c r="G328" s="103">
        <v>0</v>
      </c>
      <c r="H328" s="219">
        <v>0</v>
      </c>
      <c r="I328" s="219">
        <v>0</v>
      </c>
      <c r="J328" s="219">
        <v>0</v>
      </c>
      <c r="K328" s="219">
        <v>0</v>
      </c>
      <c r="L328" s="219">
        <v>0</v>
      </c>
      <c r="M328" s="219">
        <v>0</v>
      </c>
      <c r="N328" s="219">
        <v>0</v>
      </c>
      <c r="O328" s="103">
        <v>0</v>
      </c>
      <c r="P328" s="103">
        <v>0</v>
      </c>
      <c r="Q328" s="103">
        <f t="shared" si="12"/>
        <v>0</v>
      </c>
      <c r="R328" s="201"/>
    </row>
    <row r="329" spans="2:17" ht="12.75" customHeight="1">
      <c r="B329" s="199"/>
      <c r="C329" s="201"/>
      <c r="D329" s="207"/>
      <c r="E329" s="103"/>
      <c r="F329" s="103"/>
      <c r="G329" s="103"/>
      <c r="H329" s="223"/>
      <c r="I329" s="223"/>
      <c r="J329" s="223"/>
      <c r="K329" s="223"/>
      <c r="L329" s="223"/>
      <c r="M329" s="223"/>
      <c r="N329" s="223"/>
      <c r="O329" s="103"/>
      <c r="P329" s="103"/>
      <c r="Q329" s="103"/>
    </row>
    <row r="330" spans="1:18" s="225" customFormat="1" ht="12.75" customHeight="1">
      <c r="A330" s="220"/>
      <c r="B330" s="214"/>
      <c r="C330" s="216" t="s">
        <v>1808</v>
      </c>
      <c r="D330" s="74"/>
      <c r="E330" s="105"/>
      <c r="F330" s="105"/>
      <c r="G330" s="105"/>
      <c r="H330" s="221"/>
      <c r="I330" s="221"/>
      <c r="J330" s="221"/>
      <c r="K330" s="221"/>
      <c r="L330" s="221"/>
      <c r="M330" s="221"/>
      <c r="N330" s="221"/>
      <c r="O330" s="105"/>
      <c r="P330" s="105"/>
      <c r="Q330" s="105"/>
      <c r="R330" s="220"/>
    </row>
    <row r="331" spans="1:18" s="225" customFormat="1" ht="12.75" customHeight="1">
      <c r="A331" s="220" t="s">
        <v>2108</v>
      </c>
      <c r="B331" s="214"/>
      <c r="C331" s="216" t="s">
        <v>2195</v>
      </c>
      <c r="D331" s="74"/>
      <c r="E331" s="105">
        <f aca="true" t="shared" si="13" ref="E331:Q331">E328+E326+E325+E324+E318+E327</f>
        <v>469510.21</v>
      </c>
      <c r="F331" s="105">
        <f t="shared" si="13"/>
        <v>0</v>
      </c>
      <c r="G331" s="105">
        <f t="shared" si="13"/>
        <v>59924.42</v>
      </c>
      <c r="H331" s="221">
        <f t="shared" si="13"/>
        <v>0</v>
      </c>
      <c r="I331" s="221">
        <f t="shared" si="13"/>
        <v>0</v>
      </c>
      <c r="J331" s="221">
        <f t="shared" si="13"/>
        <v>0</v>
      </c>
      <c r="K331" s="221">
        <f t="shared" si="13"/>
        <v>0</v>
      </c>
      <c r="L331" s="221">
        <f t="shared" si="13"/>
        <v>0</v>
      </c>
      <c r="M331" s="221">
        <f t="shared" si="13"/>
        <v>0</v>
      </c>
      <c r="N331" s="221">
        <f t="shared" si="13"/>
        <v>0</v>
      </c>
      <c r="O331" s="105">
        <f t="shared" si="13"/>
        <v>0</v>
      </c>
      <c r="P331" s="105">
        <f t="shared" si="13"/>
        <v>0</v>
      </c>
      <c r="Q331" s="105">
        <f t="shared" si="13"/>
        <v>529434.63</v>
      </c>
      <c r="R331" s="220"/>
    </row>
    <row r="332" spans="2:17" ht="12.75" customHeight="1">
      <c r="B332" s="199"/>
      <c r="C332" s="201"/>
      <c r="D332" s="207"/>
      <c r="E332" s="103"/>
      <c r="F332" s="103"/>
      <c r="G332" s="103"/>
      <c r="H332" s="223"/>
      <c r="I332" s="223"/>
      <c r="J332" s="223"/>
      <c r="K332" s="223"/>
      <c r="L332" s="223"/>
      <c r="M332" s="223"/>
      <c r="N332" s="223"/>
      <c r="O332" s="103"/>
      <c r="P332" s="103"/>
      <c r="Q332" s="103"/>
    </row>
    <row r="333" spans="1:18" ht="12.75" customHeight="1">
      <c r="A333" s="201"/>
      <c r="B333" s="199"/>
      <c r="C333" s="201" t="s">
        <v>2196</v>
      </c>
      <c r="D333" s="207"/>
      <c r="E333" s="103">
        <v>0</v>
      </c>
      <c r="F333" s="103">
        <v>0</v>
      </c>
      <c r="G333" s="103">
        <v>0</v>
      </c>
      <c r="H333" s="219"/>
      <c r="I333" s="219"/>
      <c r="J333" s="219"/>
      <c r="K333" s="219"/>
      <c r="L333" s="219"/>
      <c r="M333" s="219"/>
      <c r="N333" s="219"/>
      <c r="O333" s="103">
        <v>0</v>
      </c>
      <c r="P333" s="103">
        <v>0</v>
      </c>
      <c r="Q333" s="103">
        <f>E333+F333+G333+O333+P333</f>
        <v>0</v>
      </c>
      <c r="R333" s="201"/>
    </row>
    <row r="334" spans="1:18" ht="12.75" customHeight="1">
      <c r="A334" s="201"/>
      <c r="B334" s="199"/>
      <c r="C334" s="201" t="s">
        <v>1809</v>
      </c>
      <c r="D334" s="207"/>
      <c r="E334" s="103">
        <v>0</v>
      </c>
      <c r="F334" s="103">
        <v>0</v>
      </c>
      <c r="G334" s="103">
        <v>0</v>
      </c>
      <c r="H334" s="219"/>
      <c r="I334" s="219"/>
      <c r="J334" s="219"/>
      <c r="K334" s="219"/>
      <c r="L334" s="219"/>
      <c r="M334" s="219"/>
      <c r="N334" s="219"/>
      <c r="O334" s="103">
        <v>0</v>
      </c>
      <c r="P334" s="103">
        <v>0</v>
      </c>
      <c r="Q334" s="103">
        <f>E334+F334+G334+O334+P334</f>
        <v>0</v>
      </c>
      <c r="R334" s="201"/>
    </row>
    <row r="335" spans="1:18" ht="12.75" customHeight="1">
      <c r="A335" s="226"/>
      <c r="B335" s="199"/>
      <c r="C335" s="201" t="s">
        <v>1810</v>
      </c>
      <c r="D335" s="207"/>
      <c r="E335" s="103">
        <v>0</v>
      </c>
      <c r="F335" s="103">
        <v>0</v>
      </c>
      <c r="G335" s="103">
        <v>0</v>
      </c>
      <c r="H335" s="227"/>
      <c r="I335" s="227"/>
      <c r="J335" s="227"/>
      <c r="K335" s="227"/>
      <c r="L335" s="227"/>
      <c r="M335" s="227"/>
      <c r="N335" s="227"/>
      <c r="O335" s="103">
        <v>0</v>
      </c>
      <c r="P335" s="103">
        <v>0</v>
      </c>
      <c r="Q335" s="103">
        <f>E335+F335+G335+O335+P335</f>
        <v>0</v>
      </c>
      <c r="R335" s="226"/>
    </row>
    <row r="336" spans="1:18" ht="12.75" customHeight="1">
      <c r="A336" s="226" t="s">
        <v>2106</v>
      </c>
      <c r="B336" s="199"/>
      <c r="C336" s="201" t="s">
        <v>2198</v>
      </c>
      <c r="D336" s="207"/>
      <c r="E336" s="103">
        <v>0</v>
      </c>
      <c r="F336" s="103">
        <v>0</v>
      </c>
      <c r="G336" s="103">
        <v>0</v>
      </c>
      <c r="H336" s="227"/>
      <c r="I336" s="227"/>
      <c r="J336" s="227"/>
      <c r="K336" s="227"/>
      <c r="L336" s="227"/>
      <c r="M336" s="227"/>
      <c r="N336" s="227"/>
      <c r="O336" s="103">
        <v>0</v>
      </c>
      <c r="P336" s="103">
        <v>0</v>
      </c>
      <c r="Q336" s="103">
        <f>E336+F336+G336+O336+P336</f>
        <v>0</v>
      </c>
      <c r="R336" s="226"/>
    </row>
    <row r="337" spans="1:18" s="230" customFormat="1" ht="12.75" customHeight="1">
      <c r="A337" s="228"/>
      <c r="B337" s="214"/>
      <c r="C337" s="216"/>
      <c r="D337" s="74"/>
      <c r="E337" s="105"/>
      <c r="F337" s="105"/>
      <c r="G337" s="105"/>
      <c r="H337" s="229"/>
      <c r="I337" s="229"/>
      <c r="J337" s="229"/>
      <c r="K337" s="229"/>
      <c r="L337" s="229"/>
      <c r="M337" s="229"/>
      <c r="N337" s="229"/>
      <c r="O337" s="105"/>
      <c r="P337" s="105"/>
      <c r="Q337" s="105"/>
      <c r="R337" s="228"/>
    </row>
    <row r="338" spans="1:18" s="230" customFormat="1" ht="12.75" customHeight="1">
      <c r="A338" s="228"/>
      <c r="B338" s="214"/>
      <c r="C338" s="204" t="s">
        <v>1811</v>
      </c>
      <c r="D338" s="74"/>
      <c r="E338" s="105"/>
      <c r="F338" s="105"/>
      <c r="G338" s="105"/>
      <c r="H338" s="229"/>
      <c r="I338" s="229"/>
      <c r="J338" s="229"/>
      <c r="K338" s="229"/>
      <c r="L338" s="229"/>
      <c r="M338" s="229"/>
      <c r="N338" s="229"/>
      <c r="O338" s="105"/>
      <c r="P338" s="105"/>
      <c r="Q338" s="105"/>
      <c r="R338" s="228"/>
    </row>
    <row r="339" spans="1:18" s="225" customFormat="1" ht="12.75" customHeight="1">
      <c r="A339" s="220" t="s">
        <v>2108</v>
      </c>
      <c r="B339" s="214"/>
      <c r="C339" s="204" t="s">
        <v>1812</v>
      </c>
      <c r="D339" s="65"/>
      <c r="E339" s="105">
        <f aca="true" t="shared" si="14" ref="E339:Q339">E331+E333+E334+E335+E336</f>
        <v>469510.21</v>
      </c>
      <c r="F339" s="105">
        <f t="shared" si="14"/>
        <v>0</v>
      </c>
      <c r="G339" s="105">
        <f t="shared" si="14"/>
        <v>59924.42</v>
      </c>
      <c r="H339" s="221">
        <f t="shared" si="14"/>
        <v>0</v>
      </c>
      <c r="I339" s="221">
        <f t="shared" si="14"/>
        <v>0</v>
      </c>
      <c r="J339" s="221">
        <f t="shared" si="14"/>
        <v>0</v>
      </c>
      <c r="K339" s="221">
        <f t="shared" si="14"/>
        <v>0</v>
      </c>
      <c r="L339" s="221">
        <f t="shared" si="14"/>
        <v>0</v>
      </c>
      <c r="M339" s="221">
        <f t="shared" si="14"/>
        <v>0</v>
      </c>
      <c r="N339" s="221">
        <f t="shared" si="14"/>
        <v>0</v>
      </c>
      <c r="O339" s="105">
        <f t="shared" si="14"/>
        <v>0</v>
      </c>
      <c r="P339" s="105">
        <f t="shared" si="14"/>
        <v>0</v>
      </c>
      <c r="Q339" s="105">
        <f t="shared" si="14"/>
        <v>529434.63</v>
      </c>
      <c r="R339" s="220"/>
    </row>
    <row r="340" spans="1:18" ht="12.75" customHeight="1">
      <c r="A340" s="222"/>
      <c r="B340" s="199"/>
      <c r="C340" s="201"/>
      <c r="D340" s="207"/>
      <c r="E340" s="103"/>
      <c r="F340" s="103"/>
      <c r="G340" s="103"/>
      <c r="H340" s="224"/>
      <c r="I340" s="224"/>
      <c r="J340" s="224"/>
      <c r="K340" s="224"/>
      <c r="L340" s="224"/>
      <c r="M340" s="224"/>
      <c r="N340" s="224"/>
      <c r="O340" s="103"/>
      <c r="P340" s="103"/>
      <c r="Q340" s="103"/>
      <c r="R340" s="222"/>
    </row>
    <row r="341" spans="1:18" s="175" customFormat="1" ht="12.75" hidden="1" outlineLevel="1">
      <c r="A341" s="173" t="s">
        <v>1813</v>
      </c>
      <c r="B341" s="174"/>
      <c r="C341" s="174" t="s">
        <v>1814</v>
      </c>
      <c r="D341" s="174" t="s">
        <v>1815</v>
      </c>
      <c r="E341" s="210">
        <v>-142950</v>
      </c>
      <c r="F341" s="210">
        <v>0</v>
      </c>
      <c r="G341" s="210"/>
      <c r="H341" s="211">
        <v>0</v>
      </c>
      <c r="I341" s="211">
        <v>0</v>
      </c>
      <c r="J341" s="211">
        <v>0</v>
      </c>
      <c r="K341" s="211">
        <v>0</v>
      </c>
      <c r="L341" s="211">
        <v>0</v>
      </c>
      <c r="M341" s="211">
        <v>0</v>
      </c>
      <c r="N341" s="211">
        <v>0</v>
      </c>
      <c r="O341" s="210">
        <v>0</v>
      </c>
      <c r="P341" s="210">
        <v>0</v>
      </c>
      <c r="Q341" s="210">
        <f aca="true" t="shared" si="15" ref="Q341:Q359">E341+F341+G341+O341+P341</f>
        <v>-142950</v>
      </c>
      <c r="R341" s="173"/>
    </row>
    <row r="342" spans="1:18" s="175" customFormat="1" ht="12.75" hidden="1" outlineLevel="1">
      <c r="A342" s="173" t="s">
        <v>1816</v>
      </c>
      <c r="B342" s="174"/>
      <c r="C342" s="174" t="s">
        <v>1817</v>
      </c>
      <c r="D342" s="174" t="s">
        <v>1818</v>
      </c>
      <c r="E342" s="210">
        <v>11954.03</v>
      </c>
      <c r="F342" s="210">
        <v>0</v>
      </c>
      <c r="G342" s="210"/>
      <c r="H342" s="211">
        <v>0</v>
      </c>
      <c r="I342" s="211">
        <v>0</v>
      </c>
      <c r="J342" s="211">
        <v>0</v>
      </c>
      <c r="K342" s="211">
        <v>0</v>
      </c>
      <c r="L342" s="211">
        <v>0</v>
      </c>
      <c r="M342" s="211">
        <v>0</v>
      </c>
      <c r="N342" s="211">
        <v>0</v>
      </c>
      <c r="O342" s="210">
        <v>0</v>
      </c>
      <c r="P342" s="210">
        <v>0</v>
      </c>
      <c r="Q342" s="210">
        <f t="shared" si="15"/>
        <v>11954.03</v>
      </c>
      <c r="R342" s="173"/>
    </row>
    <row r="343" spans="1:18" ht="12.75" customHeight="1" collapsed="1">
      <c r="A343" s="201" t="s">
        <v>1819</v>
      </c>
      <c r="B343" s="199"/>
      <c r="C343" s="201" t="s">
        <v>2199</v>
      </c>
      <c r="D343" s="207"/>
      <c r="E343" s="103">
        <v>-130995.97</v>
      </c>
      <c r="F343" s="103">
        <v>0</v>
      </c>
      <c r="G343" s="103">
        <v>-723258</v>
      </c>
      <c r="H343" s="219">
        <v>0</v>
      </c>
      <c r="I343" s="219">
        <v>0</v>
      </c>
      <c r="J343" s="219">
        <v>0</v>
      </c>
      <c r="K343" s="219">
        <v>0</v>
      </c>
      <c r="L343" s="219">
        <v>0</v>
      </c>
      <c r="M343" s="219">
        <v>0</v>
      </c>
      <c r="N343" s="219">
        <v>0</v>
      </c>
      <c r="O343" s="103">
        <v>0</v>
      </c>
      <c r="P343" s="103">
        <v>0</v>
      </c>
      <c r="Q343" s="103">
        <f t="shared" si="15"/>
        <v>-854253.97</v>
      </c>
      <c r="R343" s="201"/>
    </row>
    <row r="344" spans="1:18" s="175" customFormat="1" ht="12.75" hidden="1" outlineLevel="1">
      <c r="A344" s="173" t="s">
        <v>1820</v>
      </c>
      <c r="B344" s="174"/>
      <c r="C344" s="174" t="s">
        <v>1821</v>
      </c>
      <c r="D344" s="174" t="s">
        <v>1822</v>
      </c>
      <c r="E344" s="210">
        <v>177324.19</v>
      </c>
      <c r="F344" s="210">
        <v>0</v>
      </c>
      <c r="G344" s="210"/>
      <c r="H344" s="211">
        <v>0</v>
      </c>
      <c r="I344" s="211">
        <v>0</v>
      </c>
      <c r="J344" s="211">
        <v>0</v>
      </c>
      <c r="K344" s="211">
        <v>0</v>
      </c>
      <c r="L344" s="211">
        <v>0</v>
      </c>
      <c r="M344" s="211">
        <v>0</v>
      </c>
      <c r="N344" s="211">
        <v>0</v>
      </c>
      <c r="O344" s="210">
        <v>0</v>
      </c>
      <c r="P344" s="210">
        <v>0</v>
      </c>
      <c r="Q344" s="210">
        <f t="shared" si="15"/>
        <v>177324.19</v>
      </c>
      <c r="R344" s="173"/>
    </row>
    <row r="345" spans="1:18" s="175" customFormat="1" ht="12.75" hidden="1" outlineLevel="1">
      <c r="A345" s="173" t="s">
        <v>1823</v>
      </c>
      <c r="B345" s="174"/>
      <c r="C345" s="174" t="s">
        <v>1824</v>
      </c>
      <c r="D345" s="174" t="s">
        <v>1825</v>
      </c>
      <c r="E345" s="210">
        <v>234499.36</v>
      </c>
      <c r="F345" s="210">
        <v>0</v>
      </c>
      <c r="G345" s="210"/>
      <c r="H345" s="211">
        <v>0</v>
      </c>
      <c r="I345" s="211">
        <v>0</v>
      </c>
      <c r="J345" s="211">
        <v>0</v>
      </c>
      <c r="K345" s="211">
        <v>0</v>
      </c>
      <c r="L345" s="211">
        <v>0</v>
      </c>
      <c r="M345" s="211">
        <v>0</v>
      </c>
      <c r="N345" s="211">
        <v>0</v>
      </c>
      <c r="O345" s="210">
        <v>0</v>
      </c>
      <c r="P345" s="210">
        <v>0</v>
      </c>
      <c r="Q345" s="210">
        <f t="shared" si="15"/>
        <v>234499.36</v>
      </c>
      <c r="R345" s="173"/>
    </row>
    <row r="346" spans="1:18" s="175" customFormat="1" ht="12.75" hidden="1" outlineLevel="1">
      <c r="A346" s="173" t="s">
        <v>1826</v>
      </c>
      <c r="B346" s="174"/>
      <c r="C346" s="174" t="s">
        <v>1827</v>
      </c>
      <c r="D346" s="174" t="s">
        <v>1828</v>
      </c>
      <c r="E346" s="210">
        <v>7071.37</v>
      </c>
      <c r="F346" s="210">
        <v>0</v>
      </c>
      <c r="G346" s="210"/>
      <c r="H346" s="211">
        <v>0</v>
      </c>
      <c r="I346" s="211">
        <v>0</v>
      </c>
      <c r="J346" s="211">
        <v>0</v>
      </c>
      <c r="K346" s="211">
        <v>0</v>
      </c>
      <c r="L346" s="211">
        <v>0</v>
      </c>
      <c r="M346" s="211">
        <v>0</v>
      </c>
      <c r="N346" s="211">
        <v>0</v>
      </c>
      <c r="O346" s="210">
        <v>0</v>
      </c>
      <c r="P346" s="210">
        <v>0</v>
      </c>
      <c r="Q346" s="210">
        <f t="shared" si="15"/>
        <v>7071.37</v>
      </c>
      <c r="R346" s="173"/>
    </row>
    <row r="347" spans="1:18" s="175" customFormat="1" ht="12.75" hidden="1" outlineLevel="1">
      <c r="A347" s="173" t="s">
        <v>1829</v>
      </c>
      <c r="B347" s="174"/>
      <c r="C347" s="174" t="s">
        <v>1830</v>
      </c>
      <c r="D347" s="174" t="s">
        <v>1831</v>
      </c>
      <c r="E347" s="210">
        <v>13759</v>
      </c>
      <c r="F347" s="210">
        <v>0</v>
      </c>
      <c r="G347" s="210"/>
      <c r="H347" s="211">
        <v>0</v>
      </c>
      <c r="I347" s="211">
        <v>0</v>
      </c>
      <c r="J347" s="211">
        <v>0</v>
      </c>
      <c r="K347" s="211">
        <v>0</v>
      </c>
      <c r="L347" s="211">
        <v>0</v>
      </c>
      <c r="M347" s="211">
        <v>0</v>
      </c>
      <c r="N347" s="211">
        <v>0</v>
      </c>
      <c r="O347" s="210">
        <v>0</v>
      </c>
      <c r="P347" s="210">
        <v>0</v>
      </c>
      <c r="Q347" s="210">
        <f t="shared" si="15"/>
        <v>13759</v>
      </c>
      <c r="R347" s="173"/>
    </row>
    <row r="348" spans="1:18" s="175" customFormat="1" ht="12.75" hidden="1" outlineLevel="1">
      <c r="A348" s="173" t="s">
        <v>1832</v>
      </c>
      <c r="B348" s="174"/>
      <c r="C348" s="174" t="s">
        <v>1833</v>
      </c>
      <c r="D348" s="174" t="s">
        <v>1834</v>
      </c>
      <c r="E348" s="210">
        <v>-196478.88</v>
      </c>
      <c r="F348" s="210">
        <v>0</v>
      </c>
      <c r="G348" s="210"/>
      <c r="H348" s="211">
        <v>0</v>
      </c>
      <c r="I348" s="211">
        <v>0</v>
      </c>
      <c r="J348" s="211">
        <v>0</v>
      </c>
      <c r="K348" s="211">
        <v>0</v>
      </c>
      <c r="L348" s="211">
        <v>0</v>
      </c>
      <c r="M348" s="211">
        <v>0</v>
      </c>
      <c r="N348" s="211">
        <v>0</v>
      </c>
      <c r="O348" s="210">
        <v>0</v>
      </c>
      <c r="P348" s="210">
        <v>0</v>
      </c>
      <c r="Q348" s="210">
        <f t="shared" si="15"/>
        <v>-196478.88</v>
      </c>
      <c r="R348" s="173"/>
    </row>
    <row r="349" spans="1:18" s="175" customFormat="1" ht="12.75" hidden="1" outlineLevel="1">
      <c r="A349" s="173" t="s">
        <v>1835</v>
      </c>
      <c r="B349" s="174"/>
      <c r="C349" s="174" t="s">
        <v>1836</v>
      </c>
      <c r="D349" s="174" t="s">
        <v>1837</v>
      </c>
      <c r="E349" s="210">
        <v>-406291.09</v>
      </c>
      <c r="F349" s="210">
        <v>0</v>
      </c>
      <c r="G349" s="210"/>
      <c r="H349" s="211">
        <v>0</v>
      </c>
      <c r="I349" s="211">
        <v>0</v>
      </c>
      <c r="J349" s="211">
        <v>0</v>
      </c>
      <c r="K349" s="211">
        <v>0</v>
      </c>
      <c r="L349" s="211">
        <v>0</v>
      </c>
      <c r="M349" s="211">
        <v>0</v>
      </c>
      <c r="N349" s="211">
        <v>-80900.76</v>
      </c>
      <c r="O349" s="210">
        <v>-80900.76</v>
      </c>
      <c r="P349" s="210">
        <v>0</v>
      </c>
      <c r="Q349" s="210">
        <f t="shared" si="15"/>
        <v>-487191.85000000003</v>
      </c>
      <c r="R349" s="173"/>
    </row>
    <row r="350" spans="1:18" s="175" customFormat="1" ht="12.75" hidden="1" outlineLevel="1">
      <c r="A350" s="173" t="s">
        <v>1838</v>
      </c>
      <c r="B350" s="174"/>
      <c r="C350" s="174" t="s">
        <v>1839</v>
      </c>
      <c r="D350" s="174" t="s">
        <v>1840</v>
      </c>
      <c r="E350" s="210">
        <v>147332</v>
      </c>
      <c r="F350" s="210">
        <v>0</v>
      </c>
      <c r="G350" s="210"/>
      <c r="H350" s="211">
        <v>0</v>
      </c>
      <c r="I350" s="211">
        <v>0</v>
      </c>
      <c r="J350" s="211">
        <v>0</v>
      </c>
      <c r="K350" s="211">
        <v>0</v>
      </c>
      <c r="L350" s="211">
        <v>0</v>
      </c>
      <c r="M350" s="211">
        <v>0</v>
      </c>
      <c r="N350" s="211">
        <v>0</v>
      </c>
      <c r="O350" s="210">
        <v>0</v>
      </c>
      <c r="P350" s="210">
        <v>0</v>
      </c>
      <c r="Q350" s="210">
        <f t="shared" si="15"/>
        <v>147332</v>
      </c>
      <c r="R350" s="173"/>
    </row>
    <row r="351" spans="1:18" s="175" customFormat="1" ht="12.75" hidden="1" outlineLevel="1">
      <c r="A351" s="173" t="s">
        <v>1841</v>
      </c>
      <c r="B351" s="174"/>
      <c r="C351" s="174" t="s">
        <v>1842</v>
      </c>
      <c r="D351" s="174" t="s">
        <v>1843</v>
      </c>
      <c r="E351" s="210">
        <v>-315000</v>
      </c>
      <c r="F351" s="210">
        <v>-10000</v>
      </c>
      <c r="G351" s="210"/>
      <c r="H351" s="211">
        <v>0</v>
      </c>
      <c r="I351" s="211">
        <v>0</v>
      </c>
      <c r="J351" s="211">
        <v>0</v>
      </c>
      <c r="K351" s="211">
        <v>0</v>
      </c>
      <c r="L351" s="211">
        <v>0</v>
      </c>
      <c r="M351" s="211">
        <v>0</v>
      </c>
      <c r="N351" s="211">
        <v>0</v>
      </c>
      <c r="O351" s="210">
        <v>0</v>
      </c>
      <c r="P351" s="210">
        <v>0</v>
      </c>
      <c r="Q351" s="210">
        <f t="shared" si="15"/>
        <v>-325000</v>
      </c>
      <c r="R351" s="173"/>
    </row>
    <row r="352" spans="1:18" ht="12.75" customHeight="1" collapsed="1">
      <c r="A352" s="201" t="s">
        <v>1844</v>
      </c>
      <c r="B352" s="199"/>
      <c r="C352" s="201" t="s">
        <v>2200</v>
      </c>
      <c r="D352" s="207"/>
      <c r="E352" s="103">
        <v>-337784.05</v>
      </c>
      <c r="F352" s="103">
        <v>-10000</v>
      </c>
      <c r="G352" s="103">
        <v>-1094987.8</v>
      </c>
      <c r="H352" s="219">
        <v>0</v>
      </c>
      <c r="I352" s="219">
        <v>0</v>
      </c>
      <c r="J352" s="219">
        <v>0</v>
      </c>
      <c r="K352" s="219">
        <v>0</v>
      </c>
      <c r="L352" s="219">
        <v>0</v>
      </c>
      <c r="M352" s="219">
        <v>0</v>
      </c>
      <c r="N352" s="219">
        <v>-80900.76</v>
      </c>
      <c r="O352" s="103">
        <v>-80900.76</v>
      </c>
      <c r="P352" s="103">
        <v>0</v>
      </c>
      <c r="Q352" s="103">
        <f t="shared" si="15"/>
        <v>-1523672.61</v>
      </c>
      <c r="R352" s="201"/>
    </row>
    <row r="353" spans="1:18" s="175" customFormat="1" ht="12.75" hidden="1" outlineLevel="1">
      <c r="A353" s="173" t="s">
        <v>1845</v>
      </c>
      <c r="B353" s="174"/>
      <c r="C353" s="174" t="s">
        <v>1846</v>
      </c>
      <c r="D353" s="174" t="s">
        <v>1847</v>
      </c>
      <c r="E353" s="210">
        <v>21018104.61</v>
      </c>
      <c r="F353" s="210">
        <v>-1902836.6</v>
      </c>
      <c r="G353" s="210"/>
      <c r="H353" s="211">
        <v>0</v>
      </c>
      <c r="I353" s="211">
        <v>0</v>
      </c>
      <c r="J353" s="211">
        <v>4887.95</v>
      </c>
      <c r="K353" s="211">
        <v>0</v>
      </c>
      <c r="L353" s="211">
        <v>17853.29</v>
      </c>
      <c r="M353" s="211">
        <v>0</v>
      </c>
      <c r="N353" s="211">
        <v>209.15</v>
      </c>
      <c r="O353" s="210">
        <v>22950.39</v>
      </c>
      <c r="P353" s="210">
        <v>0</v>
      </c>
      <c r="Q353" s="210">
        <f t="shared" si="15"/>
        <v>19138218.4</v>
      </c>
      <c r="R353" s="173"/>
    </row>
    <row r="354" spans="1:18" s="175" customFormat="1" ht="12.75" hidden="1" outlineLevel="1">
      <c r="A354" s="173" t="s">
        <v>1848</v>
      </c>
      <c r="B354" s="174"/>
      <c r="C354" s="174" t="s">
        <v>1849</v>
      </c>
      <c r="D354" s="174" t="s">
        <v>1850</v>
      </c>
      <c r="E354" s="210">
        <v>-18172455.73</v>
      </c>
      <c r="F354" s="210">
        <v>-235198.18</v>
      </c>
      <c r="G354" s="210"/>
      <c r="H354" s="211">
        <v>0</v>
      </c>
      <c r="I354" s="211">
        <v>0</v>
      </c>
      <c r="J354" s="211">
        <v>0</v>
      </c>
      <c r="K354" s="211">
        <v>-25560</v>
      </c>
      <c r="L354" s="211">
        <v>0</v>
      </c>
      <c r="M354" s="211">
        <v>0</v>
      </c>
      <c r="N354" s="211">
        <v>-100524.42</v>
      </c>
      <c r="O354" s="210">
        <v>-126084.42</v>
      </c>
      <c r="P354" s="210">
        <v>0</v>
      </c>
      <c r="Q354" s="210">
        <f t="shared" si="15"/>
        <v>-18533738.330000002</v>
      </c>
      <c r="R354" s="173"/>
    </row>
    <row r="355" spans="1:18" s="175" customFormat="1" ht="12.75" hidden="1" outlineLevel="1">
      <c r="A355" s="173" t="s">
        <v>1851</v>
      </c>
      <c r="B355" s="174"/>
      <c r="C355" s="174" t="s">
        <v>1852</v>
      </c>
      <c r="D355" s="174" t="s">
        <v>1853</v>
      </c>
      <c r="E355" s="210">
        <v>-120524.22</v>
      </c>
      <c r="F355" s="210">
        <v>0</v>
      </c>
      <c r="G355" s="210"/>
      <c r="H355" s="211">
        <v>0</v>
      </c>
      <c r="I355" s="211">
        <v>0</v>
      </c>
      <c r="J355" s="211">
        <v>0</v>
      </c>
      <c r="K355" s="211">
        <v>0</v>
      </c>
      <c r="L355" s="211">
        <v>0</v>
      </c>
      <c r="M355" s="211">
        <v>0</v>
      </c>
      <c r="N355" s="211">
        <v>0</v>
      </c>
      <c r="O355" s="210">
        <v>0</v>
      </c>
      <c r="P355" s="210">
        <v>0</v>
      </c>
      <c r="Q355" s="210">
        <f t="shared" si="15"/>
        <v>-120524.22</v>
      </c>
      <c r="R355" s="173"/>
    </row>
    <row r="356" spans="1:18" s="175" customFormat="1" ht="12.75" hidden="1" outlineLevel="1">
      <c r="A356" s="173" t="s">
        <v>1854</v>
      </c>
      <c r="B356" s="174"/>
      <c r="C356" s="174" t="s">
        <v>484</v>
      </c>
      <c r="D356" s="174" t="s">
        <v>1855</v>
      </c>
      <c r="E356" s="210">
        <v>0</v>
      </c>
      <c r="F356" s="210">
        <v>-4080</v>
      </c>
      <c r="G356" s="210"/>
      <c r="H356" s="211">
        <v>0</v>
      </c>
      <c r="I356" s="211">
        <v>0</v>
      </c>
      <c r="J356" s="211">
        <v>0</v>
      </c>
      <c r="K356" s="211">
        <v>0</v>
      </c>
      <c r="L356" s="211">
        <v>0</v>
      </c>
      <c r="M356" s="211">
        <v>0</v>
      </c>
      <c r="N356" s="211">
        <v>0</v>
      </c>
      <c r="O356" s="210">
        <v>0</v>
      </c>
      <c r="P356" s="210">
        <v>0</v>
      </c>
      <c r="Q356" s="210">
        <f t="shared" si="15"/>
        <v>-4080</v>
      </c>
      <c r="R356" s="173"/>
    </row>
    <row r="357" spans="1:18" s="175" customFormat="1" ht="12.75" hidden="1" outlineLevel="1">
      <c r="A357" s="173" t="s">
        <v>1856</v>
      </c>
      <c r="B357" s="174"/>
      <c r="C357" s="174" t="s">
        <v>1857</v>
      </c>
      <c r="D357" s="174" t="s">
        <v>1858</v>
      </c>
      <c r="E357" s="210">
        <v>0</v>
      </c>
      <c r="F357" s="210">
        <v>-16227.61</v>
      </c>
      <c r="G357" s="210"/>
      <c r="H357" s="211">
        <v>0</v>
      </c>
      <c r="I357" s="211">
        <v>0</v>
      </c>
      <c r="J357" s="211">
        <v>0</v>
      </c>
      <c r="K357" s="211">
        <v>0</v>
      </c>
      <c r="L357" s="211">
        <v>0</v>
      </c>
      <c r="M357" s="211">
        <v>0</v>
      </c>
      <c r="N357" s="211">
        <v>0</v>
      </c>
      <c r="O357" s="210">
        <v>0</v>
      </c>
      <c r="P357" s="210">
        <v>0</v>
      </c>
      <c r="Q357" s="210">
        <f t="shared" si="15"/>
        <v>-16227.61</v>
      </c>
      <c r="R357" s="173"/>
    </row>
    <row r="358" spans="1:18" ht="12.75" customHeight="1" collapsed="1">
      <c r="A358" s="231" t="s">
        <v>1859</v>
      </c>
      <c r="B358" s="199"/>
      <c r="C358" s="201" t="s">
        <v>2201</v>
      </c>
      <c r="D358" s="207"/>
      <c r="E358" s="103">
        <v>2725124.66</v>
      </c>
      <c r="F358" s="103">
        <v>-2158342.39</v>
      </c>
      <c r="G358" s="103">
        <v>235482.51</v>
      </c>
      <c r="H358" s="232">
        <v>0</v>
      </c>
      <c r="I358" s="232">
        <v>0</v>
      </c>
      <c r="J358" s="232">
        <v>4887.95</v>
      </c>
      <c r="K358" s="232">
        <v>-25560</v>
      </c>
      <c r="L358" s="232">
        <v>17853.29</v>
      </c>
      <c r="M358" s="232">
        <v>0</v>
      </c>
      <c r="N358" s="232">
        <v>-100315.27</v>
      </c>
      <c r="O358" s="103">
        <v>-103134.03</v>
      </c>
      <c r="P358" s="103">
        <v>0</v>
      </c>
      <c r="Q358" s="103">
        <f t="shared" si="15"/>
        <v>699130.75</v>
      </c>
      <c r="R358" s="231"/>
    </row>
    <row r="359" spans="1:18" ht="12.75" customHeight="1">
      <c r="A359" s="231" t="s">
        <v>1860</v>
      </c>
      <c r="B359" s="199"/>
      <c r="C359" s="201" t="s">
        <v>1861</v>
      </c>
      <c r="D359" s="207"/>
      <c r="E359" s="103">
        <v>0</v>
      </c>
      <c r="F359" s="103">
        <v>0</v>
      </c>
      <c r="G359" s="103">
        <v>0</v>
      </c>
      <c r="H359" s="232">
        <v>0</v>
      </c>
      <c r="I359" s="232">
        <v>0</v>
      </c>
      <c r="J359" s="232">
        <v>0</v>
      </c>
      <c r="K359" s="232">
        <v>0</v>
      </c>
      <c r="L359" s="232">
        <v>0</v>
      </c>
      <c r="M359" s="232">
        <v>0</v>
      </c>
      <c r="N359" s="232">
        <v>0</v>
      </c>
      <c r="O359" s="103">
        <v>0</v>
      </c>
      <c r="P359" s="103">
        <v>0</v>
      </c>
      <c r="Q359" s="103">
        <f t="shared" si="15"/>
        <v>0</v>
      </c>
      <c r="R359" s="231"/>
    </row>
    <row r="360" spans="1:18" ht="12.75" customHeight="1">
      <c r="A360" s="222"/>
      <c r="B360" s="199"/>
      <c r="C360" s="201"/>
      <c r="D360" s="207"/>
      <c r="E360" s="103"/>
      <c r="F360" s="103"/>
      <c r="G360" s="103"/>
      <c r="H360" s="224"/>
      <c r="I360" s="224"/>
      <c r="J360" s="224"/>
      <c r="K360" s="224"/>
      <c r="L360" s="224"/>
      <c r="M360" s="224"/>
      <c r="N360" s="224"/>
      <c r="O360" s="103"/>
      <c r="P360" s="103"/>
      <c r="Q360" s="103"/>
      <c r="R360" s="222"/>
    </row>
    <row r="361" spans="1:18" s="225" customFormat="1" ht="12.75" customHeight="1">
      <c r="A361" s="220"/>
      <c r="B361" s="214"/>
      <c r="C361" s="216" t="s">
        <v>1862</v>
      </c>
      <c r="D361" s="74"/>
      <c r="E361" s="105"/>
      <c r="F361" s="105"/>
      <c r="G361" s="105"/>
      <c r="H361" s="221"/>
      <c r="I361" s="221"/>
      <c r="J361" s="221"/>
      <c r="K361" s="221"/>
      <c r="L361" s="221"/>
      <c r="M361" s="221"/>
      <c r="N361" s="221"/>
      <c r="O361" s="105"/>
      <c r="P361" s="105"/>
      <c r="Q361" s="105"/>
      <c r="R361" s="220"/>
    </row>
    <row r="362" spans="1:18" s="225" customFormat="1" ht="12.75" customHeight="1">
      <c r="A362" s="220" t="s">
        <v>2108</v>
      </c>
      <c r="B362" s="214"/>
      <c r="C362" s="216" t="s">
        <v>1863</v>
      </c>
      <c r="D362" s="74"/>
      <c r="E362" s="105">
        <f aca="true" t="shared" si="16" ref="E362:Q362">E343+E352+E358+E359+E339</f>
        <v>2725854.85</v>
      </c>
      <c r="F362" s="105">
        <f t="shared" si="16"/>
        <v>-2168342.39</v>
      </c>
      <c r="G362" s="105">
        <f t="shared" si="16"/>
        <v>-1522838.87</v>
      </c>
      <c r="H362" s="221">
        <f t="shared" si="16"/>
        <v>0</v>
      </c>
      <c r="I362" s="221">
        <f t="shared" si="16"/>
        <v>0</v>
      </c>
      <c r="J362" s="221">
        <f t="shared" si="16"/>
        <v>4887.95</v>
      </c>
      <c r="K362" s="221">
        <f t="shared" si="16"/>
        <v>-25560</v>
      </c>
      <c r="L362" s="221">
        <f t="shared" si="16"/>
        <v>17853.29</v>
      </c>
      <c r="M362" s="221">
        <f t="shared" si="16"/>
        <v>0</v>
      </c>
      <c r="N362" s="221">
        <f t="shared" si="16"/>
        <v>-181216.03</v>
      </c>
      <c r="O362" s="105">
        <f t="shared" si="16"/>
        <v>-184034.78999999998</v>
      </c>
      <c r="P362" s="105">
        <f t="shared" si="16"/>
        <v>0</v>
      </c>
      <c r="Q362" s="105">
        <f t="shared" si="16"/>
        <v>-1149361.2000000002</v>
      </c>
      <c r="R362" s="220"/>
    </row>
    <row r="363" spans="1:18" ht="12.75" customHeight="1">
      <c r="A363" s="222"/>
      <c r="B363" s="199"/>
      <c r="C363" s="216"/>
      <c r="D363" s="207"/>
      <c r="E363" s="103"/>
      <c r="F363" s="103"/>
      <c r="G363" s="103"/>
      <c r="H363" s="224"/>
      <c r="I363" s="224"/>
      <c r="J363" s="224"/>
      <c r="K363" s="224"/>
      <c r="L363" s="224"/>
      <c r="M363" s="224"/>
      <c r="N363" s="224"/>
      <c r="O363" s="103"/>
      <c r="P363" s="103"/>
      <c r="Q363" s="103"/>
      <c r="R363" s="222"/>
    </row>
    <row r="364" spans="1:18" ht="12.75" customHeight="1">
      <c r="A364" s="233" t="s">
        <v>2108</v>
      </c>
      <c r="B364" s="214"/>
      <c r="C364" s="216" t="s">
        <v>2203</v>
      </c>
      <c r="D364" s="74"/>
      <c r="E364" s="105">
        <f aca="true" t="shared" si="17" ref="E364:Q364">E315+E362</f>
        <v>2790021.050000048</v>
      </c>
      <c r="F364" s="105">
        <f t="shared" si="17"/>
        <v>-35572.220000000205</v>
      </c>
      <c r="G364" s="105">
        <f t="shared" si="17"/>
        <v>1330373.0499999998</v>
      </c>
      <c r="H364" s="234">
        <f t="shared" si="17"/>
        <v>-520716.3000000006</v>
      </c>
      <c r="I364" s="234">
        <f t="shared" si="17"/>
        <v>443278.22000000003</v>
      </c>
      <c r="J364" s="234">
        <f t="shared" si="17"/>
        <v>-2971.410000000008</v>
      </c>
      <c r="K364" s="234">
        <f t="shared" si="17"/>
        <v>-22248.02</v>
      </c>
      <c r="L364" s="234">
        <f t="shared" si="17"/>
        <v>-3497.03999999999</v>
      </c>
      <c r="M364" s="234">
        <f t="shared" si="17"/>
        <v>20000</v>
      </c>
      <c r="N364" s="234">
        <f t="shared" si="17"/>
        <v>-28665.73000000004</v>
      </c>
      <c r="O364" s="105">
        <f t="shared" si="17"/>
        <v>-114820.28000000009</v>
      </c>
      <c r="P364" s="105">
        <f t="shared" si="17"/>
        <v>0</v>
      </c>
      <c r="Q364" s="105">
        <f t="shared" si="17"/>
        <v>3970001.6000000266</v>
      </c>
      <c r="R364" s="235"/>
    </row>
    <row r="365" spans="1:18" ht="12.75" customHeight="1">
      <c r="A365" s="222"/>
      <c r="B365" s="199"/>
      <c r="C365" s="201"/>
      <c r="D365" s="207"/>
      <c r="E365" s="103"/>
      <c r="F365" s="103"/>
      <c r="G365" s="103"/>
      <c r="H365" s="224"/>
      <c r="I365" s="224"/>
      <c r="J365" s="224"/>
      <c r="K365" s="224"/>
      <c r="L365" s="224"/>
      <c r="M365" s="224"/>
      <c r="N365" s="224"/>
      <c r="O365" s="103"/>
      <c r="P365" s="103"/>
      <c r="Q365" s="103"/>
      <c r="R365" s="222"/>
    </row>
    <row r="366" spans="1:18" s="175" customFormat="1" ht="12.75" hidden="1" outlineLevel="1">
      <c r="A366" s="173" t="s">
        <v>1864</v>
      </c>
      <c r="B366" s="174"/>
      <c r="C366" s="174" t="s">
        <v>1865</v>
      </c>
      <c r="D366" s="174" t="s">
        <v>1866</v>
      </c>
      <c r="E366" s="210">
        <v>13908202.36</v>
      </c>
      <c r="F366" s="210">
        <v>413837.4</v>
      </c>
      <c r="G366" s="210"/>
      <c r="H366" s="211">
        <v>477926.78</v>
      </c>
      <c r="I366" s="211">
        <v>-17182.71</v>
      </c>
      <c r="J366" s="211">
        <v>-7712.92</v>
      </c>
      <c r="K366" s="211">
        <v>25564.22</v>
      </c>
      <c r="L366" s="211">
        <v>-15401.67</v>
      </c>
      <c r="M366" s="211">
        <v>30000</v>
      </c>
      <c r="N366" s="211">
        <v>147062.64</v>
      </c>
      <c r="O366" s="210">
        <v>640256.34</v>
      </c>
      <c r="P366" s="210">
        <v>0</v>
      </c>
      <c r="Q366" s="210">
        <f>E366+F366+G366+O366+P366</f>
        <v>14962296.1</v>
      </c>
      <c r="R366" s="173"/>
    </row>
    <row r="367" spans="1:18" s="236" customFormat="1" ht="12.75" customHeight="1" collapsed="1">
      <c r="A367" s="220" t="s">
        <v>1867</v>
      </c>
      <c r="B367" s="214" t="s">
        <v>2204</v>
      </c>
      <c r="D367" s="74"/>
      <c r="E367" s="105">
        <v>13908202.36</v>
      </c>
      <c r="F367" s="105">
        <v>413837.4</v>
      </c>
      <c r="G367" s="105">
        <v>509049.85</v>
      </c>
      <c r="H367" s="221">
        <v>477926.78</v>
      </c>
      <c r="I367" s="221">
        <v>-17182.71</v>
      </c>
      <c r="J367" s="221">
        <v>-7712.92</v>
      </c>
      <c r="K367" s="221">
        <v>25564.22</v>
      </c>
      <c r="L367" s="221">
        <v>-15401.67</v>
      </c>
      <c r="M367" s="221">
        <v>30000</v>
      </c>
      <c r="N367" s="221">
        <v>147062.64</v>
      </c>
      <c r="O367" s="105">
        <v>640256.34</v>
      </c>
      <c r="P367" s="105">
        <v>0</v>
      </c>
      <c r="Q367" s="105">
        <f>E367+F367+G367+O367+P367</f>
        <v>15471345.95</v>
      </c>
      <c r="R367" s="220"/>
    </row>
    <row r="368" spans="1:18" ht="12.75" customHeight="1">
      <c r="A368" s="220"/>
      <c r="B368" s="199"/>
      <c r="C368" s="216"/>
      <c r="D368" s="74"/>
      <c r="E368" s="105"/>
      <c r="F368" s="105"/>
      <c r="G368" s="105"/>
      <c r="H368" s="221"/>
      <c r="I368" s="221"/>
      <c r="J368" s="221"/>
      <c r="K368" s="221"/>
      <c r="L368" s="221"/>
      <c r="M368" s="221"/>
      <c r="N368" s="221"/>
      <c r="O368" s="105"/>
      <c r="P368" s="105"/>
      <c r="Q368" s="105"/>
      <c r="R368" s="220"/>
    </row>
    <row r="369" spans="1:18" ht="12.75" customHeight="1">
      <c r="A369" s="220" t="s">
        <v>2108</v>
      </c>
      <c r="B369" s="214" t="s">
        <v>2205</v>
      </c>
      <c r="C369" s="201"/>
      <c r="D369" s="74"/>
      <c r="E369" s="237">
        <f aca="true" t="shared" si="18" ref="E369:Q369">E364+E367</f>
        <v>16698223.410000047</v>
      </c>
      <c r="F369" s="237">
        <f t="shared" si="18"/>
        <v>378265.1799999998</v>
      </c>
      <c r="G369" s="237">
        <f t="shared" si="18"/>
        <v>1839422.9</v>
      </c>
      <c r="H369" s="237">
        <f t="shared" si="18"/>
        <v>-42789.5200000006</v>
      </c>
      <c r="I369" s="237">
        <f t="shared" si="18"/>
        <v>426095.51</v>
      </c>
      <c r="J369" s="237">
        <f t="shared" si="18"/>
        <v>-10684.330000000009</v>
      </c>
      <c r="K369" s="237">
        <f t="shared" si="18"/>
        <v>3316.2000000000007</v>
      </c>
      <c r="L369" s="237">
        <f t="shared" si="18"/>
        <v>-18898.709999999992</v>
      </c>
      <c r="M369" s="237">
        <f t="shared" si="18"/>
        <v>50000</v>
      </c>
      <c r="N369" s="237">
        <f t="shared" si="18"/>
        <v>118396.90999999997</v>
      </c>
      <c r="O369" s="237">
        <f t="shared" si="18"/>
        <v>525436.0599999998</v>
      </c>
      <c r="P369" s="237">
        <f t="shared" si="18"/>
        <v>0</v>
      </c>
      <c r="Q369" s="237">
        <f t="shared" si="18"/>
        <v>19441347.550000027</v>
      </c>
      <c r="R369" s="220"/>
    </row>
    <row r="370" spans="5:17" ht="12.75">
      <c r="E370" s="184"/>
      <c r="F370" s="184"/>
      <c r="G370" s="184"/>
      <c r="O370" s="184"/>
      <c r="P370" s="184"/>
      <c r="Q370" s="184"/>
    </row>
    <row r="371" spans="5:17" ht="12.75">
      <c r="E371" s="184"/>
      <c r="F371" s="184"/>
      <c r="G371" s="184"/>
      <c r="O371" s="184"/>
      <c r="P371" s="184"/>
      <c r="Q371" s="184"/>
    </row>
    <row r="372" spans="5:17" ht="12.75">
      <c r="E372" s="184"/>
      <c r="F372" s="184"/>
      <c r="G372" s="184"/>
      <c r="O372" s="184"/>
      <c r="P372" s="184"/>
      <c r="Q372" s="184"/>
    </row>
    <row r="373" spans="5:17" ht="12.75">
      <c r="E373" s="184"/>
      <c r="F373" s="184"/>
      <c r="G373" s="184"/>
      <c r="O373" s="184"/>
      <c r="P373" s="184"/>
      <c r="Q373" s="184"/>
    </row>
    <row r="374" spans="5:17" ht="12.75">
      <c r="E374" s="184"/>
      <c r="F374" s="184"/>
      <c r="G374" s="184"/>
      <c r="O374" s="184"/>
      <c r="P374" s="184"/>
      <c r="Q374" s="184"/>
    </row>
    <row r="375" spans="5:17" ht="12.75">
      <c r="E375" s="184"/>
      <c r="F375" s="184"/>
      <c r="G375" s="184"/>
      <c r="O375" s="184"/>
      <c r="P375" s="184"/>
      <c r="Q375" s="184"/>
    </row>
    <row r="376" spans="5:17" ht="12.75">
      <c r="E376" s="184"/>
      <c r="F376" s="184"/>
      <c r="G376" s="184"/>
      <c r="O376" s="184"/>
      <c r="P376" s="184"/>
      <c r="Q376" s="184"/>
    </row>
    <row r="377" spans="5:17" ht="12.75">
      <c r="E377" s="184"/>
      <c r="F377" s="184"/>
      <c r="G377" s="184"/>
      <c r="O377" s="184"/>
      <c r="P377" s="184"/>
      <c r="Q377" s="184"/>
    </row>
    <row r="378" spans="5:17" ht="12.75">
      <c r="E378" s="184"/>
      <c r="F378" s="184"/>
      <c r="G378" s="184"/>
      <c r="O378" s="184"/>
      <c r="P378" s="184"/>
      <c r="Q378" s="184"/>
    </row>
    <row r="379" spans="5:17" ht="12.75">
      <c r="E379" s="184"/>
      <c r="F379" s="184"/>
      <c r="G379" s="184"/>
      <c r="O379" s="184"/>
      <c r="P379" s="184"/>
      <c r="Q379" s="184"/>
    </row>
    <row r="380" spans="5:17" ht="12.75">
      <c r="E380" s="184"/>
      <c r="F380" s="184"/>
      <c r="G380" s="184"/>
      <c r="O380" s="184"/>
      <c r="P380" s="184"/>
      <c r="Q380" s="184"/>
    </row>
    <row r="381" spans="5:17" ht="12.75">
      <c r="E381" s="184"/>
      <c r="F381" s="184"/>
      <c r="G381" s="184"/>
      <c r="O381" s="184"/>
      <c r="P381" s="184"/>
      <c r="Q381" s="184"/>
    </row>
    <row r="382" spans="5:17" ht="12.75">
      <c r="E382" s="184"/>
      <c r="F382" s="184"/>
      <c r="G382" s="184"/>
      <c r="O382" s="184"/>
      <c r="P382" s="184"/>
      <c r="Q382" s="184"/>
    </row>
    <row r="383" spans="5:17" ht="12.75">
      <c r="E383" s="184"/>
      <c r="F383" s="184"/>
      <c r="G383" s="184"/>
      <c r="O383" s="184"/>
      <c r="P383" s="184"/>
      <c r="Q383" s="184"/>
    </row>
    <row r="384" spans="5:17" ht="12.75">
      <c r="E384" s="184"/>
      <c r="F384" s="184"/>
      <c r="G384" s="184"/>
      <c r="O384" s="184"/>
      <c r="P384" s="184"/>
      <c r="Q384" s="184"/>
    </row>
    <row r="385" spans="5:17" ht="12.75">
      <c r="E385" s="184"/>
      <c r="F385" s="184"/>
      <c r="G385" s="184"/>
      <c r="O385" s="184"/>
      <c r="P385" s="184"/>
      <c r="Q385" s="184"/>
    </row>
    <row r="386" spans="5:17" ht="12.75">
      <c r="E386" s="184"/>
      <c r="F386" s="184"/>
      <c r="G386" s="184"/>
      <c r="O386" s="184"/>
      <c r="P386" s="184"/>
      <c r="Q386" s="184"/>
    </row>
    <row r="387" spans="5:17" ht="12.75">
      <c r="E387" s="184"/>
      <c r="F387" s="184"/>
      <c r="G387" s="184"/>
      <c r="O387" s="184"/>
      <c r="P387" s="184"/>
      <c r="Q387" s="184"/>
    </row>
    <row r="388" spans="5:17" ht="12.75">
      <c r="E388" s="184"/>
      <c r="F388" s="184"/>
      <c r="G388" s="184"/>
      <c r="O388" s="184"/>
      <c r="P388" s="184"/>
      <c r="Q388" s="184"/>
    </row>
    <row r="389" spans="5:17" ht="12.75">
      <c r="E389" s="184"/>
      <c r="F389" s="184"/>
      <c r="G389" s="184"/>
      <c r="O389" s="184"/>
      <c r="P389" s="184"/>
      <c r="Q389" s="184"/>
    </row>
    <row r="390" spans="5:17" ht="12.75">
      <c r="E390" s="184"/>
      <c r="F390" s="184"/>
      <c r="G390" s="184"/>
      <c r="O390" s="184"/>
      <c r="P390" s="184"/>
      <c r="Q390" s="184"/>
    </row>
    <row r="391" spans="5:17" ht="12.75">
      <c r="E391" s="184"/>
      <c r="F391" s="184"/>
      <c r="G391" s="184"/>
      <c r="O391" s="184"/>
      <c r="P391" s="184"/>
      <c r="Q391" s="184"/>
    </row>
    <row r="392" spans="5:17" ht="12.75">
      <c r="E392" s="184"/>
      <c r="F392" s="184"/>
      <c r="G392" s="184"/>
      <c r="O392" s="184"/>
      <c r="P392" s="184"/>
      <c r="Q392" s="184"/>
    </row>
    <row r="393" spans="5:17" ht="12.75">
      <c r="E393" s="184"/>
      <c r="F393" s="184"/>
      <c r="G393" s="184"/>
      <c r="O393" s="184"/>
      <c r="P393" s="184"/>
      <c r="Q393" s="184"/>
    </row>
    <row r="394" spans="5:17" ht="12.75">
      <c r="E394" s="184"/>
      <c r="F394" s="184"/>
      <c r="G394" s="184"/>
      <c r="O394" s="184"/>
      <c r="P394" s="184"/>
      <c r="Q394" s="184"/>
    </row>
    <row r="395" spans="5:17" ht="12.75">
      <c r="E395" s="184"/>
      <c r="F395" s="184"/>
      <c r="G395" s="184"/>
      <c r="O395" s="184"/>
      <c r="P395" s="184"/>
      <c r="Q395" s="184"/>
    </row>
    <row r="396" spans="5:17" ht="12.75">
      <c r="E396" s="184"/>
      <c r="F396" s="184"/>
      <c r="G396" s="184"/>
      <c r="O396" s="184"/>
      <c r="P396" s="184"/>
      <c r="Q396" s="184"/>
    </row>
    <row r="397" spans="5:17" ht="12.75">
      <c r="E397" s="184"/>
      <c r="F397" s="184"/>
      <c r="G397" s="184"/>
      <c r="O397" s="184"/>
      <c r="P397" s="184"/>
      <c r="Q397" s="184"/>
    </row>
    <row r="398" spans="5:17" ht="12.75">
      <c r="E398" s="184"/>
      <c r="F398" s="184"/>
      <c r="G398" s="184"/>
      <c r="O398" s="184"/>
      <c r="P398" s="184"/>
      <c r="Q398" s="184"/>
    </row>
    <row r="399" spans="5:17" ht="12.75">
      <c r="E399" s="184"/>
      <c r="F399" s="184"/>
      <c r="G399" s="184"/>
      <c r="O399" s="184"/>
      <c r="P399" s="184"/>
      <c r="Q399" s="184"/>
    </row>
    <row r="400" spans="5:17" ht="12.75">
      <c r="E400" s="184"/>
      <c r="F400" s="184"/>
      <c r="G400" s="184"/>
      <c r="O400" s="184"/>
      <c r="P400" s="184"/>
      <c r="Q400" s="184"/>
    </row>
    <row r="401" spans="5:17" ht="12.75">
      <c r="E401" s="184"/>
      <c r="F401" s="184"/>
      <c r="G401" s="184"/>
      <c r="O401" s="184"/>
      <c r="P401" s="184"/>
      <c r="Q401" s="184"/>
    </row>
    <row r="402" spans="5:17" ht="12.75">
      <c r="E402" s="184"/>
      <c r="F402" s="184"/>
      <c r="G402" s="184"/>
      <c r="O402" s="184"/>
      <c r="P402" s="184"/>
      <c r="Q402" s="184"/>
    </row>
    <row r="403" spans="5:17" ht="12.75">
      <c r="E403" s="184"/>
      <c r="F403" s="184"/>
      <c r="G403" s="184"/>
      <c r="O403" s="184"/>
      <c r="P403" s="184"/>
      <c r="Q403" s="184"/>
    </row>
    <row r="404" spans="5:17" ht="12.75">
      <c r="E404" s="184"/>
      <c r="F404" s="184"/>
      <c r="G404" s="184"/>
      <c r="O404" s="184"/>
      <c r="P404" s="184"/>
      <c r="Q404" s="184"/>
    </row>
    <row r="405" spans="5:17" ht="12.75">
      <c r="E405" s="184"/>
      <c r="F405" s="184"/>
      <c r="G405" s="184"/>
      <c r="O405" s="184"/>
      <c r="P405" s="184"/>
      <c r="Q405" s="184"/>
    </row>
    <row r="406" spans="5:17" ht="12.75">
      <c r="E406" s="184"/>
      <c r="F406" s="184"/>
      <c r="G406" s="184"/>
      <c r="O406" s="184"/>
      <c r="P406" s="184"/>
      <c r="Q406" s="184"/>
    </row>
    <row r="407" spans="5:17" ht="12.75">
      <c r="E407" s="184"/>
      <c r="F407" s="184"/>
      <c r="G407" s="184"/>
      <c r="O407" s="184"/>
      <c r="P407" s="184"/>
      <c r="Q407" s="184"/>
    </row>
    <row r="408" spans="5:17" ht="12.75">
      <c r="E408" s="184"/>
      <c r="F408" s="184"/>
      <c r="G408" s="184"/>
      <c r="O408" s="184"/>
      <c r="P408" s="184"/>
      <c r="Q408" s="184"/>
    </row>
    <row r="409" spans="5:17" ht="12.75">
      <c r="E409" s="184"/>
      <c r="F409" s="184"/>
      <c r="G409" s="184"/>
      <c r="O409" s="184"/>
      <c r="P409" s="184"/>
      <c r="Q409" s="184"/>
    </row>
    <row r="410" spans="5:17" ht="12.75">
      <c r="E410" s="184"/>
      <c r="F410" s="184"/>
      <c r="G410" s="184"/>
      <c r="O410" s="184"/>
      <c r="P410" s="184"/>
      <c r="Q410" s="184"/>
    </row>
    <row r="411" spans="5:17" ht="12.75">
      <c r="E411" s="184"/>
      <c r="F411" s="184"/>
      <c r="G411" s="184"/>
      <c r="O411" s="184"/>
      <c r="P411" s="184"/>
      <c r="Q411" s="184"/>
    </row>
    <row r="412" spans="5:17" ht="12.75">
      <c r="E412" s="184"/>
      <c r="F412" s="184"/>
      <c r="G412" s="184"/>
      <c r="O412" s="184"/>
      <c r="P412" s="184"/>
      <c r="Q412" s="184"/>
    </row>
    <row r="413" spans="5:17" ht="12.75">
      <c r="E413" s="184"/>
      <c r="F413" s="184"/>
      <c r="G413" s="184"/>
      <c r="O413" s="184"/>
      <c r="P413" s="184"/>
      <c r="Q413" s="184"/>
    </row>
    <row r="414" spans="5:17" ht="12.75">
      <c r="E414" s="184"/>
      <c r="F414" s="184"/>
      <c r="G414" s="184"/>
      <c r="O414" s="184"/>
      <c r="P414" s="184"/>
      <c r="Q414" s="184"/>
    </row>
    <row r="415" spans="5:17" ht="12.75">
      <c r="E415" s="184"/>
      <c r="F415" s="184"/>
      <c r="G415" s="184"/>
      <c r="O415" s="184"/>
      <c r="P415" s="184"/>
      <c r="Q415" s="184"/>
    </row>
    <row r="416" spans="5:17" ht="12.75">
      <c r="E416" s="184"/>
      <c r="F416" s="184"/>
      <c r="G416" s="184"/>
      <c r="O416" s="184"/>
      <c r="P416" s="184"/>
      <c r="Q416" s="184"/>
    </row>
    <row r="417" spans="5:17" ht="12.75">
      <c r="E417" s="184"/>
      <c r="F417" s="184"/>
      <c r="G417" s="184"/>
      <c r="O417" s="184"/>
      <c r="P417" s="184"/>
      <c r="Q417" s="184"/>
    </row>
    <row r="418" spans="5:17" ht="12.75">
      <c r="E418" s="184"/>
      <c r="F418" s="184"/>
      <c r="G418" s="184"/>
      <c r="O418" s="184"/>
      <c r="P418" s="184"/>
      <c r="Q418" s="184"/>
    </row>
    <row r="419" spans="5:17" ht="12.75">
      <c r="E419" s="184"/>
      <c r="F419" s="184"/>
      <c r="G419" s="184"/>
      <c r="O419" s="184"/>
      <c r="P419" s="184"/>
      <c r="Q419" s="184"/>
    </row>
    <row r="420" spans="5:17" ht="12.75">
      <c r="E420" s="184"/>
      <c r="F420" s="184"/>
      <c r="G420" s="184"/>
      <c r="O420" s="184"/>
      <c r="P420" s="184"/>
      <c r="Q420" s="184"/>
    </row>
    <row r="421" spans="5:17" ht="12.75">
      <c r="E421" s="184"/>
      <c r="F421" s="184"/>
      <c r="G421" s="184"/>
      <c r="O421" s="184"/>
      <c r="P421" s="184"/>
      <c r="Q421" s="184"/>
    </row>
    <row r="422" spans="5:17" ht="12.75">
      <c r="E422" s="184"/>
      <c r="F422" s="184"/>
      <c r="G422" s="184"/>
      <c r="O422" s="184"/>
      <c r="P422" s="184"/>
      <c r="Q422" s="184"/>
    </row>
    <row r="423" spans="5:17" ht="12.75">
      <c r="E423" s="184"/>
      <c r="F423" s="184"/>
      <c r="G423" s="184"/>
      <c r="O423" s="184"/>
      <c r="P423" s="184"/>
      <c r="Q423" s="184"/>
    </row>
    <row r="424" spans="5:17" ht="12.75">
      <c r="E424" s="184"/>
      <c r="F424" s="184"/>
      <c r="G424" s="184"/>
      <c r="O424" s="184"/>
      <c r="P424" s="184"/>
      <c r="Q424" s="184"/>
    </row>
    <row r="425" spans="5:17" ht="12.75">
      <c r="E425" s="184"/>
      <c r="F425" s="184"/>
      <c r="G425" s="184"/>
      <c r="O425" s="184"/>
      <c r="P425" s="184"/>
      <c r="Q425" s="184"/>
    </row>
    <row r="426" spans="5:17" ht="12.75">
      <c r="E426" s="184"/>
      <c r="F426" s="184"/>
      <c r="G426" s="184"/>
      <c r="O426" s="184"/>
      <c r="P426" s="184"/>
      <c r="Q426" s="184"/>
    </row>
    <row r="427" spans="5:17" ht="12.75">
      <c r="E427" s="184"/>
      <c r="F427" s="184"/>
      <c r="G427" s="184"/>
      <c r="O427" s="184"/>
      <c r="P427" s="184"/>
      <c r="Q427" s="184"/>
    </row>
    <row r="428" spans="5:17" ht="12.75">
      <c r="E428" s="184"/>
      <c r="F428" s="184"/>
      <c r="G428" s="184"/>
      <c r="O428" s="184"/>
      <c r="P428" s="184"/>
      <c r="Q428" s="184"/>
    </row>
    <row r="429" spans="5:17" ht="12.75">
      <c r="E429" s="184"/>
      <c r="F429" s="184"/>
      <c r="G429" s="184"/>
      <c r="O429" s="184"/>
      <c r="P429" s="184"/>
      <c r="Q429" s="184"/>
    </row>
    <row r="430" spans="5:17" ht="12.75">
      <c r="E430" s="184"/>
      <c r="F430" s="184"/>
      <c r="G430" s="184"/>
      <c r="O430" s="184"/>
      <c r="P430" s="184"/>
      <c r="Q430" s="184"/>
    </row>
    <row r="431" spans="5:17" ht="12.75">
      <c r="E431" s="184"/>
      <c r="F431" s="184"/>
      <c r="G431" s="184"/>
      <c r="O431" s="184"/>
      <c r="P431" s="184"/>
      <c r="Q431" s="184"/>
    </row>
    <row r="432" spans="5:17" ht="12.75">
      <c r="E432" s="184"/>
      <c r="F432" s="184"/>
      <c r="G432" s="184"/>
      <c r="O432" s="184"/>
      <c r="P432" s="184"/>
      <c r="Q432" s="184"/>
    </row>
    <row r="433" spans="5:17" ht="12.75">
      <c r="E433" s="184"/>
      <c r="F433" s="184"/>
      <c r="G433" s="184"/>
      <c r="O433" s="184"/>
      <c r="P433" s="184"/>
      <c r="Q433" s="184"/>
    </row>
    <row r="434" spans="5:17" ht="12.75">
      <c r="E434" s="184"/>
      <c r="F434" s="184"/>
      <c r="G434" s="184"/>
      <c r="O434" s="184"/>
      <c r="P434" s="184"/>
      <c r="Q434" s="184"/>
    </row>
    <row r="435" spans="5:17" ht="12.75">
      <c r="E435" s="184"/>
      <c r="F435" s="184"/>
      <c r="G435" s="184"/>
      <c r="O435" s="184"/>
      <c r="P435" s="184"/>
      <c r="Q435" s="184"/>
    </row>
    <row r="436" spans="5:17" ht="12.75">
      <c r="E436" s="184"/>
      <c r="F436" s="184"/>
      <c r="G436" s="184"/>
      <c r="O436" s="184"/>
      <c r="P436" s="184"/>
      <c r="Q436" s="184"/>
    </row>
    <row r="437" spans="5:17" ht="12.75">
      <c r="E437" s="184"/>
      <c r="F437" s="184"/>
      <c r="G437" s="184"/>
      <c r="O437" s="184"/>
      <c r="P437" s="184"/>
      <c r="Q437" s="184"/>
    </row>
    <row r="438" spans="5:17" ht="12.75">
      <c r="E438" s="184"/>
      <c r="F438" s="184"/>
      <c r="G438" s="184"/>
      <c r="O438" s="184"/>
      <c r="P438" s="184"/>
      <c r="Q438" s="184"/>
    </row>
    <row r="439" spans="5:17" ht="12.75">
      <c r="E439" s="184"/>
      <c r="F439" s="184"/>
      <c r="G439" s="184"/>
      <c r="O439" s="184"/>
      <c r="P439" s="184"/>
      <c r="Q439" s="184"/>
    </row>
    <row r="440" spans="5:17" ht="12.75">
      <c r="E440" s="184"/>
      <c r="F440" s="184"/>
      <c r="G440" s="184"/>
      <c r="O440" s="184"/>
      <c r="P440" s="184"/>
      <c r="Q440" s="184"/>
    </row>
    <row r="441" spans="5:17" ht="12.75">
      <c r="E441" s="184"/>
      <c r="F441" s="184"/>
      <c r="G441" s="184"/>
      <c r="O441" s="184"/>
      <c r="P441" s="184"/>
      <c r="Q441" s="184"/>
    </row>
    <row r="442" spans="5:17" ht="12.75">
      <c r="E442" s="184"/>
      <c r="F442" s="184"/>
      <c r="G442" s="184"/>
      <c r="O442" s="184"/>
      <c r="P442" s="184"/>
      <c r="Q442" s="184"/>
    </row>
    <row r="443" spans="5:17" ht="12.75">
      <c r="E443" s="184"/>
      <c r="F443" s="184"/>
      <c r="G443" s="184"/>
      <c r="O443" s="184"/>
      <c r="P443" s="184"/>
      <c r="Q443" s="184"/>
    </row>
    <row r="444" spans="5:17" ht="12.75">
      <c r="E444" s="184"/>
      <c r="F444" s="184"/>
      <c r="G444" s="184"/>
      <c r="O444" s="184"/>
      <c r="P444" s="184"/>
      <c r="Q444" s="184"/>
    </row>
    <row r="445" spans="5:17" ht="12.75">
      <c r="E445" s="184"/>
      <c r="F445" s="184"/>
      <c r="G445" s="184"/>
      <c r="O445" s="184"/>
      <c r="P445" s="184"/>
      <c r="Q445" s="184"/>
    </row>
    <row r="446" spans="5:17" ht="12.75">
      <c r="E446" s="184"/>
      <c r="F446" s="184"/>
      <c r="G446" s="184"/>
      <c r="O446" s="184"/>
      <c r="P446" s="184"/>
      <c r="Q446" s="184"/>
    </row>
    <row r="447" spans="5:17" ht="12.75">
      <c r="E447" s="184"/>
      <c r="F447" s="184"/>
      <c r="G447" s="184"/>
      <c r="O447" s="184"/>
      <c r="P447" s="184"/>
      <c r="Q447" s="184"/>
    </row>
    <row r="448" spans="5:17" ht="12.75">
      <c r="E448" s="184"/>
      <c r="F448" s="184"/>
      <c r="G448" s="184"/>
      <c r="O448" s="184"/>
      <c r="P448" s="184"/>
      <c r="Q448" s="184"/>
    </row>
    <row r="449" spans="5:17" ht="12.75">
      <c r="E449" s="184"/>
      <c r="F449" s="184"/>
      <c r="G449" s="184"/>
      <c r="O449" s="184"/>
      <c r="P449" s="184"/>
      <c r="Q449" s="184"/>
    </row>
    <row r="450" spans="5:17" ht="12.75">
      <c r="E450" s="184"/>
      <c r="F450" s="184"/>
      <c r="G450" s="184"/>
      <c r="O450" s="184"/>
      <c r="P450" s="184"/>
      <c r="Q450" s="184"/>
    </row>
    <row r="451" spans="5:17" ht="12.75">
      <c r="E451" s="184"/>
      <c r="F451" s="184"/>
      <c r="G451" s="184"/>
      <c r="O451" s="184"/>
      <c r="P451" s="184"/>
      <c r="Q451" s="184"/>
    </row>
    <row r="452" spans="5:17" ht="12.75">
      <c r="E452" s="184"/>
      <c r="F452" s="184"/>
      <c r="G452" s="184"/>
      <c r="O452" s="184"/>
      <c r="P452" s="184"/>
      <c r="Q452" s="184"/>
    </row>
    <row r="453" spans="5:17" ht="12.75">
      <c r="E453" s="184"/>
      <c r="F453" s="184"/>
      <c r="G453" s="184"/>
      <c r="O453" s="184"/>
      <c r="P453" s="184"/>
      <c r="Q453" s="184"/>
    </row>
    <row r="454" spans="5:17" ht="12.75">
      <c r="E454" s="184"/>
      <c r="F454" s="184"/>
      <c r="G454" s="184"/>
      <c r="O454" s="184"/>
      <c r="P454" s="184"/>
      <c r="Q454" s="184"/>
    </row>
    <row r="455" spans="5:17" ht="12.75">
      <c r="E455" s="184"/>
      <c r="F455" s="184"/>
      <c r="G455" s="184"/>
      <c r="O455" s="184"/>
      <c r="P455" s="184"/>
      <c r="Q455" s="184"/>
    </row>
    <row r="456" spans="5:17" ht="12.75">
      <c r="E456" s="184"/>
      <c r="F456" s="184"/>
      <c r="G456" s="184"/>
      <c r="O456" s="184"/>
      <c r="P456" s="184"/>
      <c r="Q456" s="184"/>
    </row>
    <row r="457" spans="5:17" ht="12.75">
      <c r="E457" s="184"/>
      <c r="F457" s="184"/>
      <c r="G457" s="184"/>
      <c r="O457" s="184"/>
      <c r="P457" s="184"/>
      <c r="Q457" s="184"/>
    </row>
    <row r="458" spans="5:17" ht="12.75">
      <c r="E458" s="184"/>
      <c r="F458" s="184"/>
      <c r="G458" s="184"/>
      <c r="O458" s="184"/>
      <c r="P458" s="184"/>
      <c r="Q458" s="184"/>
    </row>
    <row r="459" spans="5:17" ht="12.75">
      <c r="E459" s="184"/>
      <c r="F459" s="184"/>
      <c r="G459" s="184"/>
      <c r="O459" s="184"/>
      <c r="P459" s="184"/>
      <c r="Q459" s="184"/>
    </row>
    <row r="460" spans="5:17" ht="12.75">
      <c r="E460" s="184"/>
      <c r="F460" s="184"/>
      <c r="G460" s="184"/>
      <c r="O460" s="184"/>
      <c r="P460" s="184"/>
      <c r="Q460" s="184"/>
    </row>
    <row r="461" spans="5:17" ht="12.75">
      <c r="E461" s="184"/>
      <c r="F461" s="184"/>
      <c r="G461" s="184"/>
      <c r="O461" s="184"/>
      <c r="P461" s="184"/>
      <c r="Q461" s="184"/>
    </row>
    <row r="462" spans="5:17" ht="12.75">
      <c r="E462" s="184"/>
      <c r="F462" s="184"/>
      <c r="G462" s="184"/>
      <c r="O462" s="184"/>
      <c r="P462" s="184"/>
      <c r="Q462" s="184"/>
    </row>
    <row r="463" spans="5:17" ht="12.75">
      <c r="E463" s="184"/>
      <c r="F463" s="184"/>
      <c r="G463" s="184"/>
      <c r="O463" s="184"/>
      <c r="P463" s="184"/>
      <c r="Q463" s="184"/>
    </row>
    <row r="464" spans="5:17" ht="12.75">
      <c r="E464" s="184"/>
      <c r="F464" s="184"/>
      <c r="G464" s="184"/>
      <c r="O464" s="184"/>
      <c r="P464" s="184"/>
      <c r="Q464" s="184"/>
    </row>
    <row r="465" spans="5:17" ht="12.75">
      <c r="E465" s="184"/>
      <c r="F465" s="184"/>
      <c r="G465" s="184"/>
      <c r="O465" s="184"/>
      <c r="P465" s="184"/>
      <c r="Q465" s="184"/>
    </row>
    <row r="466" spans="5:17" ht="12.75">
      <c r="E466" s="184"/>
      <c r="F466" s="184"/>
      <c r="G466" s="184"/>
      <c r="O466" s="184"/>
      <c r="P466" s="184"/>
      <c r="Q466" s="184"/>
    </row>
    <row r="467" spans="5:17" ht="12.75">
      <c r="E467" s="184"/>
      <c r="F467" s="184"/>
      <c r="G467" s="184"/>
      <c r="O467" s="184"/>
      <c r="P467" s="184"/>
      <c r="Q467" s="184"/>
    </row>
    <row r="468" spans="5:17" ht="12.75">
      <c r="E468" s="184"/>
      <c r="F468" s="184"/>
      <c r="G468" s="184"/>
      <c r="O468" s="184"/>
      <c r="P468" s="184"/>
      <c r="Q468" s="184"/>
    </row>
    <row r="469" spans="5:17" ht="12.75">
      <c r="E469" s="184"/>
      <c r="F469" s="184"/>
      <c r="G469" s="184"/>
      <c r="O469" s="184"/>
      <c r="P469" s="184"/>
      <c r="Q469" s="184"/>
    </row>
    <row r="470" spans="5:17" ht="12.75">
      <c r="E470" s="184"/>
      <c r="F470" s="184"/>
      <c r="G470" s="184"/>
      <c r="O470" s="184"/>
      <c r="P470" s="184"/>
      <c r="Q470" s="184"/>
    </row>
    <row r="471" spans="5:17" ht="12.75">
      <c r="E471" s="184"/>
      <c r="F471" s="184"/>
      <c r="G471" s="184"/>
      <c r="O471" s="184"/>
      <c r="P471" s="184"/>
      <c r="Q471" s="184"/>
    </row>
    <row r="472" spans="5:17" ht="12.75">
      <c r="E472" s="184"/>
      <c r="F472" s="184"/>
      <c r="G472" s="184"/>
      <c r="O472" s="184"/>
      <c r="P472" s="184"/>
      <c r="Q472" s="184"/>
    </row>
    <row r="473" spans="5:17" ht="12.75">
      <c r="E473" s="184"/>
      <c r="F473" s="184"/>
      <c r="G473" s="184"/>
      <c r="O473" s="184"/>
      <c r="P473" s="184"/>
      <c r="Q473" s="184"/>
    </row>
    <row r="474" spans="5:17" ht="12.75">
      <c r="E474" s="184"/>
      <c r="F474" s="184"/>
      <c r="G474" s="184"/>
      <c r="O474" s="184"/>
      <c r="P474" s="184"/>
      <c r="Q474" s="184"/>
    </row>
    <row r="475" spans="5:17" ht="12.75">
      <c r="E475" s="184"/>
      <c r="F475" s="184"/>
      <c r="G475" s="184"/>
      <c r="O475" s="184"/>
      <c r="P475" s="184"/>
      <c r="Q475" s="184"/>
    </row>
    <row r="476" spans="5:17" ht="12.75">
      <c r="E476" s="184"/>
      <c r="F476" s="184"/>
      <c r="G476" s="184"/>
      <c r="O476" s="184"/>
      <c r="P476" s="184"/>
      <c r="Q476" s="184"/>
    </row>
    <row r="477" spans="5:17" ht="12.75">
      <c r="E477" s="184"/>
      <c r="F477" s="184"/>
      <c r="G477" s="184"/>
      <c r="O477" s="184"/>
      <c r="P477" s="184"/>
      <c r="Q477" s="184"/>
    </row>
    <row r="478" spans="5:17" ht="12.75">
      <c r="E478" s="184"/>
      <c r="F478" s="184"/>
      <c r="G478" s="184"/>
      <c r="O478" s="184"/>
      <c r="P478" s="184"/>
      <c r="Q478" s="184"/>
    </row>
    <row r="479" spans="5:17" ht="12.75">
      <c r="E479" s="184"/>
      <c r="F479" s="184"/>
      <c r="G479" s="184"/>
      <c r="O479" s="184"/>
      <c r="P479" s="184"/>
      <c r="Q479" s="184"/>
    </row>
    <row r="480" spans="5:17" ht="12.75">
      <c r="E480" s="184"/>
      <c r="F480" s="184"/>
      <c r="G480" s="184"/>
      <c r="O480" s="184"/>
      <c r="P480" s="184"/>
      <c r="Q480" s="184"/>
    </row>
    <row r="481" spans="5:17" ht="12.75">
      <c r="E481" s="184"/>
      <c r="F481" s="184"/>
      <c r="G481" s="184"/>
      <c r="O481" s="184"/>
      <c r="P481" s="184"/>
      <c r="Q481" s="184"/>
    </row>
    <row r="482" spans="5:17" ht="12.75">
      <c r="E482" s="184"/>
      <c r="F482" s="184"/>
      <c r="G482" s="184"/>
      <c r="O482" s="184"/>
      <c r="P482" s="184"/>
      <c r="Q482" s="184"/>
    </row>
    <row r="483" spans="5:17" ht="12.75">
      <c r="E483" s="184"/>
      <c r="F483" s="184"/>
      <c r="G483" s="184"/>
      <c r="O483" s="184"/>
      <c r="P483" s="184"/>
      <c r="Q483" s="184"/>
    </row>
    <row r="484" spans="5:17" ht="12.75">
      <c r="E484" s="184"/>
      <c r="F484" s="184"/>
      <c r="G484" s="184"/>
      <c r="O484" s="184"/>
      <c r="P484" s="184"/>
      <c r="Q484" s="184"/>
    </row>
    <row r="485" spans="5:17" ht="12.75">
      <c r="E485" s="184"/>
      <c r="F485" s="184"/>
      <c r="G485" s="184"/>
      <c r="O485" s="184"/>
      <c r="P485" s="184"/>
      <c r="Q485" s="184"/>
    </row>
    <row r="486" spans="5:17" ht="12.75">
      <c r="E486" s="184"/>
      <c r="F486" s="184"/>
      <c r="G486" s="184"/>
      <c r="O486" s="184"/>
      <c r="P486" s="184"/>
      <c r="Q486" s="184"/>
    </row>
    <row r="487" spans="5:17" ht="12.75">
      <c r="E487" s="184"/>
      <c r="F487" s="184"/>
      <c r="G487" s="184"/>
      <c r="O487" s="184"/>
      <c r="P487" s="184"/>
      <c r="Q487" s="184"/>
    </row>
    <row r="488" spans="5:17" ht="12.75">
      <c r="E488" s="184"/>
      <c r="F488" s="184"/>
      <c r="G488" s="184"/>
      <c r="O488" s="184"/>
      <c r="P488" s="184"/>
      <c r="Q488" s="184"/>
    </row>
    <row r="489" spans="5:17" ht="12.75">
      <c r="E489" s="184"/>
      <c r="F489" s="184"/>
      <c r="G489" s="184"/>
      <c r="O489" s="184"/>
      <c r="P489" s="184"/>
      <c r="Q489" s="184"/>
    </row>
    <row r="490" spans="5:17" ht="12.75">
      <c r="E490" s="184"/>
      <c r="F490" s="184"/>
      <c r="G490" s="184"/>
      <c r="O490" s="184"/>
      <c r="P490" s="184"/>
      <c r="Q490" s="184"/>
    </row>
    <row r="491" spans="5:17" ht="12.75">
      <c r="E491" s="184"/>
      <c r="F491" s="184"/>
      <c r="G491" s="184"/>
      <c r="O491" s="184"/>
      <c r="P491" s="184"/>
      <c r="Q491" s="184"/>
    </row>
    <row r="492" spans="5:17" ht="12.75">
      <c r="E492" s="184"/>
      <c r="F492" s="184"/>
      <c r="G492" s="184"/>
      <c r="O492" s="184"/>
      <c r="P492" s="184"/>
      <c r="Q492" s="184"/>
    </row>
    <row r="493" spans="5:17" ht="12.75">
      <c r="E493" s="184"/>
      <c r="F493" s="184"/>
      <c r="G493" s="184"/>
      <c r="O493" s="184"/>
      <c r="P493" s="184"/>
      <c r="Q493" s="184"/>
    </row>
    <row r="494" spans="5:17" ht="12.75">
      <c r="E494" s="184"/>
      <c r="F494" s="184"/>
      <c r="G494" s="184"/>
      <c r="O494" s="184"/>
      <c r="P494" s="184"/>
      <c r="Q494" s="184"/>
    </row>
    <row r="495" spans="5:17" ht="12.75">
      <c r="E495" s="184"/>
      <c r="F495" s="184"/>
      <c r="G495" s="184"/>
      <c r="O495" s="184"/>
      <c r="P495" s="184"/>
      <c r="Q495" s="184"/>
    </row>
    <row r="496" spans="5:17" ht="12.75">
      <c r="E496" s="184"/>
      <c r="F496" s="184"/>
      <c r="G496" s="184"/>
      <c r="O496" s="184"/>
      <c r="P496" s="184"/>
      <c r="Q496" s="184"/>
    </row>
    <row r="497" spans="5:17" ht="12.75">
      <c r="E497" s="184"/>
      <c r="F497" s="184"/>
      <c r="G497" s="184"/>
      <c r="O497" s="184"/>
      <c r="P497" s="184"/>
      <c r="Q497" s="184"/>
    </row>
    <row r="498" spans="5:17" ht="12.75">
      <c r="E498" s="184"/>
      <c r="F498" s="184"/>
      <c r="G498" s="184"/>
      <c r="O498" s="184"/>
      <c r="P498" s="184"/>
      <c r="Q498" s="184"/>
    </row>
    <row r="499" spans="5:17" ht="12.75">
      <c r="E499" s="184"/>
      <c r="F499" s="184"/>
      <c r="G499" s="184"/>
      <c r="O499" s="184"/>
      <c r="P499" s="184"/>
      <c r="Q499" s="184"/>
    </row>
    <row r="500" spans="5:17" ht="12.75">
      <c r="E500" s="184"/>
      <c r="F500" s="184"/>
      <c r="G500" s="184"/>
      <c r="O500" s="184"/>
      <c r="P500" s="184"/>
      <c r="Q500" s="184"/>
    </row>
    <row r="501" spans="5:17" ht="12.75">
      <c r="E501" s="184"/>
      <c r="F501" s="184"/>
      <c r="G501" s="184"/>
      <c r="O501" s="184"/>
      <c r="P501" s="184"/>
      <c r="Q501" s="184"/>
    </row>
    <row r="502" spans="5:17" ht="12.75">
      <c r="E502" s="184"/>
      <c r="F502" s="184"/>
      <c r="G502" s="184"/>
      <c r="O502" s="184"/>
      <c r="P502" s="184"/>
      <c r="Q502" s="184"/>
    </row>
    <row r="503" spans="5:17" ht="12.75">
      <c r="E503" s="184"/>
      <c r="F503" s="184"/>
      <c r="G503" s="184"/>
      <c r="O503" s="184"/>
      <c r="P503" s="184"/>
      <c r="Q503" s="184"/>
    </row>
    <row r="504" spans="5:17" ht="12.75">
      <c r="E504" s="184"/>
      <c r="F504" s="184"/>
      <c r="G504" s="184"/>
      <c r="O504" s="184"/>
      <c r="P504" s="184"/>
      <c r="Q504" s="184"/>
    </row>
    <row r="505" spans="5:17" ht="12.75">
      <c r="E505" s="184"/>
      <c r="F505" s="184"/>
      <c r="G505" s="184"/>
      <c r="O505" s="184"/>
      <c r="P505" s="184"/>
      <c r="Q505" s="184"/>
    </row>
    <row r="506" spans="5:17" ht="12.75">
      <c r="E506" s="184"/>
      <c r="F506" s="184"/>
      <c r="G506" s="184"/>
      <c r="O506" s="184"/>
      <c r="P506" s="184"/>
      <c r="Q506" s="184"/>
    </row>
    <row r="507" spans="5:17" ht="12.75">
      <c r="E507" s="184"/>
      <c r="F507" s="184"/>
      <c r="G507" s="184"/>
      <c r="O507" s="184"/>
      <c r="P507" s="184"/>
      <c r="Q507" s="184"/>
    </row>
    <row r="508" spans="5:17" ht="12.75">
      <c r="E508" s="184"/>
      <c r="F508" s="184"/>
      <c r="G508" s="184"/>
      <c r="O508" s="184"/>
      <c r="P508" s="184"/>
      <c r="Q508" s="184"/>
    </row>
    <row r="509" spans="5:17" ht="12.75">
      <c r="E509" s="184"/>
      <c r="F509" s="184"/>
      <c r="G509" s="184"/>
      <c r="O509" s="184"/>
      <c r="P509" s="184"/>
      <c r="Q509" s="184"/>
    </row>
    <row r="510" spans="5:17" ht="12.75">
      <c r="E510" s="184"/>
      <c r="F510" s="184"/>
      <c r="G510" s="184"/>
      <c r="O510" s="184"/>
      <c r="P510" s="184"/>
      <c r="Q510" s="184"/>
    </row>
    <row r="511" spans="5:17" ht="12.75">
      <c r="E511" s="184"/>
      <c r="F511" s="184"/>
      <c r="G511" s="184"/>
      <c r="O511" s="184"/>
      <c r="P511" s="184"/>
      <c r="Q511" s="184"/>
    </row>
    <row r="512" spans="5:17" ht="12.75">
      <c r="E512" s="184"/>
      <c r="F512" s="184"/>
      <c r="G512" s="184"/>
      <c r="O512" s="184"/>
      <c r="P512" s="184"/>
      <c r="Q512" s="184"/>
    </row>
    <row r="513" spans="5:17" ht="12.75">
      <c r="E513" s="184"/>
      <c r="F513" s="184"/>
      <c r="G513" s="184"/>
      <c r="O513" s="184"/>
      <c r="P513" s="184"/>
      <c r="Q513" s="184"/>
    </row>
    <row r="514" spans="5:17" ht="12.75">
      <c r="E514" s="184"/>
      <c r="F514" s="184"/>
      <c r="G514" s="184"/>
      <c r="O514" s="184"/>
      <c r="P514" s="184"/>
      <c r="Q514" s="184"/>
    </row>
    <row r="515" spans="5:17" ht="12.75">
      <c r="E515" s="184"/>
      <c r="F515" s="184"/>
      <c r="G515" s="184"/>
      <c r="O515" s="184"/>
      <c r="P515" s="184"/>
      <c r="Q515" s="184"/>
    </row>
    <row r="516" spans="5:17" ht="12.75">
      <c r="E516" s="184"/>
      <c r="F516" s="184"/>
      <c r="G516" s="184"/>
      <c r="O516" s="184"/>
      <c r="P516" s="184"/>
      <c r="Q516" s="184"/>
    </row>
    <row r="517" spans="5:17" ht="12.75">
      <c r="E517" s="184"/>
      <c r="F517" s="184"/>
      <c r="G517" s="184"/>
      <c r="O517" s="184"/>
      <c r="P517" s="184"/>
      <c r="Q517" s="184"/>
    </row>
    <row r="518" spans="5:17" ht="12.75">
      <c r="E518" s="184"/>
      <c r="F518" s="184"/>
      <c r="G518" s="184"/>
      <c r="O518" s="184"/>
      <c r="P518" s="184"/>
      <c r="Q518" s="184"/>
    </row>
    <row r="519" spans="5:17" ht="12.75">
      <c r="E519" s="184"/>
      <c r="F519" s="184"/>
      <c r="G519" s="184"/>
      <c r="O519" s="184"/>
      <c r="P519" s="184"/>
      <c r="Q519" s="184"/>
    </row>
    <row r="520" spans="5:17" ht="12.75">
      <c r="E520" s="184"/>
      <c r="F520" s="184"/>
      <c r="G520" s="184"/>
      <c r="O520" s="184"/>
      <c r="P520" s="184"/>
      <c r="Q520" s="184"/>
    </row>
    <row r="521" spans="5:17" ht="12.75">
      <c r="E521" s="184"/>
      <c r="F521" s="184"/>
      <c r="G521" s="184"/>
      <c r="O521" s="184"/>
      <c r="P521" s="184"/>
      <c r="Q521" s="184"/>
    </row>
    <row r="522" spans="5:17" ht="12.75">
      <c r="E522" s="184"/>
      <c r="F522" s="184"/>
      <c r="G522" s="184"/>
      <c r="O522" s="184"/>
      <c r="P522" s="184"/>
      <c r="Q522" s="184"/>
    </row>
    <row r="523" spans="5:17" ht="12.75">
      <c r="E523" s="184"/>
      <c r="F523" s="184"/>
      <c r="G523" s="184"/>
      <c r="O523" s="184"/>
      <c r="P523" s="184"/>
      <c r="Q523" s="184"/>
    </row>
    <row r="524" spans="5:17" ht="12.75">
      <c r="E524" s="184"/>
      <c r="F524" s="184"/>
      <c r="G524" s="184"/>
      <c r="O524" s="184"/>
      <c r="P524" s="184"/>
      <c r="Q524" s="184"/>
    </row>
    <row r="525" spans="5:17" ht="12.75">
      <c r="E525" s="184"/>
      <c r="F525" s="184"/>
      <c r="G525" s="184"/>
      <c r="O525" s="184"/>
      <c r="P525" s="184"/>
      <c r="Q525" s="184"/>
    </row>
    <row r="526" spans="5:17" ht="12.75">
      <c r="E526" s="184"/>
      <c r="F526" s="184"/>
      <c r="G526" s="184"/>
      <c r="O526" s="184"/>
      <c r="P526" s="184"/>
      <c r="Q526" s="184"/>
    </row>
    <row r="527" spans="5:17" ht="12.75">
      <c r="E527" s="184"/>
      <c r="F527" s="184"/>
      <c r="G527" s="184"/>
      <c r="O527" s="184"/>
      <c r="P527" s="184"/>
      <c r="Q527" s="184"/>
    </row>
    <row r="528" spans="5:17" ht="12.75">
      <c r="E528" s="184"/>
      <c r="F528" s="184"/>
      <c r="G528" s="184"/>
      <c r="O528" s="184"/>
      <c r="P528" s="184"/>
      <c r="Q528" s="184"/>
    </row>
    <row r="529" spans="5:17" ht="12.75">
      <c r="E529" s="184"/>
      <c r="F529" s="184"/>
      <c r="G529" s="184"/>
      <c r="O529" s="184"/>
      <c r="P529" s="184"/>
      <c r="Q529" s="184"/>
    </row>
    <row r="530" spans="5:17" ht="12.75">
      <c r="E530" s="184"/>
      <c r="F530" s="184"/>
      <c r="G530" s="184"/>
      <c r="O530" s="184"/>
      <c r="P530" s="184"/>
      <c r="Q530" s="184"/>
    </row>
    <row r="531" spans="5:17" ht="12.75">
      <c r="E531" s="184"/>
      <c r="F531" s="184"/>
      <c r="G531" s="184"/>
      <c r="O531" s="184"/>
      <c r="P531" s="184"/>
      <c r="Q531" s="184"/>
    </row>
    <row r="532" spans="5:17" ht="12.75">
      <c r="E532" s="184"/>
      <c r="F532" s="184"/>
      <c r="G532" s="184"/>
      <c r="O532" s="184"/>
      <c r="P532" s="184"/>
      <c r="Q532" s="184"/>
    </row>
    <row r="533" spans="5:17" ht="12.75">
      <c r="E533" s="184"/>
      <c r="F533" s="184"/>
      <c r="G533" s="184"/>
      <c r="O533" s="184"/>
      <c r="P533" s="184"/>
      <c r="Q533" s="184"/>
    </row>
    <row r="534" spans="5:17" ht="12.75">
      <c r="E534" s="184"/>
      <c r="F534" s="184"/>
      <c r="G534" s="184"/>
      <c r="O534" s="184"/>
      <c r="P534" s="184"/>
      <c r="Q534" s="184"/>
    </row>
    <row r="535" spans="5:17" ht="12.75">
      <c r="E535" s="184"/>
      <c r="F535" s="184"/>
      <c r="G535" s="184"/>
      <c r="O535" s="184"/>
      <c r="P535" s="184"/>
      <c r="Q535" s="184"/>
    </row>
    <row r="536" spans="5:17" ht="12.75">
      <c r="E536" s="184"/>
      <c r="F536" s="184"/>
      <c r="G536" s="184"/>
      <c r="O536" s="184"/>
      <c r="P536" s="184"/>
      <c r="Q536" s="184"/>
    </row>
    <row r="537" spans="5:17" ht="12.75">
      <c r="E537" s="184"/>
      <c r="F537" s="184"/>
      <c r="G537" s="184"/>
      <c r="O537" s="184"/>
      <c r="P537" s="184"/>
      <c r="Q537" s="184"/>
    </row>
    <row r="538" spans="5:17" ht="12.75">
      <c r="E538" s="184"/>
      <c r="F538" s="184"/>
      <c r="G538" s="184"/>
      <c r="O538" s="184"/>
      <c r="P538" s="184"/>
      <c r="Q538" s="184"/>
    </row>
    <row r="539" spans="5:17" ht="12.75">
      <c r="E539" s="184"/>
      <c r="F539" s="184"/>
      <c r="G539" s="184"/>
      <c r="O539" s="184"/>
      <c r="P539" s="184"/>
      <c r="Q539" s="184"/>
    </row>
    <row r="540" spans="5:17" ht="12.75">
      <c r="E540" s="184"/>
      <c r="F540" s="184"/>
      <c r="G540" s="184"/>
      <c r="O540" s="184"/>
      <c r="P540" s="184"/>
      <c r="Q540" s="184"/>
    </row>
    <row r="541" spans="5:17" ht="12.75">
      <c r="E541" s="184"/>
      <c r="F541" s="184"/>
      <c r="G541" s="184"/>
      <c r="O541" s="184"/>
      <c r="P541" s="184"/>
      <c r="Q541" s="184"/>
    </row>
    <row r="542" spans="5:17" ht="12.75">
      <c r="E542" s="184"/>
      <c r="F542" s="184"/>
      <c r="G542" s="184"/>
      <c r="O542" s="184"/>
      <c r="P542" s="184"/>
      <c r="Q542" s="184"/>
    </row>
    <row r="543" spans="5:17" ht="12.75">
      <c r="E543" s="184"/>
      <c r="F543" s="184"/>
      <c r="G543" s="184"/>
      <c r="O543" s="184"/>
      <c r="P543" s="184"/>
      <c r="Q543" s="184"/>
    </row>
    <row r="544" spans="5:17" ht="12.75">
      <c r="E544" s="184"/>
      <c r="F544" s="184"/>
      <c r="G544" s="184"/>
      <c r="O544" s="184"/>
      <c r="P544" s="184"/>
      <c r="Q544" s="184"/>
    </row>
    <row r="545" spans="5:17" ht="12.75">
      <c r="E545" s="184"/>
      <c r="F545" s="184"/>
      <c r="G545" s="184"/>
      <c r="O545" s="184"/>
      <c r="P545" s="184"/>
      <c r="Q545" s="184"/>
    </row>
    <row r="546" spans="5:17" ht="12.75">
      <c r="E546" s="184"/>
      <c r="F546" s="184"/>
      <c r="G546" s="184"/>
      <c r="O546" s="184"/>
      <c r="P546" s="184"/>
      <c r="Q546" s="184"/>
    </row>
    <row r="547" spans="5:17" ht="12.75">
      <c r="E547" s="184"/>
      <c r="F547" s="184"/>
      <c r="G547" s="184"/>
      <c r="O547" s="184"/>
      <c r="P547" s="184"/>
      <c r="Q547" s="184"/>
    </row>
    <row r="548" spans="5:17" ht="12.75">
      <c r="E548" s="184"/>
      <c r="F548" s="184"/>
      <c r="G548" s="184"/>
      <c r="O548" s="184"/>
      <c r="P548" s="184"/>
      <c r="Q548" s="184"/>
    </row>
    <row r="549" spans="5:17" ht="12.75">
      <c r="E549" s="184"/>
      <c r="F549" s="184"/>
      <c r="G549" s="184"/>
      <c r="O549" s="184"/>
      <c r="P549" s="184"/>
      <c r="Q549" s="184"/>
    </row>
    <row r="550" spans="5:17" ht="12.75">
      <c r="E550" s="184"/>
      <c r="F550" s="184"/>
      <c r="G550" s="184"/>
      <c r="O550" s="184"/>
      <c r="P550" s="184"/>
      <c r="Q550" s="184"/>
    </row>
    <row r="551" spans="5:17" ht="12.75">
      <c r="E551" s="184"/>
      <c r="F551" s="184"/>
      <c r="G551" s="184"/>
      <c r="O551" s="184"/>
      <c r="P551" s="184"/>
      <c r="Q551" s="184"/>
    </row>
    <row r="552" spans="5:17" ht="12.75">
      <c r="E552" s="184"/>
      <c r="F552" s="184"/>
      <c r="G552" s="184"/>
      <c r="O552" s="184"/>
      <c r="P552" s="184"/>
      <c r="Q552" s="184"/>
    </row>
    <row r="553" spans="5:17" ht="12.75">
      <c r="E553" s="184"/>
      <c r="F553" s="184"/>
      <c r="G553" s="184"/>
      <c r="O553" s="184"/>
      <c r="P553" s="184"/>
      <c r="Q553" s="184"/>
    </row>
    <row r="554" spans="5:17" ht="12.75">
      <c r="E554" s="184"/>
      <c r="F554" s="184"/>
      <c r="G554" s="184"/>
      <c r="O554" s="184"/>
      <c r="P554" s="184"/>
      <c r="Q554" s="184"/>
    </row>
    <row r="555" spans="5:17" ht="12.75">
      <c r="E555" s="184"/>
      <c r="F555" s="184"/>
      <c r="G555" s="184"/>
      <c r="O555" s="184"/>
      <c r="P555" s="184"/>
      <c r="Q555" s="184"/>
    </row>
    <row r="556" spans="5:17" ht="12.75">
      <c r="E556" s="184"/>
      <c r="F556" s="184"/>
      <c r="G556" s="184"/>
      <c r="O556" s="184"/>
      <c r="P556" s="184"/>
      <c r="Q556" s="184"/>
    </row>
    <row r="557" spans="5:17" ht="12.75">
      <c r="E557" s="184"/>
      <c r="F557" s="184"/>
      <c r="G557" s="184"/>
      <c r="O557" s="184"/>
      <c r="P557" s="184"/>
      <c r="Q557" s="184"/>
    </row>
    <row r="558" spans="5:17" ht="12.75">
      <c r="E558" s="184"/>
      <c r="F558" s="184"/>
      <c r="G558" s="184"/>
      <c r="O558" s="184"/>
      <c r="P558" s="184"/>
      <c r="Q558" s="184"/>
    </row>
    <row r="559" spans="5:17" ht="12.75">
      <c r="E559" s="184"/>
      <c r="F559" s="184"/>
      <c r="G559" s="184"/>
      <c r="O559" s="184"/>
      <c r="P559" s="184"/>
      <c r="Q559" s="184"/>
    </row>
    <row r="560" spans="5:17" ht="12.75">
      <c r="E560" s="184"/>
      <c r="F560" s="184"/>
      <c r="G560" s="184"/>
      <c r="O560" s="184"/>
      <c r="P560" s="184"/>
      <c r="Q560" s="184"/>
    </row>
    <row r="561" spans="5:17" ht="12.75">
      <c r="E561" s="184"/>
      <c r="F561" s="184"/>
      <c r="G561" s="184"/>
      <c r="O561" s="184"/>
      <c r="P561" s="184"/>
      <c r="Q561" s="184"/>
    </row>
    <row r="562" spans="5:17" ht="12.75">
      <c r="E562" s="184"/>
      <c r="F562" s="184"/>
      <c r="G562" s="184"/>
      <c r="O562" s="184"/>
      <c r="P562" s="184"/>
      <c r="Q562" s="184"/>
    </row>
    <row r="563" spans="5:17" ht="12.75">
      <c r="E563" s="184"/>
      <c r="F563" s="184"/>
      <c r="G563" s="184"/>
      <c r="O563" s="184"/>
      <c r="P563" s="184"/>
      <c r="Q563" s="184"/>
    </row>
    <row r="564" spans="5:17" ht="12.75">
      <c r="E564" s="184"/>
      <c r="F564" s="184"/>
      <c r="G564" s="184"/>
      <c r="O564" s="184"/>
      <c r="P564" s="184"/>
      <c r="Q564" s="184"/>
    </row>
    <row r="565" spans="5:17" ht="12.75">
      <c r="E565" s="184"/>
      <c r="F565" s="184"/>
      <c r="G565" s="184"/>
      <c r="O565" s="184"/>
      <c r="P565" s="184"/>
      <c r="Q565" s="184"/>
    </row>
    <row r="566" spans="5:17" ht="12.75">
      <c r="E566" s="184"/>
      <c r="F566" s="184"/>
      <c r="G566" s="184"/>
      <c r="O566" s="184"/>
      <c r="P566" s="184"/>
      <c r="Q566" s="184"/>
    </row>
    <row r="567" spans="5:17" ht="12.75">
      <c r="E567" s="184"/>
      <c r="F567" s="184"/>
      <c r="G567" s="184"/>
      <c r="O567" s="184"/>
      <c r="P567" s="184"/>
      <c r="Q567" s="184"/>
    </row>
    <row r="568" spans="5:17" ht="12.75">
      <c r="E568" s="184"/>
      <c r="F568" s="184"/>
      <c r="G568" s="184"/>
      <c r="O568" s="184"/>
      <c r="P568" s="184"/>
      <c r="Q568" s="184"/>
    </row>
    <row r="569" spans="5:17" ht="12.75">
      <c r="E569" s="184"/>
      <c r="F569" s="184"/>
      <c r="G569" s="184"/>
      <c r="O569" s="184"/>
      <c r="P569" s="184"/>
      <c r="Q569" s="184"/>
    </row>
    <row r="570" spans="5:17" ht="12.75">
      <c r="E570" s="184"/>
      <c r="F570" s="184"/>
      <c r="G570" s="184"/>
      <c r="O570" s="184"/>
      <c r="P570" s="184"/>
      <c r="Q570" s="184"/>
    </row>
    <row r="571" spans="5:17" ht="12.75">
      <c r="E571" s="184"/>
      <c r="F571" s="184"/>
      <c r="G571" s="184"/>
      <c r="O571" s="184"/>
      <c r="P571" s="184"/>
      <c r="Q571" s="184"/>
    </row>
    <row r="572" spans="5:17" ht="12.75">
      <c r="E572" s="184"/>
      <c r="F572" s="184"/>
      <c r="G572" s="184"/>
      <c r="O572" s="184"/>
      <c r="P572" s="184"/>
      <c r="Q572" s="184"/>
    </row>
    <row r="573" spans="5:17" ht="12.75">
      <c r="E573" s="184"/>
      <c r="F573" s="184"/>
      <c r="G573" s="184"/>
      <c r="O573" s="184"/>
      <c r="P573" s="184"/>
      <c r="Q573" s="184"/>
    </row>
    <row r="574" spans="5:17" ht="12.75">
      <c r="E574" s="184"/>
      <c r="F574" s="184"/>
      <c r="G574" s="184"/>
      <c r="O574" s="184"/>
      <c r="P574" s="184"/>
      <c r="Q574" s="184"/>
    </row>
    <row r="575" spans="5:17" ht="12.75">
      <c r="E575" s="184"/>
      <c r="F575" s="184"/>
      <c r="G575" s="184"/>
      <c r="O575" s="184"/>
      <c r="P575" s="184"/>
      <c r="Q575" s="184"/>
    </row>
    <row r="576" spans="5:17" ht="12.75">
      <c r="E576" s="184"/>
      <c r="F576" s="184"/>
      <c r="G576" s="184"/>
      <c r="O576" s="184"/>
      <c r="P576" s="184"/>
      <c r="Q576" s="184"/>
    </row>
    <row r="577" spans="5:17" ht="12.75">
      <c r="E577" s="184"/>
      <c r="F577" s="184"/>
      <c r="G577" s="184"/>
      <c r="O577" s="184"/>
      <c r="P577" s="184"/>
      <c r="Q577" s="184"/>
    </row>
    <row r="578" spans="5:17" ht="12.75">
      <c r="E578" s="184"/>
      <c r="F578" s="184"/>
      <c r="G578" s="184"/>
      <c r="O578" s="184"/>
      <c r="P578" s="184"/>
      <c r="Q578" s="184"/>
    </row>
    <row r="579" spans="5:17" ht="12.75">
      <c r="E579" s="184"/>
      <c r="F579" s="184"/>
      <c r="G579" s="184"/>
      <c r="O579" s="184"/>
      <c r="P579" s="184"/>
      <c r="Q579" s="184"/>
    </row>
    <row r="580" spans="5:17" ht="12.75">
      <c r="E580" s="184"/>
      <c r="F580" s="184"/>
      <c r="G580" s="184"/>
      <c r="O580" s="184"/>
      <c r="P580" s="184"/>
      <c r="Q580" s="184"/>
    </row>
    <row r="581" spans="5:17" ht="12.75">
      <c r="E581" s="184"/>
      <c r="F581" s="184"/>
      <c r="G581" s="184"/>
      <c r="O581" s="184"/>
      <c r="P581" s="184"/>
      <c r="Q581" s="184"/>
    </row>
    <row r="582" spans="5:17" ht="12.75">
      <c r="E582" s="184"/>
      <c r="F582" s="184"/>
      <c r="G582" s="184"/>
      <c r="O582" s="184"/>
      <c r="P582" s="184"/>
      <c r="Q582" s="184"/>
    </row>
    <row r="583" spans="5:17" ht="12.75">
      <c r="E583" s="184"/>
      <c r="F583" s="184"/>
      <c r="G583" s="184"/>
      <c r="O583" s="184"/>
      <c r="P583" s="184"/>
      <c r="Q583" s="184"/>
    </row>
    <row r="584" spans="5:17" ht="12.75">
      <c r="E584" s="184"/>
      <c r="F584" s="184"/>
      <c r="G584" s="184"/>
      <c r="O584" s="184"/>
      <c r="P584" s="184"/>
      <c r="Q584" s="184"/>
    </row>
    <row r="585" spans="5:17" ht="12.75">
      <c r="E585" s="184"/>
      <c r="F585" s="184"/>
      <c r="G585" s="184"/>
      <c r="O585" s="184"/>
      <c r="P585" s="184"/>
      <c r="Q585" s="184"/>
    </row>
    <row r="586" spans="5:17" ht="12.75">
      <c r="E586" s="184"/>
      <c r="F586" s="184"/>
      <c r="G586" s="184"/>
      <c r="O586" s="184"/>
      <c r="P586" s="184"/>
      <c r="Q586" s="184"/>
    </row>
    <row r="587" spans="5:17" ht="12.75">
      <c r="E587" s="184"/>
      <c r="F587" s="184"/>
      <c r="G587" s="184"/>
      <c r="O587" s="184"/>
      <c r="P587" s="184"/>
      <c r="Q587" s="184"/>
    </row>
    <row r="588" spans="5:17" ht="12.75">
      <c r="E588" s="184"/>
      <c r="F588" s="184"/>
      <c r="G588" s="184"/>
      <c r="O588" s="184"/>
      <c r="P588" s="184"/>
      <c r="Q588" s="184"/>
    </row>
    <row r="589" spans="5:17" ht="12.75">
      <c r="E589" s="184"/>
      <c r="F589" s="184"/>
      <c r="G589" s="184"/>
      <c r="O589" s="184"/>
      <c r="P589" s="184"/>
      <c r="Q589" s="184"/>
    </row>
    <row r="590" spans="5:17" ht="12.75">
      <c r="E590" s="184"/>
      <c r="F590" s="184"/>
      <c r="G590" s="184"/>
      <c r="O590" s="184"/>
      <c r="P590" s="184"/>
      <c r="Q590" s="184"/>
    </row>
    <row r="591" spans="5:17" ht="12.75">
      <c r="E591" s="184"/>
      <c r="F591" s="184"/>
      <c r="G591" s="184"/>
      <c r="O591" s="184"/>
      <c r="P591" s="184"/>
      <c r="Q591" s="184"/>
    </row>
    <row r="592" spans="5:17" ht="12.75">
      <c r="E592" s="184"/>
      <c r="F592" s="184"/>
      <c r="G592" s="184"/>
      <c r="O592" s="184"/>
      <c r="P592" s="184"/>
      <c r="Q592" s="184"/>
    </row>
    <row r="593" spans="5:17" ht="12.75">
      <c r="E593" s="184"/>
      <c r="F593" s="184"/>
      <c r="G593" s="184"/>
      <c r="O593" s="184"/>
      <c r="P593" s="184"/>
      <c r="Q593" s="184"/>
    </row>
    <row r="594" spans="5:17" ht="12.75">
      <c r="E594" s="184"/>
      <c r="F594" s="184"/>
      <c r="G594" s="184"/>
      <c r="O594" s="184"/>
      <c r="P594" s="184"/>
      <c r="Q594" s="184"/>
    </row>
    <row r="595" spans="5:17" ht="12.75">
      <c r="E595" s="184"/>
      <c r="F595" s="184"/>
      <c r="G595" s="184"/>
      <c r="O595" s="184"/>
      <c r="P595" s="184"/>
      <c r="Q595" s="184"/>
    </row>
    <row r="596" spans="5:17" ht="12.75">
      <c r="E596" s="184"/>
      <c r="F596" s="184"/>
      <c r="G596" s="184"/>
      <c r="O596" s="184"/>
      <c r="P596" s="184"/>
      <c r="Q596" s="184"/>
    </row>
    <row r="597" spans="5:17" ht="12.75">
      <c r="E597" s="184"/>
      <c r="F597" s="184"/>
      <c r="G597" s="184"/>
      <c r="O597" s="184"/>
      <c r="P597" s="184"/>
      <c r="Q597" s="184"/>
    </row>
    <row r="598" spans="5:17" ht="12.75">
      <c r="E598" s="184"/>
      <c r="F598" s="184"/>
      <c r="G598" s="184"/>
      <c r="O598" s="184"/>
      <c r="P598" s="184"/>
      <c r="Q598" s="184"/>
    </row>
    <row r="599" spans="5:17" ht="12.75">
      <c r="E599" s="184"/>
      <c r="F599" s="184"/>
      <c r="G599" s="184"/>
      <c r="O599" s="184"/>
      <c r="P599" s="184"/>
      <c r="Q599" s="184"/>
    </row>
    <row r="600" spans="5:17" ht="12.75">
      <c r="E600" s="184"/>
      <c r="F600" s="184"/>
      <c r="G600" s="184"/>
      <c r="O600" s="184"/>
      <c r="P600" s="184"/>
      <c r="Q600" s="184"/>
    </row>
    <row r="601" spans="5:17" ht="12.75">
      <c r="E601" s="184"/>
      <c r="F601" s="184"/>
      <c r="G601" s="184"/>
      <c r="O601" s="184"/>
      <c r="P601" s="184"/>
      <c r="Q601" s="184"/>
    </row>
    <row r="602" spans="5:17" ht="12.75">
      <c r="E602" s="184"/>
      <c r="F602" s="184"/>
      <c r="G602" s="184"/>
      <c r="O602" s="184"/>
      <c r="P602" s="184"/>
      <c r="Q602" s="184"/>
    </row>
    <row r="603" spans="5:17" ht="12.75">
      <c r="E603" s="184"/>
      <c r="F603" s="184"/>
      <c r="G603" s="184"/>
      <c r="O603" s="184"/>
      <c r="P603" s="184"/>
      <c r="Q603" s="184"/>
    </row>
    <row r="604" spans="5:17" ht="12.75">
      <c r="E604" s="184"/>
      <c r="F604" s="184"/>
      <c r="G604" s="184"/>
      <c r="O604" s="184"/>
      <c r="P604" s="184"/>
      <c r="Q604" s="184"/>
    </row>
    <row r="605" spans="5:17" ht="12.75">
      <c r="E605" s="184"/>
      <c r="F605" s="184"/>
      <c r="G605" s="184"/>
      <c r="O605" s="184"/>
      <c r="P605" s="184"/>
      <c r="Q605" s="184"/>
    </row>
    <row r="606" spans="5:17" ht="12.75">
      <c r="E606" s="184"/>
      <c r="F606" s="184"/>
      <c r="G606" s="184"/>
      <c r="O606" s="184"/>
      <c r="P606" s="184"/>
      <c r="Q606" s="184"/>
    </row>
    <row r="607" spans="5:17" ht="12.75">
      <c r="E607" s="184"/>
      <c r="F607" s="184"/>
      <c r="G607" s="184"/>
      <c r="O607" s="184"/>
      <c r="P607" s="184"/>
      <c r="Q607" s="184"/>
    </row>
    <row r="608" spans="5:17" ht="12.75">
      <c r="E608" s="184"/>
      <c r="F608" s="184"/>
      <c r="G608" s="184"/>
      <c r="O608" s="184"/>
      <c r="P608" s="184"/>
      <c r="Q608" s="184"/>
    </row>
    <row r="609" spans="5:17" ht="12.75">
      <c r="E609" s="184"/>
      <c r="F609" s="184"/>
      <c r="G609" s="184"/>
      <c r="O609" s="184"/>
      <c r="P609" s="184"/>
      <c r="Q609" s="184"/>
    </row>
    <row r="610" spans="5:17" ht="12.75">
      <c r="E610" s="184"/>
      <c r="F610" s="184"/>
      <c r="G610" s="184"/>
      <c r="O610" s="184"/>
      <c r="P610" s="184"/>
      <c r="Q610" s="184"/>
    </row>
    <row r="611" spans="5:17" ht="12.75">
      <c r="E611" s="184"/>
      <c r="F611" s="184"/>
      <c r="G611" s="184"/>
      <c r="O611" s="184"/>
      <c r="P611" s="184"/>
      <c r="Q611" s="184"/>
    </row>
    <row r="612" spans="5:17" ht="12.75">
      <c r="E612" s="184"/>
      <c r="F612" s="184"/>
      <c r="G612" s="184"/>
      <c r="O612" s="184"/>
      <c r="P612" s="184"/>
      <c r="Q612" s="184"/>
    </row>
    <row r="613" spans="5:17" ht="12.75">
      <c r="E613" s="184"/>
      <c r="F613" s="184"/>
      <c r="G613" s="184"/>
      <c r="O613" s="184"/>
      <c r="P613" s="184"/>
      <c r="Q613" s="184"/>
    </row>
    <row r="614" spans="5:17" ht="12.75">
      <c r="E614" s="184"/>
      <c r="F614" s="184"/>
      <c r="G614" s="184"/>
      <c r="O614" s="184"/>
      <c r="P614" s="184"/>
      <c r="Q614" s="184"/>
    </row>
    <row r="615" spans="5:17" ht="12.75">
      <c r="E615" s="184"/>
      <c r="F615" s="184"/>
      <c r="G615" s="184"/>
      <c r="O615" s="184"/>
      <c r="P615" s="184"/>
      <c r="Q615" s="184"/>
    </row>
    <row r="616" spans="5:17" ht="12.75">
      <c r="E616" s="184"/>
      <c r="F616" s="184"/>
      <c r="G616" s="184"/>
      <c r="O616" s="184"/>
      <c r="P616" s="184"/>
      <c r="Q616" s="184"/>
    </row>
    <row r="617" spans="5:17" ht="12.75">
      <c r="E617" s="184"/>
      <c r="F617" s="184"/>
      <c r="G617" s="184"/>
      <c r="O617" s="184"/>
      <c r="P617" s="184"/>
      <c r="Q617" s="184"/>
    </row>
    <row r="618" spans="5:17" ht="12.75">
      <c r="E618" s="184"/>
      <c r="F618" s="184"/>
      <c r="G618" s="184"/>
      <c r="O618" s="184"/>
      <c r="P618" s="184"/>
      <c r="Q618" s="184"/>
    </row>
    <row r="619" spans="5:17" ht="12.75">
      <c r="E619" s="184"/>
      <c r="F619" s="184"/>
      <c r="G619" s="184"/>
      <c r="O619" s="184"/>
      <c r="P619" s="184"/>
      <c r="Q619" s="184"/>
    </row>
    <row r="620" spans="5:17" ht="12.75">
      <c r="E620" s="184"/>
      <c r="F620" s="184"/>
      <c r="G620" s="184"/>
      <c r="O620" s="184"/>
      <c r="P620" s="184"/>
      <c r="Q620" s="184"/>
    </row>
    <row r="621" spans="5:17" ht="12.75">
      <c r="E621" s="184"/>
      <c r="F621" s="184"/>
      <c r="G621" s="184"/>
      <c r="O621" s="184"/>
      <c r="P621" s="184"/>
      <c r="Q621" s="184"/>
    </row>
    <row r="622" spans="5:17" ht="12.75">
      <c r="E622" s="184"/>
      <c r="F622" s="184"/>
      <c r="G622" s="184"/>
      <c r="O622" s="184"/>
      <c r="P622" s="184"/>
      <c r="Q622" s="184"/>
    </row>
    <row r="623" spans="5:17" ht="12.75">
      <c r="E623" s="184"/>
      <c r="F623" s="184"/>
      <c r="G623" s="184"/>
      <c r="O623" s="184"/>
      <c r="P623" s="184"/>
      <c r="Q623" s="184"/>
    </row>
    <row r="624" spans="5:17" ht="12.75">
      <c r="E624" s="184"/>
      <c r="F624" s="184"/>
      <c r="G624" s="184"/>
      <c r="O624" s="184"/>
      <c r="P624" s="184"/>
      <c r="Q624" s="184"/>
    </row>
    <row r="625" spans="5:17" ht="12.75">
      <c r="E625" s="184"/>
      <c r="F625" s="184"/>
      <c r="G625" s="184"/>
      <c r="O625" s="184"/>
      <c r="P625" s="184"/>
      <c r="Q625" s="184"/>
    </row>
    <row r="626" spans="5:17" ht="12.75">
      <c r="E626" s="184"/>
      <c r="F626" s="184"/>
      <c r="G626" s="184"/>
      <c r="O626" s="184"/>
      <c r="P626" s="184"/>
      <c r="Q626" s="184"/>
    </row>
    <row r="627" spans="5:17" ht="12.75">
      <c r="E627" s="184"/>
      <c r="F627" s="184"/>
      <c r="G627" s="184"/>
      <c r="O627" s="184"/>
      <c r="P627" s="184"/>
      <c r="Q627" s="184"/>
    </row>
    <row r="628" spans="5:17" ht="12.75">
      <c r="E628" s="184"/>
      <c r="F628" s="184"/>
      <c r="G628" s="184"/>
      <c r="O628" s="184"/>
      <c r="P628" s="184"/>
      <c r="Q628" s="184"/>
    </row>
    <row r="629" spans="5:17" ht="12.75">
      <c r="E629" s="184"/>
      <c r="F629" s="184"/>
      <c r="G629" s="184"/>
      <c r="O629" s="184"/>
      <c r="P629" s="184"/>
      <c r="Q629" s="184"/>
    </row>
    <row r="630" spans="5:17" ht="12.75">
      <c r="E630" s="184"/>
      <c r="F630" s="184"/>
      <c r="G630" s="184"/>
      <c r="O630" s="184"/>
      <c r="P630" s="184"/>
      <c r="Q630" s="184"/>
    </row>
    <row r="631" spans="5:17" ht="12.75">
      <c r="E631" s="184"/>
      <c r="F631" s="184"/>
      <c r="G631" s="184"/>
      <c r="O631" s="184"/>
      <c r="P631" s="184"/>
      <c r="Q631" s="184"/>
    </row>
    <row r="632" spans="5:17" ht="12.75">
      <c r="E632" s="184"/>
      <c r="F632" s="184"/>
      <c r="G632" s="184"/>
      <c r="O632" s="184"/>
      <c r="P632" s="184"/>
      <c r="Q632" s="184"/>
    </row>
    <row r="633" spans="5:17" ht="12.75">
      <c r="E633" s="184"/>
      <c r="F633" s="184"/>
      <c r="G633" s="184"/>
      <c r="O633" s="184"/>
      <c r="P633" s="184"/>
      <c r="Q633" s="184"/>
    </row>
    <row r="634" spans="5:17" ht="12.75">
      <c r="E634" s="184"/>
      <c r="F634" s="184"/>
      <c r="G634" s="184"/>
      <c r="O634" s="184"/>
      <c r="P634" s="184"/>
      <c r="Q634" s="184"/>
    </row>
    <row r="635" spans="5:17" ht="12.75">
      <c r="E635" s="184"/>
      <c r="F635" s="184"/>
      <c r="G635" s="184"/>
      <c r="O635" s="184"/>
      <c r="P635" s="184"/>
      <c r="Q635" s="184"/>
    </row>
    <row r="636" spans="5:17" ht="12.75">
      <c r="E636" s="184"/>
      <c r="F636" s="184"/>
      <c r="G636" s="184"/>
      <c r="O636" s="184"/>
      <c r="P636" s="184"/>
      <c r="Q636" s="184"/>
    </row>
    <row r="637" spans="5:17" ht="12.75">
      <c r="E637" s="184"/>
      <c r="F637" s="184"/>
      <c r="G637" s="184"/>
      <c r="O637" s="184"/>
      <c r="P637" s="184"/>
      <c r="Q637" s="184"/>
    </row>
    <row r="638" spans="5:17" ht="12.75">
      <c r="E638" s="184"/>
      <c r="F638" s="184"/>
      <c r="G638" s="184"/>
      <c r="O638" s="184"/>
      <c r="P638" s="184"/>
      <c r="Q638" s="184"/>
    </row>
    <row r="639" spans="5:17" ht="12.75">
      <c r="E639" s="184"/>
      <c r="F639" s="184"/>
      <c r="G639" s="184"/>
      <c r="O639" s="184"/>
      <c r="P639" s="184"/>
      <c r="Q639" s="184"/>
    </row>
    <row r="640" spans="5:17" ht="12.75">
      <c r="E640" s="184"/>
      <c r="F640" s="184"/>
      <c r="G640" s="184"/>
      <c r="O640" s="184"/>
      <c r="P640" s="184"/>
      <c r="Q640" s="184"/>
    </row>
    <row r="641" spans="5:17" ht="12.75">
      <c r="E641" s="184"/>
      <c r="F641" s="184"/>
      <c r="G641" s="184"/>
      <c r="O641" s="184"/>
      <c r="P641" s="184"/>
      <c r="Q641" s="184"/>
    </row>
    <row r="642" spans="5:17" ht="12.75">
      <c r="E642" s="184"/>
      <c r="F642" s="184"/>
      <c r="G642" s="184"/>
      <c r="O642" s="184"/>
      <c r="P642" s="184"/>
      <c r="Q642" s="184"/>
    </row>
    <row r="643" spans="5:17" ht="12.75">
      <c r="E643" s="184"/>
      <c r="F643" s="184"/>
      <c r="G643" s="184"/>
      <c r="O643" s="184"/>
      <c r="P643" s="184"/>
      <c r="Q643" s="184"/>
    </row>
    <row r="644" spans="5:17" ht="12.75">
      <c r="E644" s="184"/>
      <c r="F644" s="184"/>
      <c r="G644" s="184"/>
      <c r="O644" s="184"/>
      <c r="P644" s="184"/>
      <c r="Q644" s="184"/>
    </row>
    <row r="645" spans="5:17" ht="12.75">
      <c r="E645" s="184"/>
      <c r="F645" s="184"/>
      <c r="G645" s="184"/>
      <c r="O645" s="184"/>
      <c r="P645" s="184"/>
      <c r="Q645" s="184"/>
    </row>
    <row r="646" spans="5:17" ht="12.75">
      <c r="E646" s="184"/>
      <c r="F646" s="184"/>
      <c r="G646" s="184"/>
      <c r="O646" s="184"/>
      <c r="P646" s="184"/>
      <c r="Q646" s="184"/>
    </row>
    <row r="647" spans="5:17" ht="12.75">
      <c r="E647" s="184"/>
      <c r="F647" s="184"/>
      <c r="G647" s="184"/>
      <c r="O647" s="184"/>
      <c r="P647" s="184"/>
      <c r="Q647" s="184"/>
    </row>
    <row r="648" spans="5:17" ht="12.75">
      <c r="E648" s="184"/>
      <c r="F648" s="184"/>
      <c r="G648" s="184"/>
      <c r="O648" s="184"/>
      <c r="P648" s="184"/>
      <c r="Q648" s="184"/>
    </row>
    <row r="649" spans="5:17" ht="12.75">
      <c r="E649" s="184"/>
      <c r="F649" s="184"/>
      <c r="G649" s="184"/>
      <c r="O649" s="184"/>
      <c r="P649" s="184"/>
      <c r="Q649" s="184"/>
    </row>
    <row r="650" spans="5:17" ht="12.75">
      <c r="E650" s="184"/>
      <c r="F650" s="184"/>
      <c r="G650" s="184"/>
      <c r="O650" s="184"/>
      <c r="P650" s="184"/>
      <c r="Q650" s="184"/>
    </row>
    <row r="651" spans="5:17" ht="12.75">
      <c r="E651" s="184"/>
      <c r="F651" s="184"/>
      <c r="G651" s="184"/>
      <c r="O651" s="184"/>
      <c r="P651" s="184"/>
      <c r="Q651" s="184"/>
    </row>
    <row r="652" spans="5:17" ht="12.75">
      <c r="E652" s="184"/>
      <c r="F652" s="184"/>
      <c r="G652" s="184"/>
      <c r="O652" s="184"/>
      <c r="P652" s="184"/>
      <c r="Q652" s="184"/>
    </row>
    <row r="653" spans="5:17" ht="12.75">
      <c r="E653" s="184"/>
      <c r="F653" s="184"/>
      <c r="G653" s="184"/>
      <c r="O653" s="184"/>
      <c r="P653" s="184"/>
      <c r="Q653" s="184"/>
    </row>
    <row r="654" spans="5:17" ht="12.75">
      <c r="E654" s="184"/>
      <c r="F654" s="184"/>
      <c r="G654" s="184"/>
      <c r="O654" s="184"/>
      <c r="P654" s="184"/>
      <c r="Q654" s="184"/>
    </row>
    <row r="655" spans="5:17" ht="12.75">
      <c r="E655" s="184"/>
      <c r="F655" s="184"/>
      <c r="G655" s="184"/>
      <c r="O655" s="184"/>
      <c r="P655" s="184"/>
      <c r="Q655" s="184"/>
    </row>
    <row r="656" spans="5:17" ht="12.75">
      <c r="E656" s="184"/>
      <c r="F656" s="184"/>
      <c r="G656" s="184"/>
      <c r="O656" s="184"/>
      <c r="P656" s="184"/>
      <c r="Q656" s="184"/>
    </row>
    <row r="657" spans="5:17" ht="12.75">
      <c r="E657" s="184"/>
      <c r="F657" s="184"/>
      <c r="G657" s="184"/>
      <c r="O657" s="184"/>
      <c r="P657" s="184"/>
      <c r="Q657" s="184"/>
    </row>
    <row r="658" spans="5:17" ht="12.75">
      <c r="E658" s="184"/>
      <c r="F658" s="184"/>
      <c r="G658" s="184"/>
      <c r="O658" s="184"/>
      <c r="P658" s="184"/>
      <c r="Q658" s="184"/>
    </row>
    <row r="659" spans="5:17" ht="12.75">
      <c r="E659" s="184"/>
      <c r="F659" s="184"/>
      <c r="G659" s="184"/>
      <c r="O659" s="184"/>
      <c r="P659" s="184"/>
      <c r="Q659" s="184"/>
    </row>
    <row r="660" spans="5:17" ht="12.75">
      <c r="E660" s="184"/>
      <c r="F660" s="184"/>
      <c r="G660" s="184"/>
      <c r="O660" s="184"/>
      <c r="P660" s="184"/>
      <c r="Q660" s="184"/>
    </row>
    <row r="661" spans="5:17" ht="12.75">
      <c r="E661" s="184"/>
      <c r="F661" s="184"/>
      <c r="G661" s="184"/>
      <c r="O661" s="184"/>
      <c r="P661" s="184"/>
      <c r="Q661" s="184"/>
    </row>
    <row r="662" spans="5:17" ht="12.75">
      <c r="E662" s="184"/>
      <c r="F662" s="184"/>
      <c r="G662" s="184"/>
      <c r="O662" s="184"/>
      <c r="P662" s="184"/>
      <c r="Q662" s="184"/>
    </row>
    <row r="663" spans="5:17" ht="12.75">
      <c r="E663" s="184"/>
      <c r="F663" s="184"/>
      <c r="G663" s="184"/>
      <c r="O663" s="184"/>
      <c r="P663" s="184"/>
      <c r="Q663" s="184"/>
    </row>
    <row r="664" spans="5:17" ht="12.75">
      <c r="E664" s="184"/>
      <c r="F664" s="184"/>
      <c r="G664" s="184"/>
      <c r="O664" s="184"/>
      <c r="P664" s="184"/>
      <c r="Q664" s="184"/>
    </row>
    <row r="665" spans="5:17" ht="12.75">
      <c r="E665" s="184"/>
      <c r="F665" s="184"/>
      <c r="G665" s="184"/>
      <c r="O665" s="184"/>
      <c r="P665" s="184"/>
      <c r="Q665" s="184"/>
    </row>
    <row r="666" spans="5:17" ht="12.75">
      <c r="E666" s="184"/>
      <c r="F666" s="184"/>
      <c r="G666" s="184"/>
      <c r="O666" s="184"/>
      <c r="P666" s="184"/>
      <c r="Q666" s="184"/>
    </row>
    <row r="667" spans="5:17" ht="12.75">
      <c r="E667" s="184"/>
      <c r="F667" s="184"/>
      <c r="G667" s="184"/>
      <c r="O667" s="184"/>
      <c r="P667" s="184"/>
      <c r="Q667" s="184"/>
    </row>
    <row r="668" spans="5:17" ht="12.75">
      <c r="E668" s="184"/>
      <c r="F668" s="184"/>
      <c r="G668" s="184"/>
      <c r="O668" s="184"/>
      <c r="P668" s="184"/>
      <c r="Q668" s="184"/>
    </row>
    <row r="669" spans="5:17" ht="12.75">
      <c r="E669" s="184"/>
      <c r="F669" s="184"/>
      <c r="G669" s="184"/>
      <c r="O669" s="184"/>
      <c r="P669" s="184"/>
      <c r="Q669" s="184"/>
    </row>
    <row r="670" spans="5:17" ht="12.75">
      <c r="E670" s="184"/>
      <c r="F670" s="184"/>
      <c r="G670" s="184"/>
      <c r="O670" s="184"/>
      <c r="P670" s="184"/>
      <c r="Q670" s="184"/>
    </row>
    <row r="671" spans="5:17" ht="12.75">
      <c r="E671" s="184"/>
      <c r="F671" s="184"/>
      <c r="G671" s="184"/>
      <c r="O671" s="184"/>
      <c r="P671" s="184"/>
      <c r="Q671" s="184"/>
    </row>
    <row r="672" spans="5:17" ht="12.75">
      <c r="E672" s="184"/>
      <c r="F672" s="184"/>
      <c r="G672" s="184"/>
      <c r="O672" s="184"/>
      <c r="P672" s="184"/>
      <c r="Q672" s="184"/>
    </row>
    <row r="673" spans="5:17" ht="12.75">
      <c r="E673" s="184"/>
      <c r="F673" s="184"/>
      <c r="G673" s="184"/>
      <c r="O673" s="184"/>
      <c r="P673" s="184"/>
      <c r="Q673" s="184"/>
    </row>
    <row r="674" spans="5:17" ht="12.75">
      <c r="E674" s="184"/>
      <c r="F674" s="184"/>
      <c r="G674" s="184"/>
      <c r="O674" s="184"/>
      <c r="P674" s="184"/>
      <c r="Q674" s="184"/>
    </row>
    <row r="675" spans="5:17" ht="12.75">
      <c r="E675" s="184"/>
      <c r="F675" s="184"/>
      <c r="G675" s="184"/>
      <c r="O675" s="184"/>
      <c r="P675" s="184"/>
      <c r="Q675" s="184"/>
    </row>
    <row r="676" spans="5:17" ht="12.75">
      <c r="E676" s="184"/>
      <c r="F676" s="184"/>
      <c r="G676" s="184"/>
      <c r="O676" s="184"/>
      <c r="P676" s="184"/>
      <c r="Q676" s="184"/>
    </row>
    <row r="677" spans="5:17" ht="12.75">
      <c r="E677" s="184"/>
      <c r="F677" s="184"/>
      <c r="G677" s="184"/>
      <c r="O677" s="184"/>
      <c r="P677" s="184"/>
      <c r="Q677" s="184"/>
    </row>
    <row r="678" spans="5:17" ht="12.75">
      <c r="E678" s="184"/>
      <c r="F678" s="184"/>
      <c r="G678" s="184"/>
      <c r="O678" s="184"/>
      <c r="P678" s="184"/>
      <c r="Q678" s="184"/>
    </row>
    <row r="679" spans="5:17" ht="12.75">
      <c r="E679" s="184"/>
      <c r="F679" s="184"/>
      <c r="G679" s="184"/>
      <c r="O679" s="184"/>
      <c r="P679" s="184"/>
      <c r="Q679" s="184"/>
    </row>
    <row r="680" spans="5:17" ht="12.75">
      <c r="E680" s="184"/>
      <c r="F680" s="184"/>
      <c r="G680" s="184"/>
      <c r="O680" s="184"/>
      <c r="P680" s="184"/>
      <c r="Q680" s="184"/>
    </row>
    <row r="681" spans="5:17" ht="12.75">
      <c r="E681" s="184"/>
      <c r="F681" s="184"/>
      <c r="G681" s="184"/>
      <c r="O681" s="184"/>
      <c r="P681" s="184"/>
      <c r="Q681" s="184"/>
    </row>
    <row r="682" spans="5:17" ht="12.75">
      <c r="E682" s="184"/>
      <c r="F682" s="184"/>
      <c r="G682" s="184"/>
      <c r="O682" s="184"/>
      <c r="P682" s="184"/>
      <c r="Q682" s="184"/>
    </row>
    <row r="683" spans="5:17" ht="12.75">
      <c r="E683" s="184"/>
      <c r="F683" s="184"/>
      <c r="G683" s="184"/>
      <c r="O683" s="184"/>
      <c r="P683" s="184"/>
      <c r="Q683" s="184"/>
    </row>
    <row r="684" spans="5:17" ht="12.75">
      <c r="E684" s="184"/>
      <c r="F684" s="184"/>
      <c r="G684" s="184"/>
      <c r="O684" s="184"/>
      <c r="P684" s="184"/>
      <c r="Q684" s="184"/>
    </row>
    <row r="685" spans="5:17" ht="12.75">
      <c r="E685" s="184"/>
      <c r="F685" s="184"/>
      <c r="G685" s="184"/>
      <c r="O685" s="184"/>
      <c r="P685" s="184"/>
      <c r="Q685" s="184"/>
    </row>
    <row r="686" spans="5:17" ht="12.75">
      <c r="E686" s="184"/>
      <c r="F686" s="184"/>
      <c r="G686" s="184"/>
      <c r="O686" s="184"/>
      <c r="P686" s="184"/>
      <c r="Q686" s="184"/>
    </row>
    <row r="687" spans="5:17" ht="12.75">
      <c r="E687" s="184"/>
      <c r="F687" s="184"/>
      <c r="G687" s="184"/>
      <c r="O687" s="184"/>
      <c r="P687" s="184"/>
      <c r="Q687" s="184"/>
    </row>
    <row r="688" spans="5:17" ht="12.75">
      <c r="E688" s="184"/>
      <c r="F688" s="184"/>
      <c r="G688" s="184"/>
      <c r="O688" s="184"/>
      <c r="P688" s="184"/>
      <c r="Q688" s="184"/>
    </row>
    <row r="689" spans="5:17" ht="12.75">
      <c r="E689" s="184"/>
      <c r="F689" s="184"/>
      <c r="G689" s="184"/>
      <c r="O689" s="184"/>
      <c r="P689" s="184"/>
      <c r="Q689" s="184"/>
    </row>
    <row r="690" spans="5:17" ht="12.75">
      <c r="E690" s="184"/>
      <c r="F690" s="184"/>
      <c r="G690" s="184"/>
      <c r="O690" s="184"/>
      <c r="P690" s="184"/>
      <c r="Q690" s="184"/>
    </row>
    <row r="691" spans="5:17" ht="12.75">
      <c r="E691" s="184"/>
      <c r="F691" s="184"/>
      <c r="G691" s="184"/>
      <c r="O691" s="184"/>
      <c r="P691" s="184"/>
      <c r="Q691" s="184"/>
    </row>
    <row r="692" spans="5:17" ht="12.75">
      <c r="E692" s="184"/>
      <c r="F692" s="184"/>
      <c r="G692" s="184"/>
      <c r="O692" s="184"/>
      <c r="P692" s="184"/>
      <c r="Q692" s="184"/>
    </row>
    <row r="693" spans="5:17" ht="12.75">
      <c r="E693" s="184"/>
      <c r="F693" s="184"/>
      <c r="G693" s="184"/>
      <c r="O693" s="184"/>
      <c r="P693" s="184"/>
      <c r="Q693" s="184"/>
    </row>
    <row r="694" spans="5:17" ht="12.75">
      <c r="E694" s="184"/>
      <c r="F694" s="184"/>
      <c r="G694" s="184"/>
      <c r="O694" s="184"/>
      <c r="P694" s="184"/>
      <c r="Q694" s="184"/>
    </row>
    <row r="695" spans="5:17" ht="12.75">
      <c r="E695" s="184"/>
      <c r="F695" s="184"/>
      <c r="G695" s="184"/>
      <c r="O695" s="184"/>
      <c r="P695" s="184"/>
      <c r="Q695" s="184"/>
    </row>
    <row r="696" spans="5:17" ht="12.75">
      <c r="E696" s="184"/>
      <c r="F696" s="184"/>
      <c r="G696" s="184"/>
      <c r="O696" s="184"/>
      <c r="P696" s="184"/>
      <c r="Q696" s="184"/>
    </row>
    <row r="697" spans="5:17" ht="12.75">
      <c r="E697" s="184"/>
      <c r="F697" s="184"/>
      <c r="G697" s="184"/>
      <c r="O697" s="184"/>
      <c r="P697" s="184"/>
      <c r="Q697" s="184"/>
    </row>
    <row r="698" spans="5:17" ht="12.75">
      <c r="E698" s="184"/>
      <c r="F698" s="184"/>
      <c r="G698" s="184"/>
      <c r="O698" s="184"/>
      <c r="P698" s="184"/>
      <c r="Q698" s="184"/>
    </row>
    <row r="699" spans="5:17" ht="12.75">
      <c r="E699" s="184"/>
      <c r="F699" s="184"/>
      <c r="G699" s="184"/>
      <c r="O699" s="184"/>
      <c r="P699" s="184"/>
      <c r="Q699" s="184"/>
    </row>
    <row r="700" spans="5:17" ht="12.75">
      <c r="E700" s="184"/>
      <c r="F700" s="184"/>
      <c r="G700" s="184"/>
      <c r="O700" s="184"/>
      <c r="P700" s="184"/>
      <c r="Q700" s="184"/>
    </row>
    <row r="701" spans="5:17" ht="12.75">
      <c r="E701" s="184"/>
      <c r="F701" s="184"/>
      <c r="G701" s="184"/>
      <c r="O701" s="184"/>
      <c r="P701" s="184"/>
      <c r="Q701" s="184"/>
    </row>
    <row r="702" spans="5:17" ht="12.75">
      <c r="E702" s="184"/>
      <c r="F702" s="184"/>
      <c r="G702" s="184"/>
      <c r="O702" s="184"/>
      <c r="P702" s="184"/>
      <c r="Q702" s="184"/>
    </row>
    <row r="703" spans="5:17" ht="12.75">
      <c r="E703" s="184"/>
      <c r="F703" s="184"/>
      <c r="G703" s="184"/>
      <c r="O703" s="184"/>
      <c r="P703" s="184"/>
      <c r="Q703" s="184"/>
    </row>
    <row r="704" spans="5:17" ht="12.75">
      <c r="E704" s="184"/>
      <c r="F704" s="184"/>
      <c r="G704" s="184"/>
      <c r="O704" s="184"/>
      <c r="P704" s="184"/>
      <c r="Q704" s="184"/>
    </row>
    <row r="705" spans="5:17" ht="12.75">
      <c r="E705" s="184"/>
      <c r="F705" s="184"/>
      <c r="G705" s="184"/>
      <c r="O705" s="184"/>
      <c r="P705" s="184"/>
      <c r="Q705" s="184"/>
    </row>
    <row r="706" spans="5:17" ht="12.75">
      <c r="E706" s="184"/>
      <c r="F706" s="184"/>
      <c r="G706" s="184"/>
      <c r="O706" s="184"/>
      <c r="P706" s="184"/>
      <c r="Q706" s="184"/>
    </row>
    <row r="707" spans="5:17" ht="12.75">
      <c r="E707" s="184"/>
      <c r="F707" s="184"/>
      <c r="G707" s="184"/>
      <c r="O707" s="184"/>
      <c r="P707" s="184"/>
      <c r="Q707" s="184"/>
    </row>
    <row r="708" spans="5:17" ht="12.75">
      <c r="E708" s="184"/>
      <c r="F708" s="184"/>
      <c r="G708" s="184"/>
      <c r="O708" s="184"/>
      <c r="P708" s="184"/>
      <c r="Q708" s="184"/>
    </row>
    <row r="709" spans="5:17" ht="12.75">
      <c r="E709" s="184"/>
      <c r="F709" s="184"/>
      <c r="G709" s="184"/>
      <c r="O709" s="184"/>
      <c r="P709" s="184"/>
      <c r="Q709" s="184"/>
    </row>
    <row r="710" spans="5:17" ht="12.75">
      <c r="E710" s="184"/>
      <c r="F710" s="184"/>
      <c r="G710" s="184"/>
      <c r="O710" s="184"/>
      <c r="P710" s="184"/>
      <c r="Q710" s="184"/>
    </row>
    <row r="711" spans="5:17" ht="12.75">
      <c r="E711" s="184"/>
      <c r="F711" s="184"/>
      <c r="G711" s="184"/>
      <c r="O711" s="184"/>
      <c r="P711" s="184"/>
      <c r="Q711" s="184"/>
    </row>
    <row r="712" spans="5:17" ht="12.75">
      <c r="E712" s="184"/>
      <c r="F712" s="184"/>
      <c r="G712" s="184"/>
      <c r="O712" s="184"/>
      <c r="P712" s="184"/>
      <c r="Q712" s="184"/>
    </row>
    <row r="713" spans="5:17" ht="12.75">
      <c r="E713" s="184"/>
      <c r="F713" s="184"/>
      <c r="G713" s="184"/>
      <c r="O713" s="184"/>
      <c r="P713" s="184"/>
      <c r="Q713" s="184"/>
    </row>
    <row r="714" spans="5:17" ht="12.75">
      <c r="E714" s="184"/>
      <c r="F714" s="184"/>
      <c r="G714" s="184"/>
      <c r="O714" s="184"/>
      <c r="P714" s="184"/>
      <c r="Q714" s="184"/>
    </row>
    <row r="715" spans="5:17" ht="12.75">
      <c r="E715" s="184"/>
      <c r="F715" s="184"/>
      <c r="G715" s="184"/>
      <c r="O715" s="184"/>
      <c r="P715" s="184"/>
      <c r="Q715" s="184"/>
    </row>
    <row r="716" spans="5:17" ht="12.75">
      <c r="E716" s="184"/>
      <c r="F716" s="184"/>
      <c r="G716" s="184"/>
      <c r="O716" s="184"/>
      <c r="P716" s="184"/>
      <c r="Q716" s="184"/>
    </row>
    <row r="717" spans="5:17" ht="12.75">
      <c r="E717" s="184"/>
      <c r="F717" s="184"/>
      <c r="G717" s="184"/>
      <c r="O717" s="184"/>
      <c r="P717" s="184"/>
      <c r="Q717" s="184"/>
    </row>
    <row r="718" spans="5:17" ht="12.75">
      <c r="E718" s="184"/>
      <c r="F718" s="184"/>
      <c r="G718" s="184"/>
      <c r="O718" s="184"/>
      <c r="P718" s="184"/>
      <c r="Q718" s="184"/>
    </row>
    <row r="719" spans="5:17" ht="12.75">
      <c r="E719" s="184"/>
      <c r="F719" s="184"/>
      <c r="G719" s="184"/>
      <c r="O719" s="184"/>
      <c r="P719" s="184"/>
      <c r="Q719" s="184"/>
    </row>
    <row r="720" spans="5:17" ht="12.75">
      <c r="E720" s="184"/>
      <c r="F720" s="184"/>
      <c r="G720" s="184"/>
      <c r="O720" s="184"/>
      <c r="P720" s="184"/>
      <c r="Q720" s="184"/>
    </row>
    <row r="721" spans="5:17" ht="12.75">
      <c r="E721" s="184"/>
      <c r="F721" s="184"/>
      <c r="G721" s="184"/>
      <c r="O721" s="184"/>
      <c r="P721" s="184"/>
      <c r="Q721" s="184"/>
    </row>
    <row r="722" spans="5:17" ht="12.75">
      <c r="E722" s="184"/>
      <c r="F722" s="184"/>
      <c r="G722" s="184"/>
      <c r="O722" s="184"/>
      <c r="P722" s="184"/>
      <c r="Q722" s="184"/>
    </row>
    <row r="723" spans="5:17" ht="12.75">
      <c r="E723" s="184"/>
      <c r="F723" s="184"/>
      <c r="G723" s="184"/>
      <c r="O723" s="184"/>
      <c r="P723" s="184"/>
      <c r="Q723" s="184"/>
    </row>
    <row r="724" spans="5:17" ht="12.75">
      <c r="E724" s="184"/>
      <c r="F724" s="184"/>
      <c r="G724" s="184"/>
      <c r="O724" s="184"/>
      <c r="P724" s="184"/>
      <c r="Q724" s="184"/>
    </row>
    <row r="725" spans="5:17" ht="12.75">
      <c r="E725" s="184"/>
      <c r="F725" s="184"/>
      <c r="G725" s="184"/>
      <c r="O725" s="184"/>
      <c r="P725" s="184"/>
      <c r="Q725" s="184"/>
    </row>
    <row r="726" spans="5:17" ht="12.75">
      <c r="E726" s="184"/>
      <c r="F726" s="184"/>
      <c r="G726" s="184"/>
      <c r="O726" s="184"/>
      <c r="P726" s="184"/>
      <c r="Q726" s="184"/>
    </row>
    <row r="727" spans="5:17" ht="12.75">
      <c r="E727" s="184"/>
      <c r="F727" s="184"/>
      <c r="G727" s="184"/>
      <c r="O727" s="184"/>
      <c r="P727" s="184"/>
      <c r="Q727" s="184"/>
    </row>
    <row r="728" spans="5:17" ht="12.75">
      <c r="E728" s="184"/>
      <c r="F728" s="184"/>
      <c r="G728" s="184"/>
      <c r="O728" s="184"/>
      <c r="P728" s="184"/>
      <c r="Q728" s="184"/>
    </row>
    <row r="729" spans="5:17" ht="12.75">
      <c r="E729" s="184"/>
      <c r="F729" s="184"/>
      <c r="G729" s="184"/>
      <c r="O729" s="184"/>
      <c r="P729" s="184"/>
      <c r="Q729" s="184"/>
    </row>
    <row r="730" spans="5:17" ht="12.75">
      <c r="E730" s="184"/>
      <c r="F730" s="184"/>
      <c r="G730" s="184"/>
      <c r="O730" s="184"/>
      <c r="P730" s="184"/>
      <c r="Q730" s="184"/>
    </row>
    <row r="731" spans="5:17" ht="12.75">
      <c r="E731" s="184"/>
      <c r="F731" s="184"/>
      <c r="G731" s="184"/>
      <c r="O731" s="184"/>
      <c r="P731" s="184"/>
      <c r="Q731" s="184"/>
    </row>
    <row r="732" spans="5:17" ht="12.75">
      <c r="E732" s="184"/>
      <c r="F732" s="184"/>
      <c r="G732" s="184"/>
      <c r="O732" s="184"/>
      <c r="P732" s="184"/>
      <c r="Q732" s="184"/>
    </row>
  </sheetData>
  <printOptions horizontalCentered="1"/>
  <pageMargins left="0.5" right="0.5" top="0.75" bottom="0.5" header="0.25" footer="0"/>
  <pageSetup horizontalDpi="600" verticalDpi="600" orientation="landscape" scale="70" r:id="rId1"/>
  <rowBreaks count="1" manualBreakCount="1">
    <brk id="3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38"/>
  <sheetViews>
    <sheetView workbookViewId="0" topLeftCell="A2">
      <pane xSplit="4" ySplit="6" topLeftCell="E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8" sqref="B8"/>
    </sheetView>
  </sheetViews>
  <sheetFormatPr defaultColWidth="9.140625" defaultRowHeight="12.75" outlineLevelRow="1"/>
  <cols>
    <col min="1" max="1" width="3.421875" style="2" hidden="1" customWidth="1"/>
    <col min="2" max="2" width="3.421875" style="231" customWidth="1"/>
    <col min="3" max="3" width="86.421875" style="231" customWidth="1"/>
    <col min="4" max="4" width="15.421875" style="231" customWidth="1"/>
    <col min="5" max="5" width="19.57421875" style="231" customWidth="1"/>
    <col min="6" max="7" width="19.57421875" style="231" hidden="1" customWidth="1"/>
    <col min="8" max="8" width="19.421875" style="184" customWidth="1"/>
    <col min="9" max="9" width="17.57421875" style="238" customWidth="1"/>
    <col min="10" max="10" width="0" style="2" hidden="1" customWidth="1"/>
    <col min="11" max="11" width="8.00390625" style="239" customWidth="1"/>
    <col min="12" max="12" width="8.00390625" style="239" hidden="1" customWidth="1"/>
    <col min="13" max="16384" width="8.00390625" style="239" customWidth="1"/>
  </cols>
  <sheetData>
    <row r="1" spans="1:9" ht="110.25" customHeight="1" hidden="1">
      <c r="A1" s="192" t="s">
        <v>748</v>
      </c>
      <c r="B1" s="231" t="s">
        <v>2106</v>
      </c>
      <c r="C1" s="231" t="s">
        <v>2107</v>
      </c>
      <c r="D1" s="231" t="s">
        <v>2106</v>
      </c>
      <c r="E1" s="231" t="s">
        <v>2106</v>
      </c>
      <c r="H1" s="184" t="s">
        <v>2261</v>
      </c>
      <c r="I1" s="238" t="s">
        <v>2108</v>
      </c>
    </row>
    <row r="2" spans="1:12" ht="15.75" customHeight="1">
      <c r="A2" s="127"/>
      <c r="B2" s="5" t="str">
        <f>"University of Missouri - "&amp;RBN</f>
        <v>University of Missouri - Rolla</v>
      </c>
      <c r="C2" s="50"/>
      <c r="D2" s="50"/>
      <c r="E2" s="50"/>
      <c r="F2" s="50"/>
      <c r="G2" s="50"/>
      <c r="H2" s="50"/>
      <c r="I2" s="177"/>
      <c r="J2" s="10"/>
      <c r="L2" s="233" t="s">
        <v>2276</v>
      </c>
    </row>
    <row r="3" spans="1:10" ht="15.75" customHeight="1">
      <c r="A3" s="127"/>
      <c r="B3" s="11" t="s">
        <v>749</v>
      </c>
      <c r="C3" s="51"/>
      <c r="D3" s="51"/>
      <c r="E3" s="51"/>
      <c r="F3" s="51"/>
      <c r="G3" s="51"/>
      <c r="H3" s="51"/>
      <c r="I3" s="179"/>
      <c r="J3" s="10"/>
    </row>
    <row r="4" spans="1:10" ht="15.75" customHeight="1">
      <c r="A4" s="131"/>
      <c r="B4" s="86" t="str">
        <f>"For the period ending "&amp;TEXT(J4,"MMMM DD, YYY")</f>
        <v>For the period ending June 30, 2004</v>
      </c>
      <c r="C4" s="240"/>
      <c r="D4" s="240"/>
      <c r="E4" s="240"/>
      <c r="F4" s="240"/>
      <c r="G4" s="240"/>
      <c r="H4" s="240"/>
      <c r="I4" s="241"/>
      <c r="J4" s="2" t="s">
        <v>2275</v>
      </c>
    </row>
    <row r="5" spans="1:10" ht="12.75" customHeight="1">
      <c r="A5" s="127"/>
      <c r="B5" s="180"/>
      <c r="C5" s="181"/>
      <c r="D5" s="182"/>
      <c r="E5" s="181"/>
      <c r="F5" s="181"/>
      <c r="G5" s="181"/>
      <c r="H5" s="181"/>
      <c r="I5" s="242"/>
      <c r="J5" s="10"/>
    </row>
    <row r="6" spans="2:9" ht="12.75" customHeight="1">
      <c r="B6" s="243"/>
      <c r="C6" s="63"/>
      <c r="D6" s="63"/>
      <c r="E6" s="244" t="s">
        <v>2284</v>
      </c>
      <c r="F6" s="245"/>
      <c r="G6" s="245"/>
      <c r="H6" s="245"/>
      <c r="I6" s="152" t="s">
        <v>2280</v>
      </c>
    </row>
    <row r="7" spans="2:9" ht="12.75" customHeight="1">
      <c r="B7" s="246"/>
      <c r="C7" s="245"/>
      <c r="D7" s="245"/>
      <c r="E7" s="247" t="s">
        <v>2152</v>
      </c>
      <c r="F7" s="186" t="s">
        <v>750</v>
      </c>
      <c r="G7" s="186" t="s">
        <v>751</v>
      </c>
      <c r="H7" s="186" t="s">
        <v>2277</v>
      </c>
      <c r="I7" s="152" t="s">
        <v>2283</v>
      </c>
    </row>
    <row r="8" spans="2:9" ht="12.75" customHeight="1">
      <c r="B8" s="188"/>
      <c r="C8" s="189"/>
      <c r="D8" s="190"/>
      <c r="E8" s="200"/>
      <c r="F8" s="200"/>
      <c r="G8" s="200"/>
      <c r="H8" s="200"/>
      <c r="I8" s="248"/>
    </row>
    <row r="9" spans="2:9" ht="12.75" customHeight="1">
      <c r="B9" s="64" t="s">
        <v>2162</v>
      </c>
      <c r="C9" s="204"/>
      <c r="D9" s="65"/>
      <c r="E9" s="205"/>
      <c r="F9" s="205"/>
      <c r="G9" s="205"/>
      <c r="H9" s="205"/>
      <c r="I9" s="205"/>
    </row>
    <row r="10" spans="1:10" s="249" customFormat="1" ht="12.75" customHeight="1">
      <c r="A10" s="162" t="s">
        <v>2106</v>
      </c>
      <c r="B10" s="199"/>
      <c r="C10" s="201" t="s">
        <v>752</v>
      </c>
      <c r="D10" s="207"/>
      <c r="E10" s="205" t="s">
        <v>2106</v>
      </c>
      <c r="F10" s="205"/>
      <c r="G10" s="205"/>
      <c r="H10" s="205"/>
      <c r="I10" s="205"/>
      <c r="J10" s="162"/>
    </row>
    <row r="11" spans="1:10" s="249" customFormat="1" ht="12.75" customHeight="1">
      <c r="A11" s="162" t="s">
        <v>753</v>
      </c>
      <c r="B11" s="199"/>
      <c r="C11" s="201" t="s">
        <v>754</v>
      </c>
      <c r="D11" s="207"/>
      <c r="E11" s="208">
        <v>36284347.39</v>
      </c>
      <c r="F11" s="208"/>
      <c r="G11" s="208"/>
      <c r="H11" s="208">
        <v>0</v>
      </c>
      <c r="I11" s="208">
        <f aca="true" t="shared" si="0" ref="I11:I26">E11+H11</f>
        <v>36284347.39</v>
      </c>
      <c r="J11" s="162"/>
    </row>
    <row r="12" spans="1:10" s="249" customFormat="1" ht="12.75" customHeight="1">
      <c r="A12" s="162" t="s">
        <v>755</v>
      </c>
      <c r="B12" s="199"/>
      <c r="C12" s="201" t="s">
        <v>756</v>
      </c>
      <c r="D12" s="207"/>
      <c r="E12" s="103">
        <v>2650043.38</v>
      </c>
      <c r="F12" s="103"/>
      <c r="G12" s="103"/>
      <c r="H12" s="103">
        <v>0</v>
      </c>
      <c r="I12" s="103">
        <f t="shared" si="0"/>
        <v>2650043.38</v>
      </c>
      <c r="J12" s="162"/>
    </row>
    <row r="13" spans="1:10" s="249" customFormat="1" ht="12.75" customHeight="1">
      <c r="A13" s="162" t="s">
        <v>757</v>
      </c>
      <c r="B13" s="199"/>
      <c r="C13" s="201" t="s">
        <v>758</v>
      </c>
      <c r="D13" s="207"/>
      <c r="E13" s="103">
        <v>923313.89</v>
      </c>
      <c r="F13" s="103"/>
      <c r="G13" s="103"/>
      <c r="H13" s="103">
        <v>0</v>
      </c>
      <c r="I13" s="103">
        <f t="shared" si="0"/>
        <v>923313.89</v>
      </c>
      <c r="J13" s="162"/>
    </row>
    <row r="14" spans="1:10" s="249" customFormat="1" ht="12.75" customHeight="1">
      <c r="A14" s="162" t="s">
        <v>759</v>
      </c>
      <c r="B14" s="199"/>
      <c r="C14" s="201" t="s">
        <v>760</v>
      </c>
      <c r="D14" s="207"/>
      <c r="E14" s="103">
        <v>2279067</v>
      </c>
      <c r="F14" s="103"/>
      <c r="G14" s="103"/>
      <c r="H14" s="103">
        <v>0</v>
      </c>
      <c r="I14" s="103">
        <f t="shared" si="0"/>
        <v>2279067</v>
      </c>
      <c r="J14" s="162"/>
    </row>
    <row r="15" spans="1:10" s="249" customFormat="1" ht="12.75" customHeight="1">
      <c r="A15" s="162" t="s">
        <v>761</v>
      </c>
      <c r="B15" s="199"/>
      <c r="C15" s="201" t="s">
        <v>762</v>
      </c>
      <c r="D15" s="207"/>
      <c r="E15" s="103">
        <v>1256290.01</v>
      </c>
      <c r="F15" s="103"/>
      <c r="G15" s="103"/>
      <c r="H15" s="103">
        <v>0</v>
      </c>
      <c r="I15" s="103">
        <f t="shared" si="0"/>
        <v>1256290.01</v>
      </c>
      <c r="J15" s="162"/>
    </row>
    <row r="16" spans="1:10" s="249" customFormat="1" ht="12.75" customHeight="1">
      <c r="A16" s="162" t="s">
        <v>763</v>
      </c>
      <c r="B16" s="199"/>
      <c r="C16" s="201" t="s">
        <v>764</v>
      </c>
      <c r="D16" s="207"/>
      <c r="E16" s="103">
        <v>1935836.66</v>
      </c>
      <c r="F16" s="103"/>
      <c r="G16" s="103"/>
      <c r="H16" s="103">
        <v>0</v>
      </c>
      <c r="I16" s="103">
        <f t="shared" si="0"/>
        <v>1935836.66</v>
      </c>
      <c r="J16" s="162"/>
    </row>
    <row r="17" spans="1:9" ht="76.5" hidden="1" outlineLevel="1">
      <c r="A17" s="192" t="s">
        <v>2668</v>
      </c>
      <c r="C17" s="231" t="s">
        <v>2669</v>
      </c>
      <c r="E17" s="232"/>
      <c r="F17" s="232"/>
      <c r="G17" s="232"/>
      <c r="H17" s="223">
        <v>80700.5</v>
      </c>
      <c r="I17" s="250">
        <f t="shared" si="0"/>
        <v>80700.5</v>
      </c>
    </row>
    <row r="18" spans="1:9" ht="76.5" hidden="1" outlineLevel="1">
      <c r="A18" s="192" t="s">
        <v>2671</v>
      </c>
      <c r="C18" s="231" t="s">
        <v>2672</v>
      </c>
      <c r="E18" s="232"/>
      <c r="F18" s="232"/>
      <c r="G18" s="232"/>
      <c r="H18" s="223">
        <v>2244892.48</v>
      </c>
      <c r="I18" s="250">
        <f t="shared" si="0"/>
        <v>2244892.48</v>
      </c>
    </row>
    <row r="19" spans="1:9" ht="76.5" hidden="1" outlineLevel="1">
      <c r="A19" s="192" t="s">
        <v>2674</v>
      </c>
      <c r="C19" s="231" t="s">
        <v>2675</v>
      </c>
      <c r="E19" s="232"/>
      <c r="F19" s="232"/>
      <c r="G19" s="232"/>
      <c r="H19" s="223">
        <v>2787429.68</v>
      </c>
      <c r="I19" s="250">
        <f t="shared" si="0"/>
        <v>2787429.68</v>
      </c>
    </row>
    <row r="20" spans="1:9" ht="76.5" hidden="1" outlineLevel="1">
      <c r="A20" s="192" t="s">
        <v>2677</v>
      </c>
      <c r="C20" s="231" t="s">
        <v>2678</v>
      </c>
      <c r="E20" s="232"/>
      <c r="F20" s="232"/>
      <c r="G20" s="232"/>
      <c r="H20" s="223">
        <v>920658.97</v>
      </c>
      <c r="I20" s="250">
        <f t="shared" si="0"/>
        <v>920658.97</v>
      </c>
    </row>
    <row r="21" spans="1:9" ht="76.5" hidden="1" outlineLevel="1">
      <c r="A21" s="192" t="s">
        <v>2680</v>
      </c>
      <c r="C21" s="231" t="s">
        <v>2681</v>
      </c>
      <c r="E21" s="232"/>
      <c r="F21" s="232"/>
      <c r="G21" s="232"/>
      <c r="H21" s="223">
        <v>349486.2</v>
      </c>
      <c r="I21" s="250">
        <f t="shared" si="0"/>
        <v>349486.2</v>
      </c>
    </row>
    <row r="22" spans="1:9" ht="76.5" hidden="1" outlineLevel="1">
      <c r="A22" s="192" t="s">
        <v>2683</v>
      </c>
      <c r="C22" s="231" t="s">
        <v>2684</v>
      </c>
      <c r="E22" s="232"/>
      <c r="F22" s="232"/>
      <c r="G22" s="232"/>
      <c r="H22" s="223">
        <v>5354.1</v>
      </c>
      <c r="I22" s="250">
        <f t="shared" si="0"/>
        <v>5354.1</v>
      </c>
    </row>
    <row r="23" spans="1:9" ht="76.5" hidden="1" outlineLevel="1">
      <c r="A23" s="192" t="s">
        <v>2689</v>
      </c>
      <c r="C23" s="231" t="s">
        <v>2690</v>
      </c>
      <c r="E23" s="232"/>
      <c r="F23" s="232"/>
      <c r="G23" s="232"/>
      <c r="H23" s="223">
        <v>56679.3</v>
      </c>
      <c r="I23" s="250">
        <f t="shared" si="0"/>
        <v>56679.3</v>
      </c>
    </row>
    <row r="24" spans="1:9" ht="76.5" hidden="1" outlineLevel="1">
      <c r="A24" s="192" t="s">
        <v>2692</v>
      </c>
      <c r="C24" s="231" t="s">
        <v>2693</v>
      </c>
      <c r="E24" s="232"/>
      <c r="F24" s="232"/>
      <c r="G24" s="232"/>
      <c r="H24" s="223">
        <v>40089.87</v>
      </c>
      <c r="I24" s="250">
        <f t="shared" si="0"/>
        <v>40089.87</v>
      </c>
    </row>
    <row r="25" spans="1:10" s="249" customFormat="1" ht="12.75" customHeight="1" collapsed="1">
      <c r="A25" s="162" t="s">
        <v>765</v>
      </c>
      <c r="B25" s="199"/>
      <c r="C25" s="201" t="s">
        <v>2164</v>
      </c>
      <c r="D25" s="207"/>
      <c r="E25" s="103">
        <v>12089202.33</v>
      </c>
      <c r="F25" s="103"/>
      <c r="G25" s="103"/>
      <c r="H25" s="103">
        <v>6485291.1</v>
      </c>
      <c r="I25" s="103">
        <f t="shared" si="0"/>
        <v>18574493.43</v>
      </c>
      <c r="J25" s="162"/>
    </row>
    <row r="26" spans="1:10" s="249" customFormat="1" ht="12.75" customHeight="1">
      <c r="A26" s="22"/>
      <c r="B26" s="214"/>
      <c r="C26" s="216" t="s">
        <v>766</v>
      </c>
      <c r="D26" s="74"/>
      <c r="E26" s="105">
        <f>E11+E12+E13+E14+E15+E16-E25</f>
        <v>33239696</v>
      </c>
      <c r="F26" s="105"/>
      <c r="G26" s="105"/>
      <c r="H26" s="105">
        <f>H11+H12+H13+H14+H15+H16-H25</f>
        <v>-6485291.1</v>
      </c>
      <c r="I26" s="105">
        <f t="shared" si="0"/>
        <v>26754404.9</v>
      </c>
      <c r="J26" s="2"/>
    </row>
    <row r="27" spans="1:10" s="249" customFormat="1" ht="12.75" customHeight="1">
      <c r="A27" s="2"/>
      <c r="B27" s="199"/>
      <c r="C27" s="201"/>
      <c r="D27" s="207"/>
      <c r="E27" s="103"/>
      <c r="F27" s="103"/>
      <c r="G27" s="103"/>
      <c r="H27" s="103"/>
      <c r="I27" s="103"/>
      <c r="J27" s="2"/>
    </row>
    <row r="28" spans="1:10" s="249" customFormat="1" ht="12.75" customHeight="1">
      <c r="A28" s="162" t="s">
        <v>2106</v>
      </c>
      <c r="B28" s="199"/>
      <c r="C28" s="201" t="s">
        <v>767</v>
      </c>
      <c r="D28" s="207"/>
      <c r="E28" s="103" t="s">
        <v>2106</v>
      </c>
      <c r="F28" s="103"/>
      <c r="G28" s="103"/>
      <c r="H28" s="103"/>
      <c r="I28" s="103"/>
      <c r="J28" s="162"/>
    </row>
    <row r="29" spans="1:10" s="249" customFormat="1" ht="12.75" customHeight="1">
      <c r="A29" s="162"/>
      <c r="B29" s="199"/>
      <c r="C29" s="201" t="s">
        <v>768</v>
      </c>
      <c r="D29" s="207"/>
      <c r="E29" s="103"/>
      <c r="F29" s="103"/>
      <c r="G29" s="103"/>
      <c r="H29" s="103"/>
      <c r="I29" s="103"/>
      <c r="J29" s="162"/>
    </row>
    <row r="30" spans="1:10" s="249" customFormat="1" ht="12.75" customHeight="1">
      <c r="A30" s="162" t="s">
        <v>2106</v>
      </c>
      <c r="B30" s="199"/>
      <c r="C30" s="201" t="s">
        <v>769</v>
      </c>
      <c r="D30" s="207"/>
      <c r="E30" s="103">
        <v>0</v>
      </c>
      <c r="F30" s="103">
        <v>0</v>
      </c>
      <c r="G30" s="103">
        <v>729566.68</v>
      </c>
      <c r="H30" s="103">
        <f aca="true" t="shared" si="1" ref="H30:H43">F30+G30</f>
        <v>729566.68</v>
      </c>
      <c r="I30" s="103">
        <f aca="true" t="shared" si="2" ref="I30:I46">H30</f>
        <v>729566.68</v>
      </c>
      <c r="J30" s="162"/>
    </row>
    <row r="31" spans="1:10" s="249" customFormat="1" ht="12.75" customHeight="1">
      <c r="A31" s="162" t="s">
        <v>2106</v>
      </c>
      <c r="B31" s="199"/>
      <c r="C31" s="201" t="s">
        <v>770</v>
      </c>
      <c r="D31" s="207"/>
      <c r="E31" s="103">
        <v>0</v>
      </c>
      <c r="F31" s="103">
        <v>0</v>
      </c>
      <c r="G31" s="103">
        <v>79745</v>
      </c>
      <c r="H31" s="103">
        <f t="shared" si="1"/>
        <v>79745</v>
      </c>
      <c r="I31" s="103">
        <f t="shared" si="2"/>
        <v>79745</v>
      </c>
      <c r="J31" s="162"/>
    </row>
    <row r="32" spans="1:10" s="249" customFormat="1" ht="12.75" customHeight="1">
      <c r="A32" s="162" t="s">
        <v>2106</v>
      </c>
      <c r="B32" s="199"/>
      <c r="C32" s="201" t="s">
        <v>771</v>
      </c>
      <c r="D32" s="207"/>
      <c r="E32" s="103">
        <v>0</v>
      </c>
      <c r="F32" s="103">
        <v>147865.06</v>
      </c>
      <c r="G32" s="103">
        <v>4758082.21</v>
      </c>
      <c r="H32" s="103">
        <f t="shared" si="1"/>
        <v>4905947.27</v>
      </c>
      <c r="I32" s="103">
        <f t="shared" si="2"/>
        <v>4905947.27</v>
      </c>
      <c r="J32" s="162"/>
    </row>
    <row r="33" spans="1:10" s="249" customFormat="1" ht="12.75" customHeight="1">
      <c r="A33" s="162" t="s">
        <v>2106</v>
      </c>
      <c r="B33" s="199"/>
      <c r="C33" s="201" t="s">
        <v>772</v>
      </c>
      <c r="D33" s="207"/>
      <c r="E33" s="103">
        <v>0</v>
      </c>
      <c r="F33" s="103">
        <v>3148.19</v>
      </c>
      <c r="G33" s="103">
        <v>3819389.48</v>
      </c>
      <c r="H33" s="103">
        <f t="shared" si="1"/>
        <v>3822537.67</v>
      </c>
      <c r="I33" s="103">
        <f t="shared" si="2"/>
        <v>3822537.67</v>
      </c>
      <c r="J33" s="162"/>
    </row>
    <row r="34" spans="1:10" s="249" customFormat="1" ht="12.75" customHeight="1">
      <c r="A34" s="162" t="s">
        <v>2106</v>
      </c>
      <c r="B34" s="199"/>
      <c r="C34" s="201" t="s">
        <v>773</v>
      </c>
      <c r="D34" s="207"/>
      <c r="E34" s="103">
        <v>0</v>
      </c>
      <c r="F34" s="103">
        <v>-129603</v>
      </c>
      <c r="G34" s="103">
        <v>3549086.45</v>
      </c>
      <c r="H34" s="103">
        <f t="shared" si="1"/>
        <v>3419483.45</v>
      </c>
      <c r="I34" s="103">
        <f t="shared" si="2"/>
        <v>3419483.45</v>
      </c>
      <c r="J34" s="162"/>
    </row>
    <row r="35" spans="1:10" s="249" customFormat="1" ht="12.75" customHeight="1">
      <c r="A35" s="162" t="s">
        <v>2106</v>
      </c>
      <c r="B35" s="199"/>
      <c r="C35" s="201" t="s">
        <v>774</v>
      </c>
      <c r="D35" s="207"/>
      <c r="E35" s="103">
        <v>0</v>
      </c>
      <c r="F35" s="103">
        <v>0</v>
      </c>
      <c r="G35" s="103">
        <v>332653.21</v>
      </c>
      <c r="H35" s="103">
        <f t="shared" si="1"/>
        <v>332653.21</v>
      </c>
      <c r="I35" s="103">
        <f t="shared" si="2"/>
        <v>332653.21</v>
      </c>
      <c r="J35" s="162"/>
    </row>
    <row r="36" spans="1:10" s="249" customFormat="1" ht="12.75" customHeight="1">
      <c r="A36" s="162" t="s">
        <v>2106</v>
      </c>
      <c r="B36" s="199"/>
      <c r="C36" s="201" t="s">
        <v>775</v>
      </c>
      <c r="D36" s="207"/>
      <c r="E36" s="103">
        <v>0</v>
      </c>
      <c r="F36" s="103">
        <v>0</v>
      </c>
      <c r="G36" s="103">
        <v>109720.96</v>
      </c>
      <c r="H36" s="103">
        <f t="shared" si="1"/>
        <v>109720.96</v>
      </c>
      <c r="I36" s="103">
        <f t="shared" si="2"/>
        <v>109720.96</v>
      </c>
      <c r="J36" s="162"/>
    </row>
    <row r="37" spans="1:10" s="249" customFormat="1" ht="12.75" customHeight="1">
      <c r="A37" s="162" t="s">
        <v>2106</v>
      </c>
      <c r="B37" s="199"/>
      <c r="C37" s="201" t="s">
        <v>776</v>
      </c>
      <c r="D37" s="207"/>
      <c r="E37" s="103">
        <v>0</v>
      </c>
      <c r="F37" s="103">
        <v>0</v>
      </c>
      <c r="G37" s="103">
        <v>0</v>
      </c>
      <c r="H37" s="103">
        <f t="shared" si="1"/>
        <v>0</v>
      </c>
      <c r="I37" s="103">
        <f t="shared" si="2"/>
        <v>0</v>
      </c>
      <c r="J37" s="162"/>
    </row>
    <row r="38" spans="1:10" s="249" customFormat="1" ht="12.75" customHeight="1">
      <c r="A38" s="162" t="s">
        <v>2106</v>
      </c>
      <c r="B38" s="199"/>
      <c r="C38" s="201" t="s">
        <v>777</v>
      </c>
      <c r="D38" s="207"/>
      <c r="E38" s="103">
        <v>0</v>
      </c>
      <c r="F38" s="103">
        <v>0</v>
      </c>
      <c r="G38" s="103">
        <v>1022080.22</v>
      </c>
      <c r="H38" s="103">
        <f t="shared" si="1"/>
        <v>1022080.22</v>
      </c>
      <c r="I38" s="103">
        <f t="shared" si="2"/>
        <v>1022080.22</v>
      </c>
      <c r="J38" s="162"/>
    </row>
    <row r="39" spans="1:10" s="249" customFormat="1" ht="12.75" customHeight="1">
      <c r="A39" s="162" t="s">
        <v>2106</v>
      </c>
      <c r="B39" s="199"/>
      <c r="C39" s="201" t="s">
        <v>778</v>
      </c>
      <c r="D39" s="207"/>
      <c r="E39" s="103">
        <v>0</v>
      </c>
      <c r="F39" s="103">
        <v>0</v>
      </c>
      <c r="G39" s="103">
        <v>1627591.62</v>
      </c>
      <c r="H39" s="103">
        <f t="shared" si="1"/>
        <v>1627591.62</v>
      </c>
      <c r="I39" s="103">
        <f t="shared" si="2"/>
        <v>1627591.62</v>
      </c>
      <c r="J39" s="162"/>
    </row>
    <row r="40" spans="1:10" s="249" customFormat="1" ht="12.75" customHeight="1">
      <c r="A40" s="162" t="s">
        <v>2106</v>
      </c>
      <c r="B40" s="199"/>
      <c r="C40" s="201" t="s">
        <v>779</v>
      </c>
      <c r="D40" s="207"/>
      <c r="E40" s="103">
        <v>0</v>
      </c>
      <c r="F40" s="103">
        <v>0</v>
      </c>
      <c r="G40" s="103">
        <v>0</v>
      </c>
      <c r="H40" s="103">
        <f t="shared" si="1"/>
        <v>0</v>
      </c>
      <c r="I40" s="103">
        <f t="shared" si="2"/>
        <v>0</v>
      </c>
      <c r="J40" s="162"/>
    </row>
    <row r="41" spans="1:10" s="249" customFormat="1" ht="12.75" customHeight="1">
      <c r="A41" s="162" t="s">
        <v>2106</v>
      </c>
      <c r="B41" s="199"/>
      <c r="C41" s="201" t="s">
        <v>2071</v>
      </c>
      <c r="D41" s="207"/>
      <c r="E41" s="103">
        <v>0</v>
      </c>
      <c r="F41" s="103">
        <v>0</v>
      </c>
      <c r="G41" s="103">
        <v>3250415.34</v>
      </c>
      <c r="H41" s="103">
        <f t="shared" si="1"/>
        <v>3250415.34</v>
      </c>
      <c r="I41" s="103">
        <f t="shared" si="2"/>
        <v>3250415.34</v>
      </c>
      <c r="J41" s="162"/>
    </row>
    <row r="42" spans="1:10" s="249" customFormat="1" ht="12.75" customHeight="1">
      <c r="A42" s="162" t="s">
        <v>2106</v>
      </c>
      <c r="B42" s="199"/>
      <c r="C42" s="201" t="s">
        <v>2072</v>
      </c>
      <c r="D42" s="207"/>
      <c r="E42" s="103">
        <v>0</v>
      </c>
      <c r="F42" s="103">
        <v>0</v>
      </c>
      <c r="G42" s="103">
        <v>12403.9</v>
      </c>
      <c r="H42" s="103">
        <f t="shared" si="1"/>
        <v>12403.9</v>
      </c>
      <c r="I42" s="103">
        <f t="shared" si="2"/>
        <v>12403.9</v>
      </c>
      <c r="J42" s="162"/>
    </row>
    <row r="43" spans="1:10" s="249" customFormat="1" ht="12.75" customHeight="1">
      <c r="A43" s="162" t="s">
        <v>2106</v>
      </c>
      <c r="B43" s="199"/>
      <c r="C43" s="201" t="s">
        <v>2073</v>
      </c>
      <c r="D43" s="207"/>
      <c r="E43" s="103">
        <v>0</v>
      </c>
      <c r="F43" s="103">
        <v>2648.2</v>
      </c>
      <c r="G43" s="103">
        <v>4302353.39</v>
      </c>
      <c r="H43" s="103">
        <f t="shared" si="1"/>
        <v>4305001.59</v>
      </c>
      <c r="I43" s="103">
        <f t="shared" si="2"/>
        <v>4305001.59</v>
      </c>
      <c r="J43" s="162"/>
    </row>
    <row r="44" spans="1:10" s="249" customFormat="1" ht="12.75" customHeight="1">
      <c r="A44" s="162" t="s">
        <v>2106</v>
      </c>
      <c r="B44" s="199"/>
      <c r="C44" s="201" t="s">
        <v>2074</v>
      </c>
      <c r="D44" s="207"/>
      <c r="E44" s="103">
        <v>0</v>
      </c>
      <c r="F44" s="103">
        <v>-2053836.28</v>
      </c>
      <c r="G44" s="103">
        <v>592767.06</v>
      </c>
      <c r="H44" s="103">
        <v>-1514069</v>
      </c>
      <c r="I44" s="103">
        <f t="shared" si="2"/>
        <v>-1514069</v>
      </c>
      <c r="J44" s="162"/>
    </row>
    <row r="45" spans="1:10" s="249" customFormat="1" ht="12.75" customHeight="1">
      <c r="A45" s="162" t="s">
        <v>2106</v>
      </c>
      <c r="B45" s="199"/>
      <c r="C45" s="201" t="s">
        <v>2075</v>
      </c>
      <c r="D45" s="207"/>
      <c r="E45" s="103">
        <v>0</v>
      </c>
      <c r="F45" s="103">
        <v>0</v>
      </c>
      <c r="G45" s="103">
        <v>15743</v>
      </c>
      <c r="H45" s="103">
        <f>F45+G45</f>
        <v>15743</v>
      </c>
      <c r="I45" s="103">
        <f t="shared" si="2"/>
        <v>15743</v>
      </c>
      <c r="J45" s="162"/>
    </row>
    <row r="46" spans="1:10" s="249" customFormat="1" ht="12.75" customHeight="1">
      <c r="A46" s="161"/>
      <c r="B46" s="214"/>
      <c r="C46" s="216" t="s">
        <v>2076</v>
      </c>
      <c r="D46" s="74"/>
      <c r="E46" s="105">
        <v>0</v>
      </c>
      <c r="F46" s="105">
        <f>F30+F31+F32+F33+F34+F35+F36+F37+F38+F39+F40+F41+F42+F43+F44+F45</f>
        <v>-2029777.83</v>
      </c>
      <c r="G46" s="105">
        <v>24148599</v>
      </c>
      <c r="H46" s="105">
        <f>F46+G46</f>
        <v>22118821.17</v>
      </c>
      <c r="I46" s="105">
        <f t="shared" si="2"/>
        <v>22118821.17</v>
      </c>
      <c r="J46" s="161"/>
    </row>
    <row r="47" spans="1:10" s="249" customFormat="1" ht="12.75" customHeight="1">
      <c r="A47" s="161"/>
      <c r="B47" s="214"/>
      <c r="C47" s="216"/>
      <c r="D47" s="74"/>
      <c r="E47" s="105"/>
      <c r="F47" s="105"/>
      <c r="G47" s="105"/>
      <c r="H47" s="105"/>
      <c r="I47" s="105"/>
      <c r="J47" s="161"/>
    </row>
    <row r="48" spans="1:9" ht="76.5" hidden="1" outlineLevel="1">
      <c r="A48" s="192" t="s">
        <v>2077</v>
      </c>
      <c r="C48" s="231" t="s">
        <v>2078</v>
      </c>
      <c r="E48" s="232"/>
      <c r="F48" s="232"/>
      <c r="G48" s="232"/>
      <c r="H48" s="223">
        <v>2307316.32</v>
      </c>
      <c r="I48" s="250">
        <f aca="true" t="shared" si="3" ref="I48:I55">E48+H48</f>
        <v>2307316.32</v>
      </c>
    </row>
    <row r="49" spans="1:10" s="249" customFormat="1" ht="12.75" customHeight="1" collapsed="1">
      <c r="A49" s="162" t="s">
        <v>2079</v>
      </c>
      <c r="B49" s="199"/>
      <c r="C49" s="201" t="s">
        <v>2167</v>
      </c>
      <c r="D49" s="207"/>
      <c r="E49" s="103">
        <v>0</v>
      </c>
      <c r="F49" s="103"/>
      <c r="G49" s="103"/>
      <c r="H49" s="103">
        <v>2307316.32</v>
      </c>
      <c r="I49" s="103">
        <f t="shared" si="3"/>
        <v>2307316.32</v>
      </c>
      <c r="J49" s="162"/>
    </row>
    <row r="50" spans="1:9" ht="76.5" hidden="1" outlineLevel="1">
      <c r="A50" s="192" t="s">
        <v>2080</v>
      </c>
      <c r="C50" s="231" t="s">
        <v>2081</v>
      </c>
      <c r="E50" s="232"/>
      <c r="F50" s="232"/>
      <c r="G50" s="232"/>
      <c r="H50" s="223">
        <v>6282411</v>
      </c>
      <c r="I50" s="250">
        <f t="shared" si="3"/>
        <v>6282411</v>
      </c>
    </row>
    <row r="51" spans="1:9" ht="76.5" hidden="1" outlineLevel="1">
      <c r="A51" s="192" t="s">
        <v>2082</v>
      </c>
      <c r="C51" s="231" t="s">
        <v>2083</v>
      </c>
      <c r="E51" s="232"/>
      <c r="F51" s="232"/>
      <c r="G51" s="232"/>
      <c r="H51" s="223">
        <v>2322518</v>
      </c>
      <c r="I51" s="250">
        <f t="shared" si="3"/>
        <v>2322518</v>
      </c>
    </row>
    <row r="52" spans="1:9" ht="76.5" hidden="1" outlineLevel="1">
      <c r="A52" s="192" t="s">
        <v>2084</v>
      </c>
      <c r="C52" s="231" t="s">
        <v>2085</v>
      </c>
      <c r="E52" s="232"/>
      <c r="F52" s="232"/>
      <c r="G52" s="232"/>
      <c r="H52" s="223">
        <v>81182.93</v>
      </c>
      <c r="I52" s="250">
        <f t="shared" si="3"/>
        <v>81182.93</v>
      </c>
    </row>
    <row r="53" spans="1:9" ht="76.5" hidden="1" outlineLevel="1">
      <c r="A53" s="192" t="s">
        <v>2086</v>
      </c>
      <c r="C53" s="231" t="s">
        <v>2087</v>
      </c>
      <c r="E53" s="232"/>
      <c r="F53" s="232"/>
      <c r="G53" s="232"/>
      <c r="H53" s="223">
        <v>3772592.99</v>
      </c>
      <c r="I53" s="250">
        <f t="shared" si="3"/>
        <v>3772592.99</v>
      </c>
    </row>
    <row r="54" spans="1:10" s="249" customFormat="1" ht="12.75" customHeight="1" collapsed="1">
      <c r="A54" s="162" t="s">
        <v>2088</v>
      </c>
      <c r="B54" s="199"/>
      <c r="C54" s="201" t="s">
        <v>2168</v>
      </c>
      <c r="D54" s="207"/>
      <c r="E54" s="103">
        <v>0</v>
      </c>
      <c r="F54" s="103"/>
      <c r="G54" s="103"/>
      <c r="H54" s="103">
        <v>12458704.92</v>
      </c>
      <c r="I54" s="103">
        <f t="shared" si="3"/>
        <v>12458704.92</v>
      </c>
      <c r="J54" s="162"/>
    </row>
    <row r="55" spans="1:10" s="249" customFormat="1" ht="12.75" customHeight="1">
      <c r="A55" s="162" t="s">
        <v>2089</v>
      </c>
      <c r="B55" s="199"/>
      <c r="C55" s="201" t="s">
        <v>2740</v>
      </c>
      <c r="D55" s="207"/>
      <c r="E55" s="103">
        <v>329504.82</v>
      </c>
      <c r="F55" s="103"/>
      <c r="G55" s="103"/>
      <c r="H55" s="103">
        <v>0</v>
      </c>
      <c r="I55" s="103">
        <f t="shared" si="3"/>
        <v>329504.82</v>
      </c>
      <c r="J55" s="162"/>
    </row>
    <row r="56" spans="1:10" s="249" customFormat="1" ht="12.75" customHeight="1">
      <c r="A56" s="162"/>
      <c r="B56" s="199"/>
      <c r="C56" s="201" t="s">
        <v>2090</v>
      </c>
      <c r="D56" s="207"/>
      <c r="E56" s="103"/>
      <c r="F56" s="103"/>
      <c r="G56" s="103"/>
      <c r="H56" s="103"/>
      <c r="I56" s="103"/>
      <c r="J56" s="162"/>
    </row>
    <row r="57" spans="1:10" s="249" customFormat="1" ht="12.75" customHeight="1">
      <c r="A57" s="162" t="s">
        <v>2106</v>
      </c>
      <c r="B57" s="199"/>
      <c r="C57" s="201" t="s">
        <v>2091</v>
      </c>
      <c r="D57" s="207"/>
      <c r="E57" s="103">
        <v>0</v>
      </c>
      <c r="F57" s="103"/>
      <c r="G57" s="103"/>
      <c r="H57" s="103">
        <v>0</v>
      </c>
      <c r="I57" s="103">
        <f aca="true" t="shared" si="4" ref="I57:I62">E57+H57</f>
        <v>0</v>
      </c>
      <c r="J57" s="162"/>
    </row>
    <row r="58" spans="1:10" s="249" customFormat="1" ht="12.75" customHeight="1">
      <c r="A58" s="162" t="s">
        <v>2106</v>
      </c>
      <c r="B58" s="199"/>
      <c r="C58" s="201" t="s">
        <v>2092</v>
      </c>
      <c r="D58" s="207"/>
      <c r="E58" s="103">
        <v>7249679.4799999995</v>
      </c>
      <c r="F58" s="103"/>
      <c r="G58" s="103"/>
      <c r="H58" s="103">
        <v>0</v>
      </c>
      <c r="I58" s="103">
        <f t="shared" si="4"/>
        <v>7249679.4799999995</v>
      </c>
      <c r="J58" s="162"/>
    </row>
    <row r="59" spans="1:10" s="249" customFormat="1" ht="12.75" customHeight="1">
      <c r="A59" s="162" t="s">
        <v>2106</v>
      </c>
      <c r="B59" s="199"/>
      <c r="C59" s="201" t="s">
        <v>2093</v>
      </c>
      <c r="D59" s="207"/>
      <c r="E59" s="103">
        <v>0</v>
      </c>
      <c r="F59" s="103"/>
      <c r="G59" s="103"/>
      <c r="H59" s="103">
        <v>0</v>
      </c>
      <c r="I59" s="103">
        <f t="shared" si="4"/>
        <v>0</v>
      </c>
      <c r="J59" s="162"/>
    </row>
    <row r="60" spans="1:10" s="249" customFormat="1" ht="12.75" customHeight="1">
      <c r="A60" s="162" t="s">
        <v>2106</v>
      </c>
      <c r="B60" s="199"/>
      <c r="C60" s="201" t="s">
        <v>2094</v>
      </c>
      <c r="D60" s="207"/>
      <c r="E60" s="103">
        <v>1799956.01</v>
      </c>
      <c r="F60" s="103"/>
      <c r="G60" s="103"/>
      <c r="H60" s="103">
        <v>0</v>
      </c>
      <c r="I60" s="103">
        <f t="shared" si="4"/>
        <v>1799956.01</v>
      </c>
      <c r="J60" s="162"/>
    </row>
    <row r="61" spans="1:10" s="249" customFormat="1" ht="12.75" customHeight="1">
      <c r="A61" s="162" t="s">
        <v>2095</v>
      </c>
      <c r="B61" s="199"/>
      <c r="C61" s="201" t="s">
        <v>2096</v>
      </c>
      <c r="D61" s="207"/>
      <c r="E61" s="103">
        <v>0</v>
      </c>
      <c r="F61" s="103"/>
      <c r="G61" s="103"/>
      <c r="H61" s="103">
        <v>0</v>
      </c>
      <c r="I61" s="103">
        <f t="shared" si="4"/>
        <v>0</v>
      </c>
      <c r="J61" s="162"/>
    </row>
    <row r="62" spans="1:10" s="249" customFormat="1" ht="12.75" customHeight="1">
      <c r="A62" s="162" t="s">
        <v>2097</v>
      </c>
      <c r="B62" s="199"/>
      <c r="C62" s="201" t="s">
        <v>2174</v>
      </c>
      <c r="D62" s="207"/>
      <c r="E62" s="103">
        <v>0</v>
      </c>
      <c r="F62" s="103"/>
      <c r="G62" s="103"/>
      <c r="H62" s="103">
        <v>0</v>
      </c>
      <c r="I62" s="103">
        <f t="shared" si="4"/>
        <v>0</v>
      </c>
      <c r="J62" s="162"/>
    </row>
    <row r="63" spans="1:10" s="249" customFormat="1" ht="12.75" customHeight="1">
      <c r="A63" s="162" t="s">
        <v>2106</v>
      </c>
      <c r="B63" s="199"/>
      <c r="C63" s="201" t="s">
        <v>2098</v>
      </c>
      <c r="D63" s="207"/>
      <c r="E63" s="103" t="s">
        <v>2106</v>
      </c>
      <c r="F63" s="103"/>
      <c r="G63" s="103"/>
      <c r="H63" s="103"/>
      <c r="I63" s="103"/>
      <c r="J63" s="162"/>
    </row>
    <row r="64" spans="1:10" s="249" customFormat="1" ht="12.75" customHeight="1">
      <c r="A64" s="1" t="s">
        <v>2099</v>
      </c>
      <c r="B64" s="199"/>
      <c r="C64" s="201" t="s">
        <v>2100</v>
      </c>
      <c r="D64" s="207"/>
      <c r="E64" s="103">
        <v>5622103.99</v>
      </c>
      <c r="F64" s="103"/>
      <c r="G64" s="103"/>
      <c r="H64" s="103">
        <v>-5560620.1899999995</v>
      </c>
      <c r="I64" s="103">
        <f>E64+H64</f>
        <v>61483.800000000745</v>
      </c>
      <c r="J64" s="1"/>
    </row>
    <row r="65" spans="1:10" s="249" customFormat="1" ht="12.75" customHeight="1">
      <c r="A65" s="1" t="s">
        <v>2106</v>
      </c>
      <c r="B65" s="199"/>
      <c r="C65" s="201" t="s">
        <v>2101</v>
      </c>
      <c r="D65" s="207"/>
      <c r="E65" s="103">
        <f>E71-E64</f>
        <v>1029304.9500000011</v>
      </c>
      <c r="F65" s="103"/>
      <c r="G65" s="103"/>
      <c r="H65" s="103">
        <f>H71-H64</f>
        <v>138130.18999999948</v>
      </c>
      <c r="I65" s="103">
        <f>E65+H65</f>
        <v>1167435.1400000006</v>
      </c>
      <c r="J65" s="1"/>
    </row>
    <row r="66" spans="1:10" s="249" customFormat="1" ht="12.75" customHeight="1">
      <c r="A66" s="29"/>
      <c r="B66" s="214"/>
      <c r="C66" s="216"/>
      <c r="D66" s="74"/>
      <c r="E66" s="153"/>
      <c r="F66" s="153"/>
      <c r="G66" s="153"/>
      <c r="H66" s="153"/>
      <c r="I66" s="153"/>
      <c r="J66" s="29"/>
    </row>
    <row r="67" spans="1:10" s="249" customFormat="1" ht="12.75" customHeight="1">
      <c r="A67" s="29"/>
      <c r="B67" s="214"/>
      <c r="C67" s="204" t="s">
        <v>2102</v>
      </c>
      <c r="D67" s="65"/>
      <c r="E67" s="237">
        <f>+E26+E46+E49+E54+E55+E57+E58+E59+E60+E61+E62+E64+E65</f>
        <v>49270245.25</v>
      </c>
      <c r="F67" s="237"/>
      <c r="G67" s="237"/>
      <c r="H67" s="237">
        <f>+H26+H46+H49+H54+H55+H57+H58+H59+H60+H61+H62+H64+H65</f>
        <v>24977061.310000002</v>
      </c>
      <c r="I67" s="237">
        <f>+I26+I46+I49+I54+I55+I57+I58+I59+I60+I61+I62+I64+I65</f>
        <v>74247306.56</v>
      </c>
      <c r="J67" s="2"/>
    </row>
    <row r="68" spans="1:10" s="249" customFormat="1" ht="12.75">
      <c r="A68" s="2"/>
      <c r="B68" s="231"/>
      <c r="C68" s="231"/>
      <c r="D68" s="231"/>
      <c r="E68" s="231"/>
      <c r="F68" s="231"/>
      <c r="G68" s="231"/>
      <c r="H68" s="231"/>
      <c r="I68" s="238"/>
      <c r="J68" s="2"/>
    </row>
    <row r="69" spans="1:10" s="249" customFormat="1" ht="12.75">
      <c r="A69" s="2"/>
      <c r="B69" s="231"/>
      <c r="C69" s="231"/>
      <c r="D69" s="231"/>
      <c r="E69" s="184"/>
      <c r="F69" s="184"/>
      <c r="G69" s="184"/>
      <c r="H69" s="184"/>
      <c r="I69" s="238"/>
      <c r="J69" s="2"/>
    </row>
    <row r="70" spans="1:10" s="249" customFormat="1" ht="12.75" hidden="1">
      <c r="A70" s="2"/>
      <c r="B70" s="231"/>
      <c r="C70" s="231" t="s">
        <v>2103</v>
      </c>
      <c r="D70" s="231"/>
      <c r="E70" s="184"/>
      <c r="F70" s="184"/>
      <c r="G70" s="184"/>
      <c r="H70" s="184"/>
      <c r="I70" s="238"/>
      <c r="J70" s="2"/>
    </row>
    <row r="71" spans="1:10" s="249" customFormat="1" ht="12.75" hidden="1">
      <c r="A71" s="2" t="s">
        <v>2104</v>
      </c>
      <c r="B71" s="231"/>
      <c r="C71" s="231" t="s">
        <v>2105</v>
      </c>
      <c r="D71" s="231"/>
      <c r="E71" s="184">
        <v>6651408.940000001</v>
      </c>
      <c r="F71" s="184"/>
      <c r="G71" s="184"/>
      <c r="H71" s="184">
        <v>-5422490</v>
      </c>
      <c r="I71" s="238"/>
      <c r="J71" s="2"/>
    </row>
    <row r="72" spans="5:7" ht="12.75">
      <c r="E72" s="184"/>
      <c r="F72" s="184"/>
      <c r="G72" s="184"/>
    </row>
    <row r="73" spans="5:7" ht="12.75">
      <c r="E73" s="184"/>
      <c r="F73" s="184"/>
      <c r="G73" s="184"/>
    </row>
    <row r="74" spans="5:7" ht="12.75">
      <c r="E74" s="184"/>
      <c r="F74" s="184"/>
      <c r="G74" s="184"/>
    </row>
    <row r="75" spans="5:7" ht="12.75">
      <c r="E75" s="184"/>
      <c r="F75" s="184"/>
      <c r="G75" s="184"/>
    </row>
    <row r="76" spans="5:7" ht="12.75">
      <c r="E76" s="184"/>
      <c r="F76" s="184"/>
      <c r="G76" s="184"/>
    </row>
    <row r="77" spans="5:7" ht="12.75">
      <c r="E77" s="184"/>
      <c r="F77" s="184"/>
      <c r="G77" s="184"/>
    </row>
    <row r="78" spans="5:7" ht="12.75">
      <c r="E78" s="184"/>
      <c r="F78" s="184"/>
      <c r="G78" s="184"/>
    </row>
    <row r="79" spans="5:7" ht="12.75">
      <c r="E79" s="184"/>
      <c r="F79" s="184"/>
      <c r="G79" s="184"/>
    </row>
    <row r="80" spans="5:7" ht="12.75">
      <c r="E80" s="184"/>
      <c r="F80" s="184"/>
      <c r="G80" s="184"/>
    </row>
    <row r="81" spans="5:7" ht="12.75">
      <c r="E81" s="184"/>
      <c r="F81" s="184"/>
      <c r="G81" s="184"/>
    </row>
    <row r="82" spans="5:7" ht="12.75">
      <c r="E82" s="184"/>
      <c r="F82" s="184"/>
      <c r="G82" s="184"/>
    </row>
    <row r="83" spans="5:7" ht="12.75">
      <c r="E83" s="184"/>
      <c r="F83" s="184"/>
      <c r="G83" s="184"/>
    </row>
    <row r="84" spans="5:7" ht="12.75">
      <c r="E84" s="184"/>
      <c r="F84" s="184"/>
      <c r="G84" s="184"/>
    </row>
    <row r="85" spans="5:7" ht="12.75">
      <c r="E85" s="184"/>
      <c r="F85" s="184"/>
      <c r="G85" s="184"/>
    </row>
    <row r="86" spans="5:7" ht="12.75">
      <c r="E86" s="184"/>
      <c r="F86" s="184"/>
      <c r="G86" s="184"/>
    </row>
    <row r="87" spans="5:7" ht="12.75">
      <c r="E87" s="184"/>
      <c r="F87" s="184"/>
      <c r="G87" s="184"/>
    </row>
    <row r="88" spans="5:7" ht="12.75">
      <c r="E88" s="184"/>
      <c r="F88" s="184"/>
      <c r="G88" s="184"/>
    </row>
    <row r="89" spans="5:7" ht="12.75">
      <c r="E89" s="184"/>
      <c r="F89" s="184"/>
      <c r="G89" s="184"/>
    </row>
    <row r="90" spans="5:7" ht="12.75">
      <c r="E90" s="184"/>
      <c r="F90" s="184"/>
      <c r="G90" s="184"/>
    </row>
    <row r="91" spans="5:7" ht="12.75">
      <c r="E91" s="184"/>
      <c r="F91" s="184"/>
      <c r="G91" s="184"/>
    </row>
    <row r="92" spans="5:7" ht="12.75">
      <c r="E92" s="184"/>
      <c r="F92" s="184"/>
      <c r="G92" s="184"/>
    </row>
    <row r="93" spans="5:7" ht="12.75">
      <c r="E93" s="184"/>
      <c r="F93" s="184"/>
      <c r="G93" s="184"/>
    </row>
    <row r="94" spans="5:7" ht="12.75">
      <c r="E94" s="184"/>
      <c r="F94" s="184"/>
      <c r="G94" s="184"/>
    </row>
    <row r="95" spans="5:7" ht="12.75">
      <c r="E95" s="184"/>
      <c r="F95" s="184"/>
      <c r="G95" s="184"/>
    </row>
    <row r="96" spans="5:7" ht="12.75">
      <c r="E96" s="184"/>
      <c r="F96" s="184"/>
      <c r="G96" s="184"/>
    </row>
    <row r="97" spans="5:7" ht="12.75">
      <c r="E97" s="184"/>
      <c r="F97" s="184"/>
      <c r="G97" s="184"/>
    </row>
    <row r="98" spans="5:7" ht="12.75">
      <c r="E98" s="184"/>
      <c r="F98" s="184"/>
      <c r="G98" s="184"/>
    </row>
    <row r="99" spans="5:7" ht="12.75">
      <c r="E99" s="184"/>
      <c r="F99" s="184"/>
      <c r="G99" s="184"/>
    </row>
    <row r="100" spans="5:7" ht="12.75">
      <c r="E100" s="184"/>
      <c r="F100" s="184"/>
      <c r="G100" s="184"/>
    </row>
    <row r="101" spans="5:7" ht="12.75">
      <c r="E101" s="184"/>
      <c r="F101" s="184"/>
      <c r="G101" s="184"/>
    </row>
    <row r="102" spans="5:7" ht="12.75">
      <c r="E102" s="184"/>
      <c r="F102" s="184"/>
      <c r="G102" s="184"/>
    </row>
    <row r="103" spans="5:7" ht="12.75">
      <c r="E103" s="184"/>
      <c r="F103" s="184"/>
      <c r="G103" s="184"/>
    </row>
    <row r="104" spans="5:7" ht="12.75">
      <c r="E104" s="184"/>
      <c r="F104" s="184"/>
      <c r="G104" s="184"/>
    </row>
    <row r="105" spans="5:7" ht="12.75">
      <c r="E105" s="184"/>
      <c r="F105" s="184"/>
      <c r="G105" s="184"/>
    </row>
    <row r="106" spans="5:7" ht="12.75">
      <c r="E106" s="184"/>
      <c r="F106" s="184"/>
      <c r="G106" s="184"/>
    </row>
    <row r="107" spans="5:7" ht="12.75">
      <c r="E107" s="184"/>
      <c r="F107" s="184"/>
      <c r="G107" s="184"/>
    </row>
    <row r="108" spans="5:7" ht="12.75">
      <c r="E108" s="184"/>
      <c r="F108" s="184"/>
      <c r="G108" s="184"/>
    </row>
    <row r="109" spans="5:7" ht="12.75">
      <c r="E109" s="184"/>
      <c r="F109" s="184"/>
      <c r="G109" s="184"/>
    </row>
    <row r="110" spans="5:7" ht="12.75">
      <c r="E110" s="184"/>
      <c r="F110" s="184"/>
      <c r="G110" s="184"/>
    </row>
    <row r="111" spans="5:7" ht="12.75">
      <c r="E111" s="184"/>
      <c r="F111" s="184"/>
      <c r="G111" s="184"/>
    </row>
    <row r="112" spans="5:7" ht="12.75">
      <c r="E112" s="184"/>
      <c r="F112" s="184"/>
      <c r="G112" s="184"/>
    </row>
    <row r="113" spans="5:7" ht="12.75">
      <c r="E113" s="184"/>
      <c r="F113" s="184"/>
      <c r="G113" s="184"/>
    </row>
    <row r="114" spans="5:7" ht="12.75">
      <c r="E114" s="184"/>
      <c r="F114" s="184"/>
      <c r="G114" s="184"/>
    </row>
    <row r="115" spans="5:7" ht="12.75">
      <c r="E115" s="184"/>
      <c r="F115" s="184"/>
      <c r="G115" s="184"/>
    </row>
    <row r="116" spans="5:7" ht="12.75">
      <c r="E116" s="184"/>
      <c r="F116" s="184"/>
      <c r="G116" s="184"/>
    </row>
    <row r="117" spans="5:7" ht="12.75">
      <c r="E117" s="184"/>
      <c r="F117" s="184"/>
      <c r="G117" s="184"/>
    </row>
    <row r="118" spans="5:7" ht="12.75">
      <c r="E118" s="184"/>
      <c r="F118" s="184"/>
      <c r="G118" s="184"/>
    </row>
    <row r="119" spans="5:7" ht="12.75">
      <c r="E119" s="184"/>
      <c r="F119" s="184"/>
      <c r="G119" s="184"/>
    </row>
    <row r="120" spans="5:7" ht="12.75">
      <c r="E120" s="184"/>
      <c r="F120" s="184"/>
      <c r="G120" s="184"/>
    </row>
    <row r="121" spans="5:7" ht="12.75">
      <c r="E121" s="184"/>
      <c r="F121" s="184"/>
      <c r="G121" s="184"/>
    </row>
    <row r="122" spans="5:7" ht="12.75">
      <c r="E122" s="184"/>
      <c r="F122" s="184"/>
      <c r="G122" s="184"/>
    </row>
    <row r="123" spans="5:7" ht="12.75">
      <c r="E123" s="184"/>
      <c r="F123" s="184"/>
      <c r="G123" s="184"/>
    </row>
    <row r="124" spans="5:7" ht="12.75">
      <c r="E124" s="184"/>
      <c r="F124" s="184"/>
      <c r="G124" s="184"/>
    </row>
    <row r="125" spans="5:7" ht="12.75">
      <c r="E125" s="184"/>
      <c r="F125" s="184"/>
      <c r="G125" s="184"/>
    </row>
    <row r="126" spans="5:7" ht="12.75">
      <c r="E126" s="184"/>
      <c r="F126" s="184"/>
      <c r="G126" s="184"/>
    </row>
    <row r="127" spans="5:7" ht="12.75">
      <c r="E127" s="184"/>
      <c r="F127" s="184"/>
      <c r="G127" s="184"/>
    </row>
    <row r="128" spans="5:7" ht="12.75">
      <c r="E128" s="184"/>
      <c r="F128" s="184"/>
      <c r="G128" s="184"/>
    </row>
    <row r="129" spans="5:7" ht="12.75">
      <c r="E129" s="184"/>
      <c r="F129" s="184"/>
      <c r="G129" s="184"/>
    </row>
    <row r="130" spans="5:7" ht="12.75">
      <c r="E130" s="184"/>
      <c r="F130" s="184"/>
      <c r="G130" s="184"/>
    </row>
    <row r="131" spans="5:7" ht="12.75">
      <c r="E131" s="184"/>
      <c r="F131" s="184"/>
      <c r="G131" s="184"/>
    </row>
    <row r="132" spans="5:7" ht="12.75">
      <c r="E132" s="184"/>
      <c r="F132" s="184"/>
      <c r="G132" s="184"/>
    </row>
    <row r="133" spans="5:7" ht="12.75">
      <c r="E133" s="184"/>
      <c r="F133" s="184"/>
      <c r="G133" s="184"/>
    </row>
    <row r="134" spans="5:7" ht="12.75">
      <c r="E134" s="184"/>
      <c r="F134" s="184"/>
      <c r="G134" s="184"/>
    </row>
    <row r="135" spans="5:7" ht="12.75">
      <c r="E135" s="184"/>
      <c r="F135" s="184"/>
      <c r="G135" s="184"/>
    </row>
    <row r="136" spans="5:7" ht="12.75">
      <c r="E136" s="184"/>
      <c r="F136" s="184"/>
      <c r="G136" s="184"/>
    </row>
    <row r="137" spans="5:7" ht="12.75">
      <c r="E137" s="184"/>
      <c r="F137" s="184"/>
      <c r="G137" s="184"/>
    </row>
    <row r="138" spans="5:7" ht="12.75">
      <c r="E138" s="184"/>
      <c r="F138" s="184"/>
      <c r="G138" s="184"/>
    </row>
  </sheetData>
  <printOptions horizontalCentered="1"/>
  <pageMargins left="0.5" right="0.5" top="0.75" bottom="0.5" header="0.25" footer="0"/>
  <pageSetup fitToHeight="2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zoomScale="95" zoomScaleNormal="95" workbookViewId="0" topLeftCell="B2">
      <selection activeCell="B6" sqref="B6"/>
    </sheetView>
  </sheetViews>
  <sheetFormatPr defaultColWidth="9.140625" defaultRowHeight="12.75"/>
  <cols>
    <col min="1" max="1" width="2.140625" style="251" hidden="1" customWidth="1"/>
    <col min="2" max="2" width="68.7109375" style="251" customWidth="1"/>
    <col min="3" max="8" width="18.7109375" style="252" customWidth="1"/>
    <col min="9" max="9" width="15.28125" style="251" hidden="1" customWidth="1"/>
    <col min="10" max="15" width="0" style="251" hidden="1" customWidth="1"/>
    <col min="16" max="16" width="13.7109375" style="251" hidden="1" customWidth="1"/>
    <col min="17" max="18" width="10.28125" style="251" hidden="1" customWidth="1"/>
    <col min="19" max="16384" width="10.28125" style="251" customWidth="1"/>
  </cols>
  <sheetData>
    <row r="1" spans="1:6" ht="12" hidden="1">
      <c r="A1" s="251" t="s">
        <v>780</v>
      </c>
      <c r="C1" s="252" t="s">
        <v>781</v>
      </c>
      <c r="D1" s="252" t="s">
        <v>782</v>
      </c>
      <c r="E1" s="252" t="s">
        <v>783</v>
      </c>
      <c r="F1" s="252" t="s">
        <v>2106</v>
      </c>
    </row>
    <row r="2" spans="2:18" s="253" customFormat="1" ht="15.75" customHeight="1">
      <c r="B2" s="254" t="str">
        <f>"University of Missouri - "&amp;RBN</f>
        <v>University of Missouri - Rolla</v>
      </c>
      <c r="C2" s="255"/>
      <c r="D2" s="255"/>
      <c r="E2" s="255"/>
      <c r="F2" s="255"/>
      <c r="G2" s="255"/>
      <c r="H2" s="256"/>
      <c r="M2" s="253" t="s">
        <v>784</v>
      </c>
      <c r="P2" s="257" t="s">
        <v>785</v>
      </c>
      <c r="R2" s="253" t="s">
        <v>2276</v>
      </c>
    </row>
    <row r="3" spans="2:16" s="253" customFormat="1" ht="15.75" customHeight="1">
      <c r="B3" s="258" t="s">
        <v>786</v>
      </c>
      <c r="C3" s="259"/>
      <c r="D3" s="260"/>
      <c r="E3" s="259"/>
      <c r="F3" s="259"/>
      <c r="G3" s="259"/>
      <c r="H3" s="261"/>
      <c r="M3" s="253" t="s">
        <v>787</v>
      </c>
      <c r="P3" s="262">
        <f ca="1">NOW()</f>
        <v>38440.613092708336</v>
      </c>
    </row>
    <row r="4" spans="2:16" ht="15.75" customHeight="1">
      <c r="B4" s="263" t="str">
        <f>"For the Year Ending "&amp;TEXT(M4,"MMMM DD, YYYY")</f>
        <v>For the Year Ending June 30, 2004</v>
      </c>
      <c r="C4" s="264"/>
      <c r="D4" s="265"/>
      <c r="E4" s="264"/>
      <c r="F4" s="264"/>
      <c r="G4" s="264"/>
      <c r="H4" s="266"/>
      <c r="M4" s="251" t="s">
        <v>2275</v>
      </c>
      <c r="P4" s="267">
        <f ca="1">NOW()</f>
        <v>38440.613092708336</v>
      </c>
    </row>
    <row r="5" spans="2:9" ht="12.75" customHeight="1">
      <c r="B5" s="268"/>
      <c r="C5" s="269"/>
      <c r="D5" s="270"/>
      <c r="E5" s="269"/>
      <c r="F5" s="269"/>
      <c r="G5" s="269"/>
      <c r="H5" s="271"/>
      <c r="I5" s="272"/>
    </row>
    <row r="6" spans="2:8" ht="38.25" customHeight="1">
      <c r="B6" s="273"/>
      <c r="C6" s="274" t="s">
        <v>788</v>
      </c>
      <c r="D6" s="275" t="s">
        <v>2179</v>
      </c>
      <c r="E6" s="276" t="s">
        <v>2180</v>
      </c>
      <c r="F6" s="276" t="s">
        <v>2181</v>
      </c>
      <c r="G6" s="276" t="s">
        <v>789</v>
      </c>
      <c r="H6" s="275" t="s">
        <v>2280</v>
      </c>
    </row>
    <row r="7" spans="2:8" ht="12.75" customHeight="1">
      <c r="B7" s="273"/>
      <c r="C7" s="277"/>
      <c r="D7" s="278"/>
      <c r="E7" s="276"/>
      <c r="F7" s="276"/>
      <c r="G7" s="276"/>
      <c r="H7" s="278"/>
    </row>
    <row r="8" spans="2:8" ht="12.75" customHeight="1">
      <c r="B8" s="279" t="s">
        <v>790</v>
      </c>
      <c r="C8" s="280"/>
      <c r="D8" s="281"/>
      <c r="E8" s="282"/>
      <c r="F8" s="283" t="s">
        <v>791</v>
      </c>
      <c r="G8" s="282"/>
      <c r="H8" s="284"/>
    </row>
    <row r="9" spans="2:8" ht="12.75" customHeight="1">
      <c r="B9" s="273"/>
      <c r="C9" s="285"/>
      <c r="D9" s="284"/>
      <c r="E9" s="284"/>
      <c r="F9" s="284"/>
      <c r="G9" s="284"/>
      <c r="H9" s="284"/>
    </row>
    <row r="10" spans="1:8" ht="12.75" customHeight="1">
      <c r="A10" s="251" t="s">
        <v>792</v>
      </c>
      <c r="B10" s="273" t="s">
        <v>793</v>
      </c>
      <c r="C10" s="286">
        <v>33620694.98</v>
      </c>
      <c r="D10" s="287">
        <v>7574505.54</v>
      </c>
      <c r="E10" s="287">
        <v>5848409.190000002</v>
      </c>
      <c r="F10" s="287">
        <v>0</v>
      </c>
      <c r="G10" s="287">
        <v>0</v>
      </c>
      <c r="H10" s="287">
        <f>C10+D10+E10+F10+G10</f>
        <v>47043609.71</v>
      </c>
    </row>
    <row r="11" spans="2:8" ht="12.75" customHeight="1">
      <c r="B11" s="273"/>
      <c r="C11" s="288"/>
      <c r="D11" s="289"/>
      <c r="E11" s="289"/>
      <c r="F11" s="289"/>
      <c r="G11" s="289"/>
      <c r="H11" s="289"/>
    </row>
    <row r="12" spans="1:8" ht="12.75" customHeight="1">
      <c r="A12" s="251" t="s">
        <v>794</v>
      </c>
      <c r="B12" s="273" t="s">
        <v>795</v>
      </c>
      <c r="C12" s="290">
        <v>14602577.4</v>
      </c>
      <c r="D12" s="291">
        <v>2125497.82</v>
      </c>
      <c r="E12" s="291">
        <v>13625875.349999998</v>
      </c>
      <c r="F12" s="291">
        <v>0</v>
      </c>
      <c r="G12" s="291">
        <v>0</v>
      </c>
      <c r="H12" s="291">
        <f>C12+D12+E12+F12+G12</f>
        <v>30353950.57</v>
      </c>
    </row>
    <row r="13" spans="2:8" ht="12.75" customHeight="1">
      <c r="B13" s="273"/>
      <c r="C13" s="290"/>
      <c r="D13" s="291"/>
      <c r="E13" s="291"/>
      <c r="F13" s="291"/>
      <c r="G13" s="291"/>
      <c r="H13" s="291"/>
    </row>
    <row r="14" spans="1:8" ht="12.75" customHeight="1">
      <c r="A14" s="251" t="s">
        <v>796</v>
      </c>
      <c r="B14" s="273" t="s">
        <v>797</v>
      </c>
      <c r="C14" s="290">
        <v>527720.02</v>
      </c>
      <c r="D14" s="291">
        <v>111458.89</v>
      </c>
      <c r="E14" s="291">
        <v>415396.22</v>
      </c>
      <c r="F14" s="291">
        <v>0</v>
      </c>
      <c r="G14" s="291">
        <v>0</v>
      </c>
      <c r="H14" s="291">
        <f>C14+D14+E14+F14+G14</f>
        <v>1054575.13</v>
      </c>
    </row>
    <row r="15" spans="2:8" ht="12.75" customHeight="1">
      <c r="B15" s="273"/>
      <c r="C15" s="290"/>
      <c r="D15" s="291"/>
      <c r="E15" s="291"/>
      <c r="F15" s="291"/>
      <c r="G15" s="291"/>
      <c r="H15" s="291"/>
    </row>
    <row r="16" spans="1:8" ht="12.75" customHeight="1">
      <c r="A16" s="251" t="s">
        <v>798</v>
      </c>
      <c r="B16" s="273" t="s">
        <v>799</v>
      </c>
      <c r="C16" s="290">
        <v>3289270.44</v>
      </c>
      <c r="D16" s="291">
        <v>772832.76</v>
      </c>
      <c r="E16" s="291">
        <v>2284510.83</v>
      </c>
      <c r="F16" s="291">
        <v>0</v>
      </c>
      <c r="G16" s="291">
        <v>0</v>
      </c>
      <c r="H16" s="291">
        <f>C16+D16+E16+F16+G16</f>
        <v>6346614.03</v>
      </c>
    </row>
    <row r="17" spans="2:8" ht="12.75" customHeight="1">
      <c r="B17" s="273"/>
      <c r="C17" s="290"/>
      <c r="D17" s="291"/>
      <c r="E17" s="291"/>
      <c r="F17" s="291"/>
      <c r="G17" s="291"/>
      <c r="H17" s="291"/>
    </row>
    <row r="18" spans="1:8" ht="12.75" customHeight="1">
      <c r="A18" s="251" t="s">
        <v>800</v>
      </c>
      <c r="B18" s="273" t="s">
        <v>801</v>
      </c>
      <c r="C18" s="290">
        <v>5746198.87</v>
      </c>
      <c r="D18" s="291">
        <v>1290962.63</v>
      </c>
      <c r="E18" s="291">
        <v>2691619.51</v>
      </c>
      <c r="F18" s="291">
        <v>0</v>
      </c>
      <c r="G18" s="291">
        <v>0</v>
      </c>
      <c r="H18" s="291">
        <f>C18+D18+E18+F18+G18</f>
        <v>9728781.01</v>
      </c>
    </row>
    <row r="19" spans="2:8" ht="12.75" customHeight="1">
      <c r="B19" s="273"/>
      <c r="C19" s="290"/>
      <c r="D19" s="291"/>
      <c r="E19" s="291"/>
      <c r="F19" s="291"/>
      <c r="G19" s="291"/>
      <c r="H19" s="291"/>
    </row>
    <row r="20" spans="1:8" ht="12.75" customHeight="1">
      <c r="A20" s="251" t="s">
        <v>802</v>
      </c>
      <c r="B20" s="273" t="s">
        <v>803</v>
      </c>
      <c r="C20" s="290">
        <v>5604094.42</v>
      </c>
      <c r="D20" s="291">
        <v>1417289.13</v>
      </c>
      <c r="E20" s="291">
        <v>1118418.65</v>
      </c>
      <c r="F20" s="291">
        <v>0</v>
      </c>
      <c r="G20" s="291">
        <v>0</v>
      </c>
      <c r="H20" s="291">
        <f>C20+D20+E20+F20+G20</f>
        <v>8139802.199999999</v>
      </c>
    </row>
    <row r="21" spans="2:8" ht="12.75" customHeight="1">
      <c r="B21" s="273"/>
      <c r="C21" s="290"/>
      <c r="D21" s="291"/>
      <c r="E21" s="291"/>
      <c r="F21" s="291"/>
      <c r="G21" s="291"/>
      <c r="H21" s="291"/>
    </row>
    <row r="22" spans="1:8" ht="12.75" customHeight="1">
      <c r="A22" s="251" t="s">
        <v>804</v>
      </c>
      <c r="B22" s="273" t="s">
        <v>805</v>
      </c>
      <c r="C22" s="290">
        <v>4169084.23</v>
      </c>
      <c r="D22" s="291">
        <v>1066134.04</v>
      </c>
      <c r="E22" s="291">
        <v>3185507.88</v>
      </c>
      <c r="F22" s="291">
        <v>0</v>
      </c>
      <c r="G22" s="291">
        <v>0</v>
      </c>
      <c r="H22" s="291">
        <f>C22+D22+E22+F22+G22</f>
        <v>8420726.149999999</v>
      </c>
    </row>
    <row r="23" spans="2:8" ht="12.75" customHeight="1">
      <c r="B23" s="273" t="s">
        <v>806</v>
      </c>
      <c r="C23" s="290"/>
      <c r="D23" s="291"/>
      <c r="E23" s="291"/>
      <c r="F23" s="291"/>
      <c r="G23" s="291"/>
      <c r="H23" s="291"/>
    </row>
    <row r="24" spans="1:8" ht="12.75" customHeight="1">
      <c r="A24" s="251" t="s">
        <v>2106</v>
      </c>
      <c r="B24" s="273" t="s">
        <v>807</v>
      </c>
      <c r="C24" s="290">
        <v>0</v>
      </c>
      <c r="D24" s="291">
        <v>0</v>
      </c>
      <c r="E24" s="291">
        <v>0</v>
      </c>
      <c r="F24" s="291">
        <v>1847000</v>
      </c>
      <c r="G24" s="291">
        <v>0</v>
      </c>
      <c r="H24" s="291">
        <f>C24+D24+E24+F24+G24</f>
        <v>1847000</v>
      </c>
    </row>
    <row r="25" spans="2:8" ht="12.75" customHeight="1">
      <c r="B25" s="273"/>
      <c r="C25" s="290"/>
      <c r="D25" s="291"/>
      <c r="E25" s="291"/>
      <c r="F25" s="291"/>
      <c r="G25" s="291"/>
      <c r="H25" s="291"/>
    </row>
    <row r="26" spans="2:8" s="292" customFormat="1" ht="12.75" customHeight="1">
      <c r="B26" s="279" t="s">
        <v>808</v>
      </c>
      <c r="C26" s="293">
        <f aca="true" t="shared" si="0" ref="C26:H26">+C24+C22+C20+C18+C16+C14+C12+C10</f>
        <v>67559640.36</v>
      </c>
      <c r="D26" s="293">
        <f t="shared" si="0"/>
        <v>14358680.809999999</v>
      </c>
      <c r="E26" s="293">
        <f t="shared" si="0"/>
        <v>29169737.63</v>
      </c>
      <c r="F26" s="293">
        <f t="shared" si="0"/>
        <v>1847000</v>
      </c>
      <c r="G26" s="293">
        <f t="shared" si="0"/>
        <v>0</v>
      </c>
      <c r="H26" s="293">
        <f t="shared" si="0"/>
        <v>112935058.80000001</v>
      </c>
    </row>
    <row r="27" spans="2:8" ht="12.75" customHeight="1">
      <c r="B27" s="273"/>
      <c r="C27" s="290"/>
      <c r="D27" s="291"/>
      <c r="E27" s="291"/>
      <c r="F27" s="291"/>
      <c r="G27" s="291"/>
      <c r="H27" s="291"/>
    </row>
    <row r="28" spans="1:8" ht="12.75" customHeight="1">
      <c r="A28" s="251" t="s">
        <v>809</v>
      </c>
      <c r="B28" s="273" t="s">
        <v>810</v>
      </c>
      <c r="C28" s="290">
        <v>1381225.06</v>
      </c>
      <c r="D28" s="291">
        <v>284180.3</v>
      </c>
      <c r="E28" s="291">
        <v>4531018.21</v>
      </c>
      <c r="F28" s="291">
        <v>0</v>
      </c>
      <c r="G28" s="291">
        <v>0</v>
      </c>
      <c r="H28" s="291">
        <f>C28+D28+E28+F28+G28</f>
        <v>6196423.57</v>
      </c>
    </row>
    <row r="29" spans="2:8" ht="12.75" customHeight="1">
      <c r="B29" s="273"/>
      <c r="C29" s="290"/>
      <c r="D29" s="291"/>
      <c r="E29" s="291"/>
      <c r="F29" s="291"/>
      <c r="G29" s="291"/>
      <c r="H29" s="291"/>
    </row>
    <row r="30" spans="2:8" s="292" customFormat="1" ht="12.75" customHeight="1">
      <c r="B30" s="279" t="s">
        <v>811</v>
      </c>
      <c r="C30" s="293">
        <f aca="true" t="shared" si="1" ref="C30:H30">C28+C26</f>
        <v>68940865.42</v>
      </c>
      <c r="D30" s="293">
        <f t="shared" si="1"/>
        <v>14642861.11</v>
      </c>
      <c r="E30" s="293">
        <f t="shared" si="1"/>
        <v>33700755.839999996</v>
      </c>
      <c r="F30" s="293">
        <f t="shared" si="1"/>
        <v>1847000</v>
      </c>
      <c r="G30" s="293">
        <f t="shared" si="1"/>
        <v>0</v>
      </c>
      <c r="H30" s="293">
        <f t="shared" si="1"/>
        <v>119131482.37</v>
      </c>
    </row>
    <row r="31" spans="2:8" ht="12.75" customHeight="1">
      <c r="B31" s="273"/>
      <c r="C31" s="290"/>
      <c r="D31" s="291"/>
      <c r="E31" s="291"/>
      <c r="F31" s="291"/>
      <c r="G31" s="291"/>
      <c r="H31" s="291"/>
    </row>
    <row r="32" spans="1:8" ht="12.75" customHeight="1">
      <c r="A32" s="251" t="s">
        <v>812</v>
      </c>
      <c r="B32" s="279" t="s">
        <v>813</v>
      </c>
      <c r="C32" s="294">
        <v>0</v>
      </c>
      <c r="D32" s="294">
        <v>0</v>
      </c>
      <c r="E32" s="294">
        <v>64163.99</v>
      </c>
      <c r="F32" s="294">
        <v>0</v>
      </c>
      <c r="G32" s="294">
        <v>0</v>
      </c>
      <c r="H32" s="294">
        <f>C32+D32+E32+F32+G32</f>
        <v>64163.99</v>
      </c>
    </row>
    <row r="33" spans="2:8" ht="12.75" customHeight="1">
      <c r="B33" s="279"/>
      <c r="C33" s="294"/>
      <c r="D33" s="294"/>
      <c r="E33" s="294"/>
      <c r="F33" s="294"/>
      <c r="G33" s="294"/>
      <c r="H33" s="294"/>
    </row>
    <row r="34" spans="1:8" ht="12.75" customHeight="1">
      <c r="A34" s="251" t="s">
        <v>814</v>
      </c>
      <c r="B34" s="279" t="s">
        <v>815</v>
      </c>
      <c r="C34" s="294">
        <v>0</v>
      </c>
      <c r="D34" s="294">
        <v>0</v>
      </c>
      <c r="E34" s="294">
        <v>6365.11</v>
      </c>
      <c r="F34" s="294">
        <v>0</v>
      </c>
      <c r="G34" s="294">
        <v>0</v>
      </c>
      <c r="H34" s="294">
        <f>C34+D34+E34+F34+G34</f>
        <v>6365.11</v>
      </c>
    </row>
    <row r="35" spans="2:8" ht="12.75" customHeight="1">
      <c r="B35" s="279"/>
      <c r="C35" s="294"/>
      <c r="D35" s="294"/>
      <c r="E35" s="294"/>
      <c r="F35" s="294"/>
      <c r="G35" s="294"/>
      <c r="H35" s="294"/>
    </row>
    <row r="36" spans="1:8" ht="12.75" customHeight="1">
      <c r="A36" s="251" t="s">
        <v>816</v>
      </c>
      <c r="B36" s="279" t="s">
        <v>817</v>
      </c>
      <c r="C36" s="294">
        <v>0</v>
      </c>
      <c r="D36" s="294">
        <v>0</v>
      </c>
      <c r="E36" s="294">
        <v>-4522248.53</v>
      </c>
      <c r="F36" s="294">
        <v>0</v>
      </c>
      <c r="G36" s="294">
        <v>0</v>
      </c>
      <c r="H36" s="294">
        <f>C36+D36+E36+F36+G36</f>
        <v>-4522248.53</v>
      </c>
    </row>
    <row r="37" spans="2:8" ht="12.75" customHeight="1">
      <c r="B37" s="279"/>
      <c r="C37" s="294"/>
      <c r="D37" s="294"/>
      <c r="E37" s="294"/>
      <c r="F37" s="294"/>
      <c r="G37" s="294"/>
      <c r="H37" s="294"/>
    </row>
    <row r="38" spans="2:8" ht="12.75" customHeight="1">
      <c r="B38" s="279" t="s">
        <v>789</v>
      </c>
      <c r="C38" s="294">
        <v>0</v>
      </c>
      <c r="D38" s="294">
        <v>0</v>
      </c>
      <c r="E38" s="294">
        <v>0</v>
      </c>
      <c r="F38" s="294">
        <v>0</v>
      </c>
      <c r="G38" s="294">
        <v>5745917.54</v>
      </c>
      <c r="H38" s="294">
        <f>C38+D38+E38+F38+G38</f>
        <v>5745917.54</v>
      </c>
    </row>
    <row r="39" spans="2:8" ht="12.75" customHeight="1">
      <c r="B39" s="273"/>
      <c r="C39" s="289"/>
      <c r="D39" s="289"/>
      <c r="E39" s="289"/>
      <c r="F39" s="289"/>
      <c r="G39" s="289"/>
      <c r="H39" s="289"/>
    </row>
    <row r="40" spans="2:8" s="292" customFormat="1" ht="12.75" customHeight="1">
      <c r="B40" s="279" t="s">
        <v>818</v>
      </c>
      <c r="C40" s="295">
        <f aca="true" t="shared" si="2" ref="C40:H40">C30+C32+C34+C36+C38</f>
        <v>68940865.42</v>
      </c>
      <c r="D40" s="295">
        <f t="shared" si="2"/>
        <v>14642861.11</v>
      </c>
      <c r="E40" s="295">
        <f t="shared" si="2"/>
        <v>29249036.409999996</v>
      </c>
      <c r="F40" s="295">
        <f t="shared" si="2"/>
        <v>1847000</v>
      </c>
      <c r="G40" s="295">
        <f t="shared" si="2"/>
        <v>5745917.54</v>
      </c>
      <c r="H40" s="295">
        <f t="shared" si="2"/>
        <v>120425680.48</v>
      </c>
    </row>
    <row r="41" spans="2:8" ht="12.75">
      <c r="B41" s="296"/>
      <c r="C41" s="297"/>
      <c r="D41" s="297"/>
      <c r="E41" s="297"/>
      <c r="F41" s="297"/>
      <c r="G41" s="297"/>
      <c r="H41" s="297"/>
    </row>
    <row r="42" spans="2:8" ht="12.75">
      <c r="B42" s="296" t="s">
        <v>819</v>
      </c>
      <c r="C42" s="297"/>
      <c r="D42" s="297"/>
      <c r="E42" s="297"/>
      <c r="F42" s="297"/>
      <c r="G42" s="297"/>
      <c r="H42" s="297"/>
    </row>
    <row r="43" spans="2:8" ht="12.75">
      <c r="B43" s="296" t="s">
        <v>820</v>
      </c>
      <c r="C43" s="297"/>
      <c r="D43" s="297"/>
      <c r="E43" s="297"/>
      <c r="F43" s="297"/>
      <c r="G43" s="297"/>
      <c r="H43" s="297"/>
    </row>
    <row r="44" spans="2:8" ht="9.75" customHeight="1">
      <c r="B44" s="296"/>
      <c r="C44" s="297"/>
      <c r="D44" s="297"/>
      <c r="E44" s="297"/>
      <c r="F44" s="297"/>
      <c r="G44" s="297"/>
      <c r="H44" s="297"/>
    </row>
    <row r="45" spans="2:8" ht="12.75">
      <c r="B45" s="296" t="s">
        <v>821</v>
      </c>
      <c r="C45" s="297"/>
      <c r="D45" s="297"/>
      <c r="E45" s="297"/>
      <c r="F45" s="297"/>
      <c r="G45" s="297"/>
      <c r="H45" s="297"/>
    </row>
    <row r="46" ht="9.75" customHeight="1"/>
    <row r="47" spans="1:18" ht="12.75">
      <c r="A47" s="298"/>
      <c r="B47" s="299" t="s">
        <v>822</v>
      </c>
      <c r="C47" s="300"/>
      <c r="D47" s="300"/>
      <c r="E47" s="300"/>
      <c r="F47" s="300"/>
      <c r="G47" s="300"/>
      <c r="H47" s="300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ht="9.75" customHeight="1"/>
    <row r="49" spans="1:18" ht="12.75">
      <c r="A49" s="298"/>
      <c r="B49" s="299" t="s">
        <v>823</v>
      </c>
      <c r="C49" s="300"/>
      <c r="D49" s="300"/>
      <c r="E49" s="300"/>
      <c r="F49" s="300"/>
      <c r="G49" s="300"/>
      <c r="H49" s="300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ht="9.75" customHeight="1"/>
    <row r="51" spans="1:18" ht="12.75">
      <c r="A51" s="298"/>
      <c r="B51" s="299" t="s">
        <v>824</v>
      </c>
      <c r="C51" s="300"/>
      <c r="D51" s="300"/>
      <c r="E51" s="300"/>
      <c r="F51" s="300"/>
      <c r="G51" s="300"/>
      <c r="H51" s="300"/>
      <c r="I51" s="298"/>
      <c r="J51" s="298"/>
      <c r="K51" s="298"/>
      <c r="L51" s="298"/>
      <c r="M51" s="298"/>
      <c r="N51" s="298"/>
      <c r="O51" s="298"/>
      <c r="P51" s="298"/>
      <c r="Q51" s="298"/>
      <c r="R51" s="298"/>
    </row>
    <row r="52" ht="9.75" customHeight="1"/>
    <row r="53" spans="1:18" ht="12.75">
      <c r="A53" s="298"/>
      <c r="B53" s="299" t="s">
        <v>825</v>
      </c>
      <c r="C53" s="300"/>
      <c r="D53" s="300"/>
      <c r="E53" s="300"/>
      <c r="F53" s="300"/>
      <c r="G53" s="300"/>
      <c r="H53" s="300"/>
      <c r="I53" s="298"/>
      <c r="J53" s="298"/>
      <c r="K53" s="298"/>
      <c r="L53" s="298"/>
      <c r="M53" s="298"/>
      <c r="N53" s="298"/>
      <c r="O53" s="298"/>
      <c r="P53" s="298"/>
      <c r="Q53" s="298"/>
      <c r="R53" s="298"/>
    </row>
    <row r="54" ht="9.75" customHeight="1"/>
    <row r="55" spans="1:18" ht="12.75">
      <c r="A55" s="298"/>
      <c r="B55" s="299" t="s">
        <v>826</v>
      </c>
      <c r="C55" s="300"/>
      <c r="D55" s="300"/>
      <c r="E55" s="300"/>
      <c r="F55" s="300"/>
      <c r="G55" s="300"/>
      <c r="H55" s="300"/>
      <c r="I55" s="298"/>
      <c r="J55" s="298"/>
      <c r="K55" s="298"/>
      <c r="L55" s="298"/>
      <c r="M55" s="298"/>
      <c r="N55" s="298"/>
      <c r="O55" s="298"/>
      <c r="P55" s="298"/>
      <c r="Q55" s="298"/>
      <c r="R55" s="298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301" hidden="1" customWidth="1"/>
    <col min="2" max="2" width="3.00390625" style="301" customWidth="1"/>
    <col min="3" max="3" width="65.7109375" style="331" customWidth="1"/>
    <col min="4" max="7" width="18.7109375" style="332" customWidth="1"/>
    <col min="8" max="8" width="18.7109375" style="306" customWidth="1"/>
    <col min="9" max="9" width="13.421875" style="306" hidden="1" customWidth="1"/>
    <col min="10" max="12" width="10.28125" style="306" hidden="1" customWidth="1"/>
    <col min="13" max="16384" width="10.28125" style="306" customWidth="1"/>
  </cols>
  <sheetData>
    <row r="1" spans="1:8" ht="12.75" hidden="1">
      <c r="A1" s="301" t="s">
        <v>780</v>
      </c>
      <c r="B1" s="302"/>
      <c r="C1" s="303" t="s">
        <v>2107</v>
      </c>
      <c r="D1" s="304" t="s">
        <v>827</v>
      </c>
      <c r="E1" s="304" t="s">
        <v>828</v>
      </c>
      <c r="F1" s="304" t="s">
        <v>829</v>
      </c>
      <c r="G1" s="304" t="s">
        <v>830</v>
      </c>
      <c r="H1" s="305" t="s">
        <v>2108</v>
      </c>
    </row>
    <row r="2" spans="2:12" ht="15.75" customHeight="1">
      <c r="B2" s="307" t="str">
        <f>"University of Missouri - "&amp;RBN</f>
        <v>University of Missouri - Rolla</v>
      </c>
      <c r="C2" s="308"/>
      <c r="D2" s="309"/>
      <c r="E2" s="310"/>
      <c r="F2" s="309"/>
      <c r="G2" s="309"/>
      <c r="H2" s="311"/>
      <c r="I2" s="312" t="s">
        <v>785</v>
      </c>
      <c r="J2" s="306" t="s">
        <v>2276</v>
      </c>
      <c r="L2" s="313" t="s">
        <v>784</v>
      </c>
    </row>
    <row r="3" spans="2:12" ht="15.75" customHeight="1">
      <c r="B3" s="314" t="s">
        <v>831</v>
      </c>
      <c r="C3" s="308"/>
      <c r="D3" s="315"/>
      <c r="E3" s="316"/>
      <c r="F3" s="315"/>
      <c r="G3" s="315"/>
      <c r="H3" s="317"/>
      <c r="I3" s="318">
        <f ca="1">NOW()</f>
        <v>38440.613092708336</v>
      </c>
      <c r="L3" s="313" t="s">
        <v>832</v>
      </c>
    </row>
    <row r="4" spans="2:12" ht="15.75" customHeight="1">
      <c r="B4" s="319" t="str">
        <f>"As of "&amp;TEXT(L4,"MMMM DD, YYYY")</f>
        <v>As of June 30, 2004</v>
      </c>
      <c r="C4" s="308"/>
      <c r="D4" s="315"/>
      <c r="E4" s="316"/>
      <c r="F4" s="315"/>
      <c r="G4" s="315"/>
      <c r="H4" s="317"/>
      <c r="I4" s="320">
        <f ca="1">NOW()</f>
        <v>38440.613092708336</v>
      </c>
      <c r="L4" s="313" t="s">
        <v>2275</v>
      </c>
    </row>
    <row r="5" spans="2:12" ht="12.75" customHeight="1">
      <c r="B5" s="321"/>
      <c r="C5" s="308"/>
      <c r="D5" s="322"/>
      <c r="E5" s="323"/>
      <c r="F5" s="322"/>
      <c r="G5" s="322"/>
      <c r="H5" s="324"/>
      <c r="I5" s="325"/>
      <c r="L5" s="313"/>
    </row>
    <row r="6" spans="2:8" ht="51">
      <c r="B6" s="326"/>
      <c r="C6" s="327"/>
      <c r="D6" s="328" t="s">
        <v>833</v>
      </c>
      <c r="E6" s="329" t="s">
        <v>834</v>
      </c>
      <c r="F6" s="329" t="s">
        <v>835</v>
      </c>
      <c r="G6" s="328" t="s">
        <v>836</v>
      </c>
      <c r="H6" s="330" t="s">
        <v>837</v>
      </c>
    </row>
    <row r="7" spans="2:7" ht="12.75">
      <c r="B7" s="313" t="s">
        <v>838</v>
      </c>
      <c r="E7" s="333"/>
      <c r="F7" s="333"/>
      <c r="G7" s="334"/>
    </row>
    <row r="8" spans="1:8" ht="12.75" outlineLevel="1">
      <c r="A8" s="301" t="s">
        <v>839</v>
      </c>
      <c r="B8" s="302"/>
      <c r="C8" s="303" t="s">
        <v>840</v>
      </c>
      <c r="D8" s="335">
        <v>76338.47</v>
      </c>
      <c r="E8" s="335">
        <v>417167.64</v>
      </c>
      <c r="F8" s="335">
        <v>690636.34</v>
      </c>
      <c r="G8" s="335">
        <v>232682.27</v>
      </c>
      <c r="H8" s="335">
        <f aca="true" t="shared" si="0" ref="H8:H14">D8+E8-F8+G8</f>
        <v>35552.04000000001</v>
      </c>
    </row>
    <row r="9" spans="1:8" ht="12.75" outlineLevel="1">
      <c r="A9" s="301" t="s">
        <v>841</v>
      </c>
      <c r="B9" s="302"/>
      <c r="C9" s="336" t="s">
        <v>842</v>
      </c>
      <c r="D9" s="337">
        <v>143551.72</v>
      </c>
      <c r="E9" s="337">
        <v>7249679.4799999995</v>
      </c>
      <c r="F9" s="337">
        <v>5119708.64</v>
      </c>
      <c r="G9" s="337">
        <v>-1515452.72</v>
      </c>
      <c r="H9" s="337">
        <f t="shared" si="0"/>
        <v>758069.8399999996</v>
      </c>
    </row>
    <row r="10" spans="1:8" ht="12.75" outlineLevel="1">
      <c r="A10" s="301" t="s">
        <v>843</v>
      </c>
      <c r="B10" s="302"/>
      <c r="C10" s="336" t="s">
        <v>844</v>
      </c>
      <c r="D10" s="337">
        <v>86788.76</v>
      </c>
      <c r="E10" s="337">
        <v>246284.71</v>
      </c>
      <c r="F10" s="337">
        <v>233553.18</v>
      </c>
      <c r="G10" s="337">
        <v>4000.73</v>
      </c>
      <c r="H10" s="337">
        <f t="shared" si="0"/>
        <v>103521.01999999997</v>
      </c>
    </row>
    <row r="11" spans="1:8" ht="12.75" outlineLevel="1">
      <c r="A11" s="301" t="s">
        <v>845</v>
      </c>
      <c r="B11" s="302"/>
      <c r="C11" s="336" t="s">
        <v>846</v>
      </c>
      <c r="D11" s="337">
        <v>0</v>
      </c>
      <c r="E11" s="337">
        <v>1013542</v>
      </c>
      <c r="F11" s="337">
        <v>0</v>
      </c>
      <c r="G11" s="337">
        <v>-274521.84</v>
      </c>
      <c r="H11" s="337">
        <f t="shared" si="0"/>
        <v>739020.1599999999</v>
      </c>
    </row>
    <row r="12" spans="1:8" ht="12.75" outlineLevel="1">
      <c r="A12" s="301" t="s">
        <v>847</v>
      </c>
      <c r="B12" s="302"/>
      <c r="C12" s="336" t="s">
        <v>848</v>
      </c>
      <c r="D12" s="337">
        <v>208102.75</v>
      </c>
      <c r="E12" s="337">
        <v>0</v>
      </c>
      <c r="F12" s="337">
        <v>0</v>
      </c>
      <c r="G12" s="337">
        <v>0</v>
      </c>
      <c r="H12" s="337">
        <f t="shared" si="0"/>
        <v>208102.75</v>
      </c>
    </row>
    <row r="13" spans="1:8" ht="12.75" outlineLevel="1">
      <c r="A13" s="301" t="s">
        <v>849</v>
      </c>
      <c r="B13" s="302"/>
      <c r="C13" s="336" t="s">
        <v>850</v>
      </c>
      <c r="D13" s="337">
        <v>-5731.85</v>
      </c>
      <c r="E13" s="337">
        <v>122961.66</v>
      </c>
      <c r="F13" s="337">
        <v>152525.41</v>
      </c>
      <c r="G13" s="337">
        <v>30452.69</v>
      </c>
      <c r="H13" s="337">
        <f t="shared" si="0"/>
        <v>-4842.910000000007</v>
      </c>
    </row>
    <row r="14" spans="1:8" s="313" customFormat="1" ht="12.75">
      <c r="A14" s="338" t="s">
        <v>851</v>
      </c>
      <c r="B14" s="338"/>
      <c r="C14" s="339" t="s">
        <v>852</v>
      </c>
      <c r="D14" s="340">
        <v>509049.85</v>
      </c>
      <c r="E14" s="340">
        <v>9049635.489999998</v>
      </c>
      <c r="F14" s="340">
        <v>6196423.570000002</v>
      </c>
      <c r="G14" s="341">
        <v>-1522838.87</v>
      </c>
      <c r="H14" s="340">
        <f t="shared" si="0"/>
        <v>1839422.8999999957</v>
      </c>
    </row>
    <row r="15" spans="3:8" ht="12.75">
      <c r="C15" s="342"/>
      <c r="D15" s="343"/>
      <c r="E15" s="343"/>
      <c r="F15" s="343"/>
      <c r="G15" s="343"/>
      <c r="H15" s="343"/>
    </row>
    <row r="16" spans="2:8" ht="12.75">
      <c r="B16" s="313" t="s">
        <v>853</v>
      </c>
      <c r="C16" s="342"/>
      <c r="D16" s="343"/>
      <c r="E16" s="343"/>
      <c r="F16" s="343"/>
      <c r="G16" s="343"/>
      <c r="H16" s="343"/>
    </row>
    <row r="17" spans="1:8" ht="12.75" outlineLevel="1">
      <c r="A17" s="301" t="s">
        <v>2540</v>
      </c>
      <c r="B17" s="302"/>
      <c r="C17" s="336" t="s">
        <v>2554</v>
      </c>
      <c r="D17" s="337">
        <v>477926.78</v>
      </c>
      <c r="E17" s="337">
        <v>0</v>
      </c>
      <c r="F17" s="337">
        <v>520716.3</v>
      </c>
      <c r="G17" s="337">
        <v>0</v>
      </c>
      <c r="H17" s="337">
        <f aca="true" t="shared" si="1" ref="H17:H24">D17+E17-F17+G17</f>
        <v>-42789.51999999996</v>
      </c>
    </row>
    <row r="18" spans="1:8" ht="12.75" outlineLevel="1">
      <c r="A18" s="301" t="s">
        <v>2541</v>
      </c>
      <c r="B18" s="302"/>
      <c r="C18" s="336" t="s">
        <v>2555</v>
      </c>
      <c r="D18" s="337">
        <v>-17182.71</v>
      </c>
      <c r="E18" s="337">
        <v>0</v>
      </c>
      <c r="F18" s="337">
        <v>-443278.22</v>
      </c>
      <c r="G18" s="337">
        <v>0</v>
      </c>
      <c r="H18" s="337">
        <f t="shared" si="1"/>
        <v>426095.50999999995</v>
      </c>
    </row>
    <row r="19" spans="1:8" ht="12.75" outlineLevel="1">
      <c r="A19" s="301" t="s">
        <v>2542</v>
      </c>
      <c r="B19" s="302"/>
      <c r="C19" s="336" t="s">
        <v>2556</v>
      </c>
      <c r="D19" s="337">
        <v>-7712.92</v>
      </c>
      <c r="E19" s="337">
        <v>29310.96</v>
      </c>
      <c r="F19" s="337">
        <v>37170.32</v>
      </c>
      <c r="G19" s="337">
        <v>4887.95</v>
      </c>
      <c r="H19" s="337">
        <f t="shared" si="1"/>
        <v>-10684.329999999998</v>
      </c>
    </row>
    <row r="20" spans="1:8" ht="12.75" outlineLevel="1">
      <c r="A20" s="301" t="s">
        <v>2543</v>
      </c>
      <c r="B20" s="302"/>
      <c r="C20" s="336" t="s">
        <v>2557</v>
      </c>
      <c r="D20" s="337">
        <v>25564.22</v>
      </c>
      <c r="E20" s="337">
        <v>4325.37</v>
      </c>
      <c r="F20" s="337">
        <v>1013.39</v>
      </c>
      <c r="G20" s="337">
        <v>-25560</v>
      </c>
      <c r="H20" s="337">
        <f t="shared" si="1"/>
        <v>3316.2000000000007</v>
      </c>
    </row>
    <row r="21" spans="1:8" ht="12.75" outlineLevel="1">
      <c r="A21" s="301" t="s">
        <v>2544</v>
      </c>
      <c r="B21" s="302"/>
      <c r="C21" s="336" t="s">
        <v>2558</v>
      </c>
      <c r="D21" s="337">
        <v>-15401.67</v>
      </c>
      <c r="E21" s="337">
        <v>12773.16</v>
      </c>
      <c r="F21" s="337">
        <v>34123.48999999993</v>
      </c>
      <c r="G21" s="337">
        <v>17853.29</v>
      </c>
      <c r="H21" s="337">
        <f t="shared" si="1"/>
        <v>-18898.709999999934</v>
      </c>
    </row>
    <row r="22" spans="1:8" ht="12.75" outlineLevel="1">
      <c r="A22" s="301" t="s">
        <v>2545</v>
      </c>
      <c r="B22" s="302"/>
      <c r="C22" s="336" t="s">
        <v>2559</v>
      </c>
      <c r="D22" s="337">
        <v>30000</v>
      </c>
      <c r="E22" s="337">
        <v>0</v>
      </c>
      <c r="F22" s="337">
        <v>-20000</v>
      </c>
      <c r="G22" s="337">
        <v>0</v>
      </c>
      <c r="H22" s="337">
        <f t="shared" si="1"/>
        <v>50000</v>
      </c>
    </row>
    <row r="23" spans="1:8" ht="12.75" outlineLevel="1">
      <c r="A23" s="301" t="s">
        <v>2546</v>
      </c>
      <c r="B23" s="302"/>
      <c r="C23" s="336" t="s">
        <v>2560</v>
      </c>
      <c r="D23" s="337">
        <v>147062.64</v>
      </c>
      <c r="E23" s="337">
        <v>298.24</v>
      </c>
      <c r="F23" s="337">
        <v>-152252.06</v>
      </c>
      <c r="G23" s="337">
        <v>-181216.03</v>
      </c>
      <c r="H23" s="337">
        <f t="shared" si="1"/>
        <v>118396.91</v>
      </c>
    </row>
    <row r="24" spans="1:8" s="313" customFormat="1" ht="12.75">
      <c r="A24" s="338" t="s">
        <v>2547</v>
      </c>
      <c r="B24" s="338"/>
      <c r="C24" s="339" t="s">
        <v>854</v>
      </c>
      <c r="D24" s="344">
        <v>640256.34</v>
      </c>
      <c r="E24" s="344">
        <v>46707.73</v>
      </c>
      <c r="F24" s="344">
        <v>-22506.77999999994</v>
      </c>
      <c r="G24" s="344">
        <v>-184034.79</v>
      </c>
      <c r="H24" s="344">
        <f t="shared" si="1"/>
        <v>525436.0599999998</v>
      </c>
    </row>
    <row r="25" spans="3:8" ht="12.75">
      <c r="C25" s="345"/>
      <c r="D25" s="343"/>
      <c r="E25" s="343"/>
      <c r="F25" s="343"/>
      <c r="G25" s="343"/>
      <c r="H25" s="343"/>
    </row>
    <row r="26" spans="3:8" ht="12.75" hidden="1">
      <c r="C26" s="654" t="s">
        <v>855</v>
      </c>
      <c r="D26" s="655"/>
      <c r="E26" s="655"/>
      <c r="F26" s="343"/>
      <c r="G26" s="343"/>
      <c r="H26" s="343"/>
    </row>
    <row r="27" spans="1:8" ht="12.75" hidden="1">
      <c r="A27" s="301" t="s">
        <v>2260</v>
      </c>
      <c r="C27" s="346" t="s">
        <v>2294</v>
      </c>
      <c r="D27" s="343">
        <v>0</v>
      </c>
      <c r="E27" s="343">
        <v>0</v>
      </c>
      <c r="F27" s="343">
        <v>0</v>
      </c>
      <c r="G27" s="343">
        <v>-27500</v>
      </c>
      <c r="H27" s="340">
        <f>D27+E27-F27+G27</f>
        <v>-27500</v>
      </c>
    </row>
    <row r="28" spans="1:8" ht="12.75" hidden="1">
      <c r="A28" s="301" t="s">
        <v>856</v>
      </c>
      <c r="C28" s="346" t="s">
        <v>857</v>
      </c>
      <c r="D28" s="343">
        <v>13908202.36</v>
      </c>
      <c r="E28" s="343">
        <v>36632943.82000001</v>
      </c>
      <c r="F28" s="343">
        <v>80969537.62000005</v>
      </c>
      <c r="G28" s="343">
        <v>47154114.85</v>
      </c>
      <c r="H28" s="340">
        <f>D28+E28-F28+G28</f>
        <v>16725723.40999996</v>
      </c>
    </row>
    <row r="29" spans="1:8" ht="12.75" hidden="1">
      <c r="A29" s="301" t="s">
        <v>858</v>
      </c>
      <c r="C29" s="346" t="s">
        <v>859</v>
      </c>
      <c r="D29" s="343">
        <v>0</v>
      </c>
      <c r="E29" s="343">
        <v>0</v>
      </c>
      <c r="F29" s="343">
        <v>0</v>
      </c>
      <c r="G29" s="343">
        <v>0</v>
      </c>
      <c r="H29" s="340">
        <f>D29+E29-F29+G29</f>
        <v>0</v>
      </c>
    </row>
    <row r="30" spans="3:8" ht="12.75" hidden="1">
      <c r="C30" s="347" t="s">
        <v>860</v>
      </c>
      <c r="D30" s="344">
        <f>D14+D24+D27+D28+D29</f>
        <v>15057508.549999999</v>
      </c>
      <c r="E30" s="344">
        <f>E14+E24+E27+E28+E29</f>
        <v>45729287.04000001</v>
      </c>
      <c r="F30" s="344">
        <f>F14+F24+F27+F28+F29</f>
        <v>87143454.41000006</v>
      </c>
      <c r="G30" s="344">
        <f>G14+G24+G27+G28+G29</f>
        <v>45419741.19</v>
      </c>
      <c r="H30" s="344">
        <f>H14+H24+H27+H28+H29</f>
        <v>19063082.369999953</v>
      </c>
    </row>
  </sheetData>
  <mergeCells count="1">
    <mergeCell ref="C26:E26"/>
  </mergeCells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303"/>
  <sheetViews>
    <sheetView workbookViewId="0" topLeftCell="A2">
      <pane xSplit="3" ySplit="5" topLeftCell="D7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7" sqref="B7"/>
    </sheetView>
  </sheetViews>
  <sheetFormatPr defaultColWidth="9.140625" defaultRowHeight="12.75" outlineLevelRow="1"/>
  <cols>
    <col min="1" max="1" width="4.7109375" style="362" hidden="1" customWidth="1"/>
    <col min="2" max="2" width="87.57421875" style="362" customWidth="1"/>
    <col min="3" max="3" width="7.00390625" style="349" customWidth="1"/>
    <col min="4" max="4" width="16.140625" style="394" customWidth="1"/>
    <col min="5" max="7" width="16.140625" style="362" customWidth="1"/>
    <col min="8" max="8" width="0" style="351" hidden="1" customWidth="1"/>
    <col min="9" max="50" width="8.00390625" style="351" customWidth="1"/>
    <col min="51" max="16384" width="8.00390625" style="362" customWidth="1"/>
  </cols>
  <sheetData>
    <row r="1" spans="1:50" s="348" customFormat="1" ht="110.25" customHeight="1" hidden="1">
      <c r="A1" s="348" t="s">
        <v>780</v>
      </c>
      <c r="B1" s="348" t="s">
        <v>2107</v>
      </c>
      <c r="C1" s="349" t="s">
        <v>2537</v>
      </c>
      <c r="D1" s="350" t="s">
        <v>861</v>
      </c>
      <c r="E1" s="348" t="s">
        <v>862</v>
      </c>
      <c r="F1" s="348" t="s">
        <v>863</v>
      </c>
      <c r="G1" s="348" t="s">
        <v>864</v>
      </c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</row>
    <row r="2" spans="2:50" s="352" customFormat="1" ht="15.75" customHeight="1">
      <c r="B2" s="353" t="str">
        <f>"University of Missouri - "&amp;H2</f>
        <v>University of Missouri - Rolla</v>
      </c>
      <c r="C2" s="354"/>
      <c r="D2" s="354"/>
      <c r="E2" s="355"/>
      <c r="F2" s="356"/>
      <c r="G2" s="356"/>
      <c r="H2" s="357" t="s">
        <v>2276</v>
      </c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</row>
    <row r="3" spans="2:50" s="352" customFormat="1" ht="15.75" customHeight="1">
      <c r="B3" s="358" t="s">
        <v>865</v>
      </c>
      <c r="C3" s="359"/>
      <c r="D3" s="359"/>
      <c r="E3" s="360"/>
      <c r="F3" s="361"/>
      <c r="G3" s="361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</row>
    <row r="4" spans="2:8" ht="15.75" customHeight="1">
      <c r="B4" s="363" t="str">
        <f>"For the Year Ending "&amp;TEXT(H4,"MMMM DD, YYY")</f>
        <v>For the Year Ending June 30, 2004</v>
      </c>
      <c r="C4" s="364"/>
      <c r="D4" s="364"/>
      <c r="E4" s="365"/>
      <c r="F4" s="366"/>
      <c r="G4" s="366"/>
      <c r="H4" s="351" t="s">
        <v>2275</v>
      </c>
    </row>
    <row r="5" spans="2:7" ht="12.75" customHeight="1">
      <c r="B5" s="367"/>
      <c r="C5" s="368"/>
      <c r="D5" s="369"/>
      <c r="E5" s="370"/>
      <c r="F5" s="371"/>
      <c r="G5" s="371"/>
    </row>
    <row r="6" spans="2:7" ht="30" customHeight="1">
      <c r="B6" s="372"/>
      <c r="C6" s="373"/>
      <c r="D6" s="374" t="s">
        <v>866</v>
      </c>
      <c r="E6" s="374" t="s">
        <v>867</v>
      </c>
      <c r="F6" s="374" t="s">
        <v>844</v>
      </c>
      <c r="G6" s="374" t="s">
        <v>846</v>
      </c>
    </row>
    <row r="7" spans="2:7" ht="12.75" customHeight="1">
      <c r="B7" s="372"/>
      <c r="C7" s="373"/>
      <c r="D7" s="375"/>
      <c r="E7" s="375"/>
      <c r="F7" s="375"/>
      <c r="G7" s="375"/>
    </row>
    <row r="8" spans="2:7" ht="12.75" customHeight="1">
      <c r="B8" s="376" t="s">
        <v>2162</v>
      </c>
      <c r="C8" s="377"/>
      <c r="D8" s="378"/>
      <c r="E8" s="378"/>
      <c r="F8" s="378"/>
      <c r="G8" s="378"/>
    </row>
    <row r="9" spans="1:50" s="348" customFormat="1" ht="38.25" hidden="1" outlineLevel="1">
      <c r="A9" s="348" t="s">
        <v>2648</v>
      </c>
      <c r="B9" s="348" t="s">
        <v>2649</v>
      </c>
      <c r="C9" s="349" t="s">
        <v>2650</v>
      </c>
      <c r="D9" s="350">
        <v>61651.72</v>
      </c>
      <c r="E9" s="348">
        <v>22023.04</v>
      </c>
      <c r="F9" s="348">
        <v>0</v>
      </c>
      <c r="G9" s="348">
        <v>0</v>
      </c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</row>
    <row r="10" spans="1:50" s="348" customFormat="1" ht="38.25" hidden="1" outlineLevel="1">
      <c r="A10" s="348" t="s">
        <v>2651</v>
      </c>
      <c r="B10" s="348" t="s">
        <v>2652</v>
      </c>
      <c r="C10" s="349" t="s">
        <v>2653</v>
      </c>
      <c r="D10" s="350">
        <v>-1013542</v>
      </c>
      <c r="E10" s="348">
        <v>-21839</v>
      </c>
      <c r="F10" s="348">
        <v>0</v>
      </c>
      <c r="G10" s="348">
        <v>1013542</v>
      </c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</row>
    <row r="11" spans="1:50" s="348" customFormat="1" ht="38.25" hidden="1" outlineLevel="1">
      <c r="A11" s="348" t="s">
        <v>2657</v>
      </c>
      <c r="B11" s="348" t="s">
        <v>2658</v>
      </c>
      <c r="C11" s="349" t="s">
        <v>2659</v>
      </c>
      <c r="D11" s="350">
        <v>690465.71</v>
      </c>
      <c r="E11" s="348">
        <v>287033.83</v>
      </c>
      <c r="F11" s="348">
        <v>0</v>
      </c>
      <c r="G11" s="348">
        <v>0</v>
      </c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</row>
    <row r="12" spans="1:50" s="348" customFormat="1" ht="38.25" hidden="1" outlineLevel="1">
      <c r="A12" s="348" t="s">
        <v>2660</v>
      </c>
      <c r="B12" s="348" t="s">
        <v>2661</v>
      </c>
      <c r="C12" s="349" t="s">
        <v>2662</v>
      </c>
      <c r="D12" s="350">
        <v>622688.15</v>
      </c>
      <c r="E12" s="348">
        <v>258856.99</v>
      </c>
      <c r="F12" s="348">
        <v>0</v>
      </c>
      <c r="G12" s="348">
        <v>0</v>
      </c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</row>
    <row r="13" spans="1:50" s="348" customFormat="1" ht="38.25" hidden="1" outlineLevel="1">
      <c r="A13" s="348" t="s">
        <v>2668</v>
      </c>
      <c r="B13" s="348" t="s">
        <v>2669</v>
      </c>
      <c r="C13" s="349" t="s">
        <v>2670</v>
      </c>
      <c r="D13" s="350">
        <v>0</v>
      </c>
      <c r="E13" s="348">
        <v>-7393.09</v>
      </c>
      <c r="F13" s="348">
        <v>0</v>
      </c>
      <c r="G13" s="348">
        <v>0</v>
      </c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</row>
    <row r="14" spans="1:50" s="348" customFormat="1" ht="38.25" hidden="1" outlineLevel="1">
      <c r="A14" s="348" t="s">
        <v>2671</v>
      </c>
      <c r="B14" s="348" t="s">
        <v>2672</v>
      </c>
      <c r="C14" s="349" t="s">
        <v>2673</v>
      </c>
      <c r="D14" s="350">
        <v>0</v>
      </c>
      <c r="E14" s="348">
        <v>-91411.61</v>
      </c>
      <c r="F14" s="348">
        <v>0</v>
      </c>
      <c r="G14" s="348">
        <v>0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</row>
    <row r="15" spans="1:50" s="348" customFormat="1" ht="38.25" hidden="1" outlineLevel="1">
      <c r="A15" s="348" t="s">
        <v>2674</v>
      </c>
      <c r="B15" s="348" t="s">
        <v>2675</v>
      </c>
      <c r="C15" s="349" t="s">
        <v>2676</v>
      </c>
      <c r="D15" s="350">
        <v>-60805</v>
      </c>
      <c r="E15" s="348">
        <v>-135734.1</v>
      </c>
      <c r="F15" s="348">
        <v>0</v>
      </c>
      <c r="G15" s="348">
        <v>0</v>
      </c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</row>
    <row r="16" spans="1:50" s="348" customFormat="1" ht="38.25" hidden="1" outlineLevel="1">
      <c r="A16" s="348" t="s">
        <v>2680</v>
      </c>
      <c r="B16" s="348" t="s">
        <v>2681</v>
      </c>
      <c r="C16" s="349" t="s">
        <v>2682</v>
      </c>
      <c r="D16" s="350">
        <v>-6750</v>
      </c>
      <c r="E16" s="348">
        <v>-4000</v>
      </c>
      <c r="F16" s="348">
        <v>0</v>
      </c>
      <c r="G16" s="348">
        <v>0</v>
      </c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</row>
    <row r="17" spans="1:50" s="348" customFormat="1" ht="38.25" hidden="1" outlineLevel="1">
      <c r="A17" s="348" t="s">
        <v>2683</v>
      </c>
      <c r="B17" s="348" t="s">
        <v>2684</v>
      </c>
      <c r="C17" s="349" t="s">
        <v>2685</v>
      </c>
      <c r="D17" s="350">
        <v>-25738.13</v>
      </c>
      <c r="E17" s="348">
        <v>-5825.05</v>
      </c>
      <c r="F17" s="348">
        <v>0</v>
      </c>
      <c r="G17" s="348">
        <v>0</v>
      </c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</row>
    <row r="18" spans="1:50" s="348" customFormat="1" ht="38.25" hidden="1" outlineLevel="1">
      <c r="A18" s="348" t="s">
        <v>2686</v>
      </c>
      <c r="B18" s="348" t="s">
        <v>2687</v>
      </c>
      <c r="C18" s="349" t="s">
        <v>2688</v>
      </c>
      <c r="D18" s="350">
        <v>-10911</v>
      </c>
      <c r="E18" s="348">
        <v>-14892.7</v>
      </c>
      <c r="F18" s="348">
        <v>0</v>
      </c>
      <c r="G18" s="348">
        <v>0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</row>
    <row r="19" spans="1:50" s="348" customFormat="1" ht="38.25" hidden="1" outlineLevel="1">
      <c r="A19" s="348" t="s">
        <v>868</v>
      </c>
      <c r="B19" s="348" t="s">
        <v>869</v>
      </c>
      <c r="C19" s="349" t="s">
        <v>870</v>
      </c>
      <c r="D19" s="350">
        <v>-202835.93</v>
      </c>
      <c r="E19" s="348">
        <v>0</v>
      </c>
      <c r="F19" s="348">
        <v>0</v>
      </c>
      <c r="G19" s="348">
        <v>0</v>
      </c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</row>
    <row r="20" spans="1:50" ht="12.75" customHeight="1" collapsed="1">
      <c r="A20" s="362" t="s">
        <v>871</v>
      </c>
      <c r="B20" s="379" t="s">
        <v>872</v>
      </c>
      <c r="C20" s="380"/>
      <c r="D20" s="381">
        <v>54223.52</v>
      </c>
      <c r="E20" s="381">
        <v>286818.31</v>
      </c>
      <c r="F20" s="381">
        <v>0</v>
      </c>
      <c r="G20" s="381">
        <v>1013542</v>
      </c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</row>
    <row r="21" spans="1:50" s="348" customFormat="1" ht="38.25" hidden="1" outlineLevel="1">
      <c r="A21" s="348" t="s">
        <v>2703</v>
      </c>
      <c r="B21" s="348" t="s">
        <v>2704</v>
      </c>
      <c r="C21" s="349" t="s">
        <v>2705</v>
      </c>
      <c r="D21" s="350">
        <v>4925.07</v>
      </c>
      <c r="E21" s="348">
        <v>0</v>
      </c>
      <c r="F21" s="348">
        <v>0</v>
      </c>
      <c r="G21" s="348">
        <v>0</v>
      </c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</row>
    <row r="22" spans="1:50" s="348" customFormat="1" ht="38.25" hidden="1" outlineLevel="1">
      <c r="A22" s="348" t="s">
        <v>2706</v>
      </c>
      <c r="B22" s="348" t="s">
        <v>2707</v>
      </c>
      <c r="C22" s="349" t="s">
        <v>2708</v>
      </c>
      <c r="D22" s="350">
        <v>3163.47</v>
      </c>
      <c r="E22" s="348">
        <v>2265.78</v>
      </c>
      <c r="F22" s="348">
        <v>0</v>
      </c>
      <c r="G22" s="348">
        <v>0</v>
      </c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</row>
    <row r="23" spans="1:50" s="348" customFormat="1" ht="38.25" hidden="1" outlineLevel="1">
      <c r="A23" s="348" t="s">
        <v>2709</v>
      </c>
      <c r="B23" s="348" t="s">
        <v>2710</v>
      </c>
      <c r="C23" s="349" t="s">
        <v>2711</v>
      </c>
      <c r="D23" s="350">
        <v>0</v>
      </c>
      <c r="E23" s="348">
        <v>46764.75</v>
      </c>
      <c r="F23" s="348">
        <v>0</v>
      </c>
      <c r="G23" s="348">
        <v>0</v>
      </c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</row>
    <row r="24" spans="1:50" s="348" customFormat="1" ht="38.25" hidden="1" outlineLevel="1">
      <c r="A24" s="348" t="s">
        <v>873</v>
      </c>
      <c r="B24" s="348" t="s">
        <v>874</v>
      </c>
      <c r="C24" s="349" t="s">
        <v>875</v>
      </c>
      <c r="D24" s="350">
        <v>0</v>
      </c>
      <c r="E24" s="348">
        <v>15043.75</v>
      </c>
      <c r="F24" s="348">
        <v>0</v>
      </c>
      <c r="G24" s="348">
        <v>0</v>
      </c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</row>
    <row r="25" spans="1:50" s="348" customFormat="1" ht="38.25" hidden="1" outlineLevel="1">
      <c r="A25" s="348" t="s">
        <v>2715</v>
      </c>
      <c r="B25" s="348" t="s">
        <v>2716</v>
      </c>
      <c r="C25" s="349" t="s">
        <v>2717</v>
      </c>
      <c r="D25" s="350">
        <v>367.86</v>
      </c>
      <c r="E25" s="348">
        <v>0</v>
      </c>
      <c r="F25" s="348">
        <v>0</v>
      </c>
      <c r="G25" s="348">
        <v>0</v>
      </c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</row>
    <row r="26" spans="1:50" s="348" customFormat="1" ht="38.25" hidden="1" outlineLevel="1">
      <c r="A26" s="348" t="s">
        <v>2721</v>
      </c>
      <c r="B26" s="348" t="s">
        <v>2722</v>
      </c>
      <c r="C26" s="349" t="s">
        <v>2723</v>
      </c>
      <c r="D26" s="350">
        <v>447571.27</v>
      </c>
      <c r="E26" s="348">
        <v>0</v>
      </c>
      <c r="F26" s="348">
        <v>0</v>
      </c>
      <c r="G26" s="348">
        <v>0</v>
      </c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</row>
    <row r="27" spans="1:50" s="348" customFormat="1" ht="38.25" hidden="1" outlineLevel="1">
      <c r="A27" s="348" t="s">
        <v>876</v>
      </c>
      <c r="B27" s="348" t="s">
        <v>877</v>
      </c>
      <c r="C27" s="349" t="s">
        <v>878</v>
      </c>
      <c r="D27" s="350">
        <v>0</v>
      </c>
      <c r="E27" s="348">
        <v>10555</v>
      </c>
      <c r="F27" s="348">
        <v>0</v>
      </c>
      <c r="G27" s="348">
        <v>0</v>
      </c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</row>
    <row r="28" spans="1:50" s="348" customFormat="1" ht="38.25" hidden="1" outlineLevel="1">
      <c r="A28" s="348" t="s">
        <v>2724</v>
      </c>
      <c r="B28" s="348" t="s">
        <v>2725</v>
      </c>
      <c r="C28" s="349" t="s">
        <v>2726</v>
      </c>
      <c r="D28" s="350">
        <v>0</v>
      </c>
      <c r="E28" s="348">
        <v>3850</v>
      </c>
      <c r="F28" s="348">
        <v>0</v>
      </c>
      <c r="G28" s="348">
        <v>0</v>
      </c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</row>
    <row r="29" spans="1:50" s="348" customFormat="1" ht="38.25" hidden="1" outlineLevel="1">
      <c r="A29" s="348" t="s">
        <v>2727</v>
      </c>
      <c r="B29" s="348" t="s">
        <v>2728</v>
      </c>
      <c r="C29" s="349" t="s">
        <v>2729</v>
      </c>
      <c r="D29" s="350">
        <v>56413.45</v>
      </c>
      <c r="E29" s="348">
        <v>23848.8</v>
      </c>
      <c r="F29" s="348">
        <v>0</v>
      </c>
      <c r="G29" s="348">
        <v>0</v>
      </c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</row>
    <row r="30" spans="1:50" s="348" customFormat="1" ht="38.25" hidden="1" outlineLevel="1">
      <c r="A30" s="348" t="s">
        <v>2730</v>
      </c>
      <c r="B30" s="348" t="s">
        <v>2731</v>
      </c>
      <c r="C30" s="349" t="s">
        <v>2732</v>
      </c>
      <c r="D30" s="350">
        <v>17579</v>
      </c>
      <c r="E30" s="348">
        <v>0</v>
      </c>
      <c r="F30" s="348">
        <v>0</v>
      </c>
      <c r="G30" s="348">
        <v>0</v>
      </c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</row>
    <row r="31" spans="1:50" s="348" customFormat="1" ht="38.25" hidden="1" outlineLevel="1">
      <c r="A31" s="348" t="s">
        <v>879</v>
      </c>
      <c r="B31" s="348" t="s">
        <v>880</v>
      </c>
      <c r="C31" s="349" t="s">
        <v>881</v>
      </c>
      <c r="D31" s="350">
        <v>6321983.95</v>
      </c>
      <c r="E31" s="348">
        <v>0</v>
      </c>
      <c r="F31" s="348">
        <v>0</v>
      </c>
      <c r="G31" s="348">
        <v>0</v>
      </c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</row>
    <row r="32" spans="1:50" s="348" customFormat="1" ht="38.25" hidden="1" outlineLevel="1">
      <c r="A32" s="348" t="s">
        <v>2733</v>
      </c>
      <c r="B32" s="348" t="s">
        <v>2734</v>
      </c>
      <c r="C32" s="349" t="s">
        <v>2735</v>
      </c>
      <c r="D32" s="350">
        <v>337910.93</v>
      </c>
      <c r="E32" s="348">
        <v>0</v>
      </c>
      <c r="F32" s="348">
        <v>0</v>
      </c>
      <c r="G32" s="348">
        <v>0</v>
      </c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</row>
    <row r="33" spans="1:50" s="348" customFormat="1" ht="38.25" hidden="1" outlineLevel="1">
      <c r="A33" s="348" t="s">
        <v>882</v>
      </c>
      <c r="B33" s="348" t="s">
        <v>883</v>
      </c>
      <c r="C33" s="349" t="s">
        <v>884</v>
      </c>
      <c r="D33" s="350">
        <v>0</v>
      </c>
      <c r="E33" s="348">
        <v>21</v>
      </c>
      <c r="F33" s="348">
        <v>0</v>
      </c>
      <c r="G33" s="348">
        <v>0</v>
      </c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</row>
    <row r="34" spans="1:50" s="348" customFormat="1" ht="38.25" hidden="1" outlineLevel="1">
      <c r="A34" s="348" t="s">
        <v>2736</v>
      </c>
      <c r="B34" s="348" t="s">
        <v>2737</v>
      </c>
      <c r="C34" s="349" t="s">
        <v>2738</v>
      </c>
      <c r="D34" s="350">
        <v>0</v>
      </c>
      <c r="E34" s="348">
        <v>-35.95</v>
      </c>
      <c r="F34" s="348">
        <v>0</v>
      </c>
      <c r="G34" s="348">
        <v>0</v>
      </c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</row>
    <row r="35" spans="1:50" ht="12.75" customHeight="1" collapsed="1">
      <c r="A35" s="362" t="s">
        <v>2739</v>
      </c>
      <c r="B35" s="379" t="s">
        <v>885</v>
      </c>
      <c r="C35" s="380"/>
      <c r="D35" s="382">
        <v>7189915</v>
      </c>
      <c r="E35" s="382">
        <v>102313.13</v>
      </c>
      <c r="F35" s="382">
        <v>0</v>
      </c>
      <c r="G35" s="382">
        <v>0</v>
      </c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362"/>
      <c r="AX35" s="362"/>
    </row>
    <row r="36" spans="1:50" s="348" customFormat="1" ht="38.25" hidden="1" outlineLevel="1">
      <c r="A36" s="348" t="s">
        <v>2746</v>
      </c>
      <c r="B36" s="348" t="s">
        <v>2747</v>
      </c>
      <c r="C36" s="349" t="s">
        <v>2748</v>
      </c>
      <c r="D36" s="383">
        <v>-4320.36</v>
      </c>
      <c r="E36" s="384">
        <v>0</v>
      </c>
      <c r="F36" s="384">
        <v>0</v>
      </c>
      <c r="G36" s="384">
        <v>0</v>
      </c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</row>
    <row r="37" spans="1:50" s="348" customFormat="1" ht="38.25" hidden="1" outlineLevel="1">
      <c r="A37" s="348" t="s">
        <v>2749</v>
      </c>
      <c r="B37" s="348" t="s">
        <v>2750</v>
      </c>
      <c r="C37" s="349" t="s">
        <v>2751</v>
      </c>
      <c r="D37" s="383">
        <v>2058.99</v>
      </c>
      <c r="E37" s="384">
        <v>0</v>
      </c>
      <c r="F37" s="384">
        <v>0</v>
      </c>
      <c r="G37" s="384">
        <v>0</v>
      </c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</row>
    <row r="38" spans="1:50" s="348" customFormat="1" ht="38.25" hidden="1" outlineLevel="1">
      <c r="A38" s="348" t="s">
        <v>886</v>
      </c>
      <c r="B38" s="348" t="s">
        <v>887</v>
      </c>
      <c r="C38" s="349" t="s">
        <v>888</v>
      </c>
      <c r="D38" s="383">
        <v>1155</v>
      </c>
      <c r="E38" s="384">
        <v>0</v>
      </c>
      <c r="F38" s="384">
        <v>0</v>
      </c>
      <c r="G38" s="384">
        <v>0</v>
      </c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</row>
    <row r="39" spans="1:50" s="348" customFormat="1" ht="38.25" hidden="1" outlineLevel="1">
      <c r="A39" s="348" t="s">
        <v>2752</v>
      </c>
      <c r="B39" s="348" t="s">
        <v>2753</v>
      </c>
      <c r="C39" s="349" t="s">
        <v>2754</v>
      </c>
      <c r="D39" s="383">
        <v>3210.33</v>
      </c>
      <c r="E39" s="384">
        <v>0</v>
      </c>
      <c r="F39" s="384">
        <v>246284.71</v>
      </c>
      <c r="G39" s="384">
        <v>0</v>
      </c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</row>
    <row r="40" spans="1:50" s="348" customFormat="1" ht="38.25" hidden="1" outlineLevel="1">
      <c r="A40" s="348" t="s">
        <v>2761</v>
      </c>
      <c r="B40" s="348" t="s">
        <v>2762</v>
      </c>
      <c r="C40" s="349" t="s">
        <v>2763</v>
      </c>
      <c r="D40" s="383">
        <v>3437</v>
      </c>
      <c r="E40" s="384">
        <v>28036.2</v>
      </c>
      <c r="F40" s="384">
        <v>0</v>
      </c>
      <c r="G40" s="384">
        <v>0</v>
      </c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</row>
    <row r="41" spans="1:50" ht="12.75" customHeight="1" collapsed="1">
      <c r="A41" s="362" t="s">
        <v>889</v>
      </c>
      <c r="B41" s="379" t="s">
        <v>890</v>
      </c>
      <c r="C41" s="380"/>
      <c r="D41" s="382">
        <v>5540.96</v>
      </c>
      <c r="E41" s="382">
        <v>28036.2</v>
      </c>
      <c r="F41" s="382">
        <v>246284.71</v>
      </c>
      <c r="G41" s="382">
        <v>0</v>
      </c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</row>
    <row r="42" spans="2:50" s="385" customFormat="1" ht="12.75" customHeight="1">
      <c r="B42" s="376" t="s">
        <v>891</v>
      </c>
      <c r="C42" s="377"/>
      <c r="D42" s="386">
        <f>D20+D35+D41</f>
        <v>7249679.4799999995</v>
      </c>
      <c r="E42" s="386">
        <f>E20+E35+E41</f>
        <v>417167.64</v>
      </c>
      <c r="F42" s="386">
        <f>F20+F35+F41</f>
        <v>246284.71</v>
      </c>
      <c r="G42" s="386">
        <f>G20+G35+G41</f>
        <v>1013542</v>
      </c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</row>
    <row r="43" spans="2:50" ht="12.75" customHeight="1">
      <c r="B43" s="379"/>
      <c r="C43" s="380"/>
      <c r="D43" s="382"/>
      <c r="E43" s="382"/>
      <c r="F43" s="382"/>
      <c r="G43" s="38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</row>
    <row r="44" spans="2:50" ht="12.75" customHeight="1">
      <c r="B44" s="387" t="s">
        <v>2177</v>
      </c>
      <c r="C44" s="388"/>
      <c r="D44" s="382"/>
      <c r="E44" s="382"/>
      <c r="F44" s="382"/>
      <c r="G44" s="38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</row>
    <row r="45" spans="1:50" s="348" customFormat="1" ht="38.25" hidden="1" outlineLevel="1">
      <c r="A45" s="348" t="s">
        <v>2789</v>
      </c>
      <c r="B45" s="348" t="s">
        <v>2790</v>
      </c>
      <c r="C45" s="349" t="s">
        <v>2791</v>
      </c>
      <c r="D45" s="383">
        <v>500</v>
      </c>
      <c r="E45" s="384">
        <v>0</v>
      </c>
      <c r="F45" s="384">
        <v>0</v>
      </c>
      <c r="G45" s="384">
        <v>0</v>
      </c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</row>
    <row r="46" spans="1:50" s="348" customFormat="1" ht="38.25" hidden="1" outlineLevel="1">
      <c r="A46" s="348" t="s">
        <v>2795</v>
      </c>
      <c r="B46" s="348" t="s">
        <v>2796</v>
      </c>
      <c r="C46" s="349" t="s">
        <v>2797</v>
      </c>
      <c r="D46" s="383">
        <v>288692.72</v>
      </c>
      <c r="E46" s="384">
        <v>0</v>
      </c>
      <c r="F46" s="384">
        <v>0</v>
      </c>
      <c r="G46" s="384">
        <v>0</v>
      </c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</row>
    <row r="47" spans="1:50" s="348" customFormat="1" ht="38.25" hidden="1" outlineLevel="1">
      <c r="A47" s="348" t="s">
        <v>2801</v>
      </c>
      <c r="B47" s="348" t="s">
        <v>2802</v>
      </c>
      <c r="C47" s="349" t="s">
        <v>2803</v>
      </c>
      <c r="D47" s="383">
        <v>310.7</v>
      </c>
      <c r="E47" s="384">
        <v>0</v>
      </c>
      <c r="F47" s="384">
        <v>0</v>
      </c>
      <c r="G47" s="384">
        <v>0</v>
      </c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</row>
    <row r="48" spans="1:50" s="348" customFormat="1" ht="38.25" hidden="1" outlineLevel="1">
      <c r="A48" s="348" t="s">
        <v>2804</v>
      </c>
      <c r="B48" s="348" t="s">
        <v>2805</v>
      </c>
      <c r="C48" s="349" t="s">
        <v>2806</v>
      </c>
      <c r="D48" s="383">
        <v>182592.41</v>
      </c>
      <c r="E48" s="384">
        <v>0</v>
      </c>
      <c r="F48" s="384">
        <v>25379.43</v>
      </c>
      <c r="G48" s="384">
        <v>0</v>
      </c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</row>
    <row r="49" spans="1:50" s="348" customFormat="1" ht="38.25" hidden="1" outlineLevel="1">
      <c r="A49" s="348" t="s">
        <v>2807</v>
      </c>
      <c r="B49" s="348" t="s">
        <v>2808</v>
      </c>
      <c r="C49" s="349" t="s">
        <v>2809</v>
      </c>
      <c r="D49" s="383">
        <v>141965.9</v>
      </c>
      <c r="E49" s="384">
        <v>0</v>
      </c>
      <c r="F49" s="384">
        <v>0</v>
      </c>
      <c r="G49" s="384">
        <v>0</v>
      </c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</row>
    <row r="50" spans="1:50" s="348" customFormat="1" ht="38.25" hidden="1" outlineLevel="1">
      <c r="A50" s="348" t="s">
        <v>2810</v>
      </c>
      <c r="B50" s="348" t="s">
        <v>2811</v>
      </c>
      <c r="C50" s="349" t="s">
        <v>2812</v>
      </c>
      <c r="D50" s="383">
        <v>478541.02</v>
      </c>
      <c r="E50" s="384">
        <v>0</v>
      </c>
      <c r="F50" s="384">
        <v>37482.77</v>
      </c>
      <c r="G50" s="384">
        <v>0</v>
      </c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</row>
    <row r="51" spans="1:50" s="348" customFormat="1" ht="38.25" hidden="1" outlineLevel="1">
      <c r="A51" s="348" t="s">
        <v>2813</v>
      </c>
      <c r="B51" s="348" t="s">
        <v>2814</v>
      </c>
      <c r="C51" s="349" t="s">
        <v>2815</v>
      </c>
      <c r="D51" s="383">
        <v>149148.34</v>
      </c>
      <c r="E51" s="384">
        <v>0</v>
      </c>
      <c r="F51" s="384">
        <v>0</v>
      </c>
      <c r="G51" s="384">
        <v>0</v>
      </c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</row>
    <row r="52" spans="1:50" s="348" customFormat="1" ht="38.25" hidden="1" outlineLevel="1">
      <c r="A52" s="348" t="s">
        <v>2819</v>
      </c>
      <c r="B52" s="348" t="s">
        <v>2820</v>
      </c>
      <c r="C52" s="349" t="s">
        <v>2821</v>
      </c>
      <c r="D52" s="383">
        <v>-11077.02</v>
      </c>
      <c r="E52" s="384">
        <v>0</v>
      </c>
      <c r="F52" s="384">
        <v>2167.44</v>
      </c>
      <c r="G52" s="384">
        <v>0</v>
      </c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</row>
    <row r="53" spans="1:50" ht="12.75" customHeight="1" collapsed="1">
      <c r="A53" s="362" t="s">
        <v>2822</v>
      </c>
      <c r="B53" s="379" t="s">
        <v>892</v>
      </c>
      <c r="C53" s="380"/>
      <c r="D53" s="382">
        <v>1230674.07</v>
      </c>
      <c r="E53" s="382">
        <v>0</v>
      </c>
      <c r="F53" s="382">
        <v>65029.64</v>
      </c>
      <c r="G53" s="382">
        <v>0</v>
      </c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</row>
    <row r="54" spans="1:50" s="348" customFormat="1" ht="38.25" hidden="1" outlineLevel="1">
      <c r="A54" s="348" t="s">
        <v>2831</v>
      </c>
      <c r="B54" s="348" t="s">
        <v>2832</v>
      </c>
      <c r="C54" s="349" t="s">
        <v>2833</v>
      </c>
      <c r="D54" s="383">
        <v>37.62</v>
      </c>
      <c r="E54" s="384">
        <v>0</v>
      </c>
      <c r="F54" s="384">
        <v>0</v>
      </c>
      <c r="G54" s="384">
        <v>0</v>
      </c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</row>
    <row r="55" spans="1:50" s="348" customFormat="1" ht="38.25" hidden="1" outlineLevel="1">
      <c r="A55" s="348" t="s">
        <v>2837</v>
      </c>
      <c r="B55" s="348" t="s">
        <v>2838</v>
      </c>
      <c r="C55" s="349" t="s">
        <v>2839</v>
      </c>
      <c r="D55" s="383">
        <v>78879.03</v>
      </c>
      <c r="E55" s="384">
        <v>0</v>
      </c>
      <c r="F55" s="384">
        <v>0</v>
      </c>
      <c r="G55" s="384">
        <v>0</v>
      </c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</row>
    <row r="56" spans="1:50" s="348" customFormat="1" ht="38.25" hidden="1" outlineLevel="1">
      <c r="A56" s="348" t="s">
        <v>2843</v>
      </c>
      <c r="B56" s="348" t="s">
        <v>2844</v>
      </c>
      <c r="C56" s="349" t="s">
        <v>2845</v>
      </c>
      <c r="D56" s="383">
        <v>23.77</v>
      </c>
      <c r="E56" s="384">
        <v>0</v>
      </c>
      <c r="F56" s="384">
        <v>0</v>
      </c>
      <c r="G56" s="384">
        <v>0</v>
      </c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</row>
    <row r="57" spans="1:50" s="348" customFormat="1" ht="38.25" hidden="1" outlineLevel="1">
      <c r="A57" s="348" t="s">
        <v>2846</v>
      </c>
      <c r="B57" s="348" t="s">
        <v>2847</v>
      </c>
      <c r="C57" s="349" t="s">
        <v>2848</v>
      </c>
      <c r="D57" s="383">
        <v>44423.91</v>
      </c>
      <c r="E57" s="384">
        <v>0</v>
      </c>
      <c r="F57" s="384">
        <v>6688.82</v>
      </c>
      <c r="G57" s="384">
        <v>0</v>
      </c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</row>
    <row r="58" spans="1:50" s="348" customFormat="1" ht="38.25" hidden="1" outlineLevel="1">
      <c r="A58" s="348" t="s">
        <v>2849</v>
      </c>
      <c r="B58" s="348" t="s">
        <v>2850</v>
      </c>
      <c r="C58" s="349" t="s">
        <v>2851</v>
      </c>
      <c r="D58" s="383">
        <v>30744.01</v>
      </c>
      <c r="E58" s="384">
        <v>0</v>
      </c>
      <c r="F58" s="384">
        <v>0</v>
      </c>
      <c r="G58" s="384">
        <v>0</v>
      </c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</row>
    <row r="59" spans="1:50" s="348" customFormat="1" ht="38.25" hidden="1" outlineLevel="1">
      <c r="A59" s="348" t="s">
        <v>2852</v>
      </c>
      <c r="B59" s="348" t="s">
        <v>2853</v>
      </c>
      <c r="C59" s="349" t="s">
        <v>2854</v>
      </c>
      <c r="D59" s="383">
        <v>102370.77</v>
      </c>
      <c r="E59" s="384">
        <v>0</v>
      </c>
      <c r="F59" s="384">
        <v>8219.16</v>
      </c>
      <c r="G59" s="384">
        <v>0</v>
      </c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</row>
    <row r="60" spans="1:50" s="348" customFormat="1" ht="38.25" hidden="1" outlineLevel="1">
      <c r="A60" s="348" t="s">
        <v>2855</v>
      </c>
      <c r="B60" s="348" t="s">
        <v>2856</v>
      </c>
      <c r="C60" s="349" t="s">
        <v>2857</v>
      </c>
      <c r="D60" s="383">
        <v>1546.91</v>
      </c>
      <c r="E60" s="384">
        <v>0</v>
      </c>
      <c r="F60" s="384">
        <v>0</v>
      </c>
      <c r="G60" s="384">
        <v>0</v>
      </c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</row>
    <row r="61" spans="1:50" s="348" customFormat="1" ht="38.25" hidden="1" outlineLevel="1">
      <c r="A61" s="348" t="s">
        <v>2864</v>
      </c>
      <c r="B61" s="348" t="s">
        <v>2865</v>
      </c>
      <c r="C61" s="349" t="s">
        <v>2866</v>
      </c>
      <c r="D61" s="383">
        <v>538.75</v>
      </c>
      <c r="E61" s="384">
        <v>0</v>
      </c>
      <c r="F61" s="384">
        <v>0</v>
      </c>
      <c r="G61" s="384">
        <v>0</v>
      </c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</row>
    <row r="62" spans="1:50" s="348" customFormat="1" ht="38.25" hidden="1" outlineLevel="1">
      <c r="A62" s="348" t="s">
        <v>2867</v>
      </c>
      <c r="B62" s="348" t="s">
        <v>2868</v>
      </c>
      <c r="C62" s="349" t="s">
        <v>2869</v>
      </c>
      <c r="D62" s="383">
        <v>-5846.24</v>
      </c>
      <c r="E62" s="384">
        <v>0</v>
      </c>
      <c r="F62" s="384">
        <v>237.73</v>
      </c>
      <c r="G62" s="384">
        <v>0</v>
      </c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</row>
    <row r="63" spans="1:50" ht="12.75" customHeight="1" collapsed="1">
      <c r="A63" s="362" t="s">
        <v>2873</v>
      </c>
      <c r="B63" s="379" t="s">
        <v>893</v>
      </c>
      <c r="C63" s="380"/>
      <c r="D63" s="382">
        <v>252718.53</v>
      </c>
      <c r="E63" s="382">
        <v>0</v>
      </c>
      <c r="F63" s="382">
        <v>15145.71</v>
      </c>
      <c r="G63" s="382">
        <v>0</v>
      </c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</row>
    <row r="64" spans="1:50" s="348" customFormat="1" ht="38.25" hidden="1" outlineLevel="1">
      <c r="A64" s="348" t="s">
        <v>2883</v>
      </c>
      <c r="B64" s="348" t="s">
        <v>2884</v>
      </c>
      <c r="C64" s="349" t="s">
        <v>2885</v>
      </c>
      <c r="D64" s="383">
        <v>1881630.57</v>
      </c>
      <c r="E64" s="384">
        <v>0</v>
      </c>
      <c r="F64" s="384">
        <v>0</v>
      </c>
      <c r="G64" s="384">
        <v>0</v>
      </c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</row>
    <row r="65" spans="1:50" s="348" customFormat="1" ht="38.25" hidden="1" outlineLevel="1">
      <c r="A65" s="348" t="s">
        <v>894</v>
      </c>
      <c r="B65" s="348" t="s">
        <v>895</v>
      </c>
      <c r="C65" s="349" t="s">
        <v>896</v>
      </c>
      <c r="D65" s="383">
        <v>61178.08</v>
      </c>
      <c r="E65" s="384">
        <v>0</v>
      </c>
      <c r="F65" s="384">
        <v>0</v>
      </c>
      <c r="G65" s="384">
        <v>0</v>
      </c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</row>
    <row r="66" spans="1:50" ht="12.75" customHeight="1" collapsed="1">
      <c r="A66" s="362" t="s">
        <v>897</v>
      </c>
      <c r="B66" s="379" t="s">
        <v>898</v>
      </c>
      <c r="C66" s="380"/>
      <c r="D66" s="382">
        <v>1942808.65</v>
      </c>
      <c r="E66" s="382">
        <v>0</v>
      </c>
      <c r="F66" s="382">
        <v>0</v>
      </c>
      <c r="G66" s="382">
        <v>0</v>
      </c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</row>
    <row r="67" spans="1:50" s="348" customFormat="1" ht="38.25" hidden="1" outlineLevel="1">
      <c r="A67" s="348" t="s">
        <v>1698</v>
      </c>
      <c r="B67" s="348" t="s">
        <v>1699</v>
      </c>
      <c r="C67" s="349" t="s">
        <v>1700</v>
      </c>
      <c r="D67" s="383">
        <v>379295.92</v>
      </c>
      <c r="E67" s="384">
        <v>109053</v>
      </c>
      <c r="F67" s="384">
        <v>0</v>
      </c>
      <c r="G67" s="384">
        <v>0</v>
      </c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</row>
    <row r="68" spans="1:50" s="348" customFormat="1" ht="38.25" hidden="1" outlineLevel="1">
      <c r="A68" s="348" t="s">
        <v>1701</v>
      </c>
      <c r="B68" s="348" t="s">
        <v>1702</v>
      </c>
      <c r="C68" s="349" t="s">
        <v>1703</v>
      </c>
      <c r="D68" s="383">
        <v>13.5</v>
      </c>
      <c r="E68" s="384">
        <v>0</v>
      </c>
      <c r="F68" s="384">
        <v>0</v>
      </c>
      <c r="G68" s="384">
        <v>0</v>
      </c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</row>
    <row r="69" spans="1:50" s="348" customFormat="1" ht="38.25" hidden="1" outlineLevel="1">
      <c r="A69" s="348" t="s">
        <v>1704</v>
      </c>
      <c r="B69" s="348" t="s">
        <v>1705</v>
      </c>
      <c r="C69" s="349" t="s">
        <v>1706</v>
      </c>
      <c r="D69" s="383">
        <v>202170.03</v>
      </c>
      <c r="E69" s="384">
        <v>0</v>
      </c>
      <c r="F69" s="384">
        <v>0</v>
      </c>
      <c r="G69" s="384">
        <v>0</v>
      </c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</row>
    <row r="70" spans="1:50" s="348" customFormat="1" ht="38.25" hidden="1" outlineLevel="1">
      <c r="A70" s="348" t="s">
        <v>1707</v>
      </c>
      <c r="B70" s="348" t="s">
        <v>1708</v>
      </c>
      <c r="C70" s="349" t="s">
        <v>1709</v>
      </c>
      <c r="D70" s="383">
        <v>76723.26</v>
      </c>
      <c r="E70" s="384">
        <v>0</v>
      </c>
      <c r="F70" s="384">
        <v>0</v>
      </c>
      <c r="G70" s="384">
        <v>0</v>
      </c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</row>
    <row r="71" spans="1:50" s="348" customFormat="1" ht="38.25" hidden="1" outlineLevel="1">
      <c r="A71" s="348" t="s">
        <v>1713</v>
      </c>
      <c r="B71" s="348" t="s">
        <v>1714</v>
      </c>
      <c r="C71" s="349" t="s">
        <v>1715</v>
      </c>
      <c r="D71" s="383">
        <v>-1720</v>
      </c>
      <c r="E71" s="384">
        <v>0</v>
      </c>
      <c r="F71" s="384">
        <v>0</v>
      </c>
      <c r="G71" s="384">
        <v>0</v>
      </c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</row>
    <row r="72" spans="1:50" s="348" customFormat="1" ht="38.25" hidden="1" outlineLevel="1">
      <c r="A72" s="348" t="s">
        <v>1716</v>
      </c>
      <c r="B72" s="348" t="s">
        <v>1717</v>
      </c>
      <c r="C72" s="349" t="s">
        <v>1718</v>
      </c>
      <c r="D72" s="383">
        <v>124656.68</v>
      </c>
      <c r="E72" s="384">
        <v>0</v>
      </c>
      <c r="F72" s="384">
        <v>0</v>
      </c>
      <c r="G72" s="384">
        <v>0</v>
      </c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</row>
    <row r="73" spans="1:50" s="348" customFormat="1" ht="38.25" hidden="1" outlineLevel="1">
      <c r="A73" s="348" t="s">
        <v>899</v>
      </c>
      <c r="B73" s="348" t="s">
        <v>900</v>
      </c>
      <c r="C73" s="349" t="s">
        <v>901</v>
      </c>
      <c r="D73" s="383">
        <v>12421.36</v>
      </c>
      <c r="E73" s="384">
        <v>0</v>
      </c>
      <c r="F73" s="384">
        <v>0</v>
      </c>
      <c r="G73" s="384">
        <v>0</v>
      </c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51"/>
      <c r="AW73" s="351"/>
      <c r="AX73" s="351"/>
    </row>
    <row r="74" spans="1:50" s="348" customFormat="1" ht="38.25" hidden="1" outlineLevel="1">
      <c r="A74" s="348" t="s">
        <v>1719</v>
      </c>
      <c r="B74" s="348" t="s">
        <v>1720</v>
      </c>
      <c r="C74" s="349" t="s">
        <v>1721</v>
      </c>
      <c r="D74" s="383">
        <v>79554.19</v>
      </c>
      <c r="E74" s="384">
        <v>0</v>
      </c>
      <c r="F74" s="384">
        <v>0</v>
      </c>
      <c r="G74" s="384">
        <v>0</v>
      </c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  <c r="AQ74" s="351"/>
      <c r="AR74" s="351"/>
      <c r="AS74" s="351"/>
      <c r="AT74" s="351"/>
      <c r="AU74" s="351"/>
      <c r="AV74" s="351"/>
      <c r="AW74" s="351"/>
      <c r="AX74" s="351"/>
    </row>
    <row r="75" spans="1:50" ht="12.75" customHeight="1" collapsed="1">
      <c r="A75" s="362" t="s">
        <v>902</v>
      </c>
      <c r="B75" s="379" t="s">
        <v>903</v>
      </c>
      <c r="C75" s="380"/>
      <c r="D75" s="382">
        <v>873114.94</v>
      </c>
      <c r="E75" s="382">
        <v>109053</v>
      </c>
      <c r="F75" s="382">
        <v>0</v>
      </c>
      <c r="G75" s="382">
        <v>0</v>
      </c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</row>
    <row r="76" spans="1:50" s="348" customFormat="1" ht="38.25" hidden="1" outlineLevel="1">
      <c r="A76" s="348" t="s">
        <v>285</v>
      </c>
      <c r="B76" s="348" t="s">
        <v>286</v>
      </c>
      <c r="C76" s="349" t="s">
        <v>287</v>
      </c>
      <c r="D76" s="383">
        <v>95756.69</v>
      </c>
      <c r="E76" s="384">
        <v>527.73</v>
      </c>
      <c r="F76" s="384">
        <v>14608.7</v>
      </c>
      <c r="G76" s="384">
        <v>0</v>
      </c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  <c r="AQ76" s="351"/>
      <c r="AR76" s="351"/>
      <c r="AS76" s="351"/>
      <c r="AT76" s="351"/>
      <c r="AU76" s="351"/>
      <c r="AV76" s="351"/>
      <c r="AW76" s="351"/>
      <c r="AX76" s="351"/>
    </row>
    <row r="77" spans="1:50" s="348" customFormat="1" ht="38.25" hidden="1" outlineLevel="1">
      <c r="A77" s="348" t="s">
        <v>288</v>
      </c>
      <c r="B77" s="348" t="s">
        <v>289</v>
      </c>
      <c r="C77" s="349" t="s">
        <v>290</v>
      </c>
      <c r="D77" s="383">
        <v>6035.93</v>
      </c>
      <c r="E77" s="384">
        <v>1022.04</v>
      </c>
      <c r="F77" s="384">
        <v>276.69</v>
      </c>
      <c r="G77" s="384">
        <v>0</v>
      </c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  <c r="AQ77" s="351"/>
      <c r="AR77" s="351"/>
      <c r="AS77" s="351"/>
      <c r="AT77" s="351"/>
      <c r="AU77" s="351"/>
      <c r="AV77" s="351"/>
      <c r="AW77" s="351"/>
      <c r="AX77" s="351"/>
    </row>
    <row r="78" spans="1:50" s="348" customFormat="1" ht="38.25" hidden="1" outlineLevel="1">
      <c r="A78" s="348" t="s">
        <v>300</v>
      </c>
      <c r="B78" s="348" t="s">
        <v>301</v>
      </c>
      <c r="C78" s="349" t="s">
        <v>302</v>
      </c>
      <c r="D78" s="383">
        <v>12</v>
      </c>
      <c r="E78" s="384">
        <v>1469</v>
      </c>
      <c r="F78" s="384">
        <v>0</v>
      </c>
      <c r="G78" s="384">
        <v>0</v>
      </c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  <c r="AR78" s="351"/>
      <c r="AS78" s="351"/>
      <c r="AT78" s="351"/>
      <c r="AU78" s="351"/>
      <c r="AV78" s="351"/>
      <c r="AW78" s="351"/>
      <c r="AX78" s="351"/>
    </row>
    <row r="79" spans="1:50" s="348" customFormat="1" ht="38.25" hidden="1" outlineLevel="1">
      <c r="A79" s="348" t="s">
        <v>303</v>
      </c>
      <c r="B79" s="348" t="s">
        <v>304</v>
      </c>
      <c r="C79" s="349" t="s">
        <v>305</v>
      </c>
      <c r="D79" s="383">
        <v>1269.39</v>
      </c>
      <c r="E79" s="384">
        <v>0</v>
      </c>
      <c r="F79" s="384">
        <v>0</v>
      </c>
      <c r="G79" s="384">
        <v>0</v>
      </c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  <c r="AR79" s="351"/>
      <c r="AS79" s="351"/>
      <c r="AT79" s="351"/>
      <c r="AU79" s="351"/>
      <c r="AV79" s="351"/>
      <c r="AW79" s="351"/>
      <c r="AX79" s="351"/>
    </row>
    <row r="80" spans="1:50" s="348" customFormat="1" ht="38.25" hidden="1" outlineLevel="1">
      <c r="A80" s="348" t="s">
        <v>306</v>
      </c>
      <c r="B80" s="348" t="s">
        <v>307</v>
      </c>
      <c r="C80" s="349" t="s">
        <v>308</v>
      </c>
      <c r="D80" s="383">
        <v>0</v>
      </c>
      <c r="E80" s="384">
        <v>38919.56</v>
      </c>
      <c r="F80" s="384">
        <v>0</v>
      </c>
      <c r="G80" s="384">
        <v>0</v>
      </c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  <c r="AR80" s="351"/>
      <c r="AS80" s="351"/>
      <c r="AT80" s="351"/>
      <c r="AU80" s="351"/>
      <c r="AV80" s="351"/>
      <c r="AW80" s="351"/>
      <c r="AX80" s="351"/>
    </row>
    <row r="81" spans="1:50" s="348" customFormat="1" ht="38.25" hidden="1" outlineLevel="1">
      <c r="A81" s="348" t="s">
        <v>309</v>
      </c>
      <c r="B81" s="348" t="s">
        <v>310</v>
      </c>
      <c r="C81" s="349" t="s">
        <v>311</v>
      </c>
      <c r="D81" s="383">
        <v>1309.25</v>
      </c>
      <c r="E81" s="384">
        <v>0</v>
      </c>
      <c r="F81" s="384">
        <v>0</v>
      </c>
      <c r="G81" s="384">
        <v>0</v>
      </c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  <c r="AS81" s="351"/>
      <c r="AT81" s="351"/>
      <c r="AU81" s="351"/>
      <c r="AV81" s="351"/>
      <c r="AW81" s="351"/>
      <c r="AX81" s="351"/>
    </row>
    <row r="82" spans="1:50" s="348" customFormat="1" ht="38.25" hidden="1" outlineLevel="1">
      <c r="A82" s="348" t="s">
        <v>318</v>
      </c>
      <c r="B82" s="348" t="s">
        <v>319</v>
      </c>
      <c r="C82" s="349" t="s">
        <v>320</v>
      </c>
      <c r="D82" s="383">
        <v>5765.24</v>
      </c>
      <c r="E82" s="384">
        <v>0</v>
      </c>
      <c r="F82" s="384">
        <v>0</v>
      </c>
      <c r="G82" s="384">
        <v>0</v>
      </c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</row>
    <row r="83" spans="1:50" s="348" customFormat="1" ht="38.25" hidden="1" outlineLevel="1">
      <c r="A83" s="348" t="s">
        <v>321</v>
      </c>
      <c r="B83" s="348" t="s">
        <v>322</v>
      </c>
      <c r="C83" s="349" t="s">
        <v>323</v>
      </c>
      <c r="D83" s="383">
        <v>0</v>
      </c>
      <c r="E83" s="384">
        <v>52684.62</v>
      </c>
      <c r="F83" s="384">
        <v>113.55</v>
      </c>
      <c r="G83" s="384">
        <v>0</v>
      </c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51"/>
      <c r="AW83" s="351"/>
      <c r="AX83" s="351"/>
    </row>
    <row r="84" spans="1:50" s="348" customFormat="1" ht="38.25" hidden="1" outlineLevel="1">
      <c r="A84" s="348" t="s">
        <v>324</v>
      </c>
      <c r="B84" s="348" t="s">
        <v>325</v>
      </c>
      <c r="C84" s="349" t="s">
        <v>326</v>
      </c>
      <c r="D84" s="383">
        <v>2157.16</v>
      </c>
      <c r="E84" s="384">
        <v>1355.9</v>
      </c>
      <c r="F84" s="384">
        <v>83.86</v>
      </c>
      <c r="G84" s="384">
        <v>0</v>
      </c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1"/>
    </row>
    <row r="85" spans="1:50" s="348" customFormat="1" ht="38.25" hidden="1" outlineLevel="1">
      <c r="A85" s="348" t="s">
        <v>333</v>
      </c>
      <c r="B85" s="348" t="s">
        <v>334</v>
      </c>
      <c r="C85" s="349" t="s">
        <v>335</v>
      </c>
      <c r="D85" s="383">
        <v>15</v>
      </c>
      <c r="E85" s="384">
        <v>1030.93</v>
      </c>
      <c r="F85" s="384">
        <v>0</v>
      </c>
      <c r="G85" s="384">
        <v>0</v>
      </c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51"/>
      <c r="AV85" s="351"/>
      <c r="AW85" s="351"/>
      <c r="AX85" s="351"/>
    </row>
    <row r="86" spans="1:50" s="348" customFormat="1" ht="38.25" hidden="1" outlineLevel="1">
      <c r="A86" s="348" t="s">
        <v>336</v>
      </c>
      <c r="B86" s="348" t="s">
        <v>337</v>
      </c>
      <c r="C86" s="349" t="s">
        <v>338</v>
      </c>
      <c r="D86" s="383">
        <v>82834.27</v>
      </c>
      <c r="E86" s="384">
        <v>1564.02</v>
      </c>
      <c r="F86" s="384">
        <v>0</v>
      </c>
      <c r="G86" s="384">
        <v>0</v>
      </c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51"/>
      <c r="AV86" s="351"/>
      <c r="AW86" s="351"/>
      <c r="AX86" s="351"/>
    </row>
    <row r="87" spans="1:50" s="348" customFormat="1" ht="38.25" hidden="1" outlineLevel="1">
      <c r="A87" s="348" t="s">
        <v>339</v>
      </c>
      <c r="B87" s="348" t="s">
        <v>340</v>
      </c>
      <c r="C87" s="349" t="s">
        <v>341</v>
      </c>
      <c r="D87" s="383">
        <v>3197.05</v>
      </c>
      <c r="E87" s="384">
        <v>749.59</v>
      </c>
      <c r="F87" s="384">
        <v>0</v>
      </c>
      <c r="G87" s="384">
        <v>0</v>
      </c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</row>
    <row r="88" spans="1:50" s="348" customFormat="1" ht="38.25" hidden="1" outlineLevel="1">
      <c r="A88" s="348" t="s">
        <v>342</v>
      </c>
      <c r="B88" s="348" t="s">
        <v>343</v>
      </c>
      <c r="C88" s="349" t="s">
        <v>344</v>
      </c>
      <c r="D88" s="383">
        <v>4979.05</v>
      </c>
      <c r="E88" s="384">
        <v>0</v>
      </c>
      <c r="F88" s="384">
        <v>0</v>
      </c>
      <c r="G88" s="384">
        <v>0</v>
      </c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</row>
    <row r="89" spans="1:50" s="348" customFormat="1" ht="38.25" hidden="1" outlineLevel="1">
      <c r="A89" s="348" t="s">
        <v>354</v>
      </c>
      <c r="B89" s="348" t="s">
        <v>355</v>
      </c>
      <c r="C89" s="349" t="s">
        <v>356</v>
      </c>
      <c r="D89" s="383">
        <v>240</v>
      </c>
      <c r="E89" s="384">
        <v>0</v>
      </c>
      <c r="F89" s="384">
        <v>0</v>
      </c>
      <c r="G89" s="384">
        <v>0</v>
      </c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1"/>
      <c r="AT89" s="351"/>
      <c r="AU89" s="351"/>
      <c r="AV89" s="351"/>
      <c r="AW89" s="351"/>
      <c r="AX89" s="351"/>
    </row>
    <row r="90" spans="1:50" s="348" customFormat="1" ht="38.25" hidden="1" outlineLevel="1">
      <c r="A90" s="348" t="s">
        <v>357</v>
      </c>
      <c r="B90" s="348" t="s">
        <v>358</v>
      </c>
      <c r="C90" s="349" t="s">
        <v>359</v>
      </c>
      <c r="D90" s="383">
        <v>0</v>
      </c>
      <c r="E90" s="384">
        <v>13719.32</v>
      </c>
      <c r="F90" s="384">
        <v>0</v>
      </c>
      <c r="G90" s="384">
        <v>0</v>
      </c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51"/>
      <c r="AV90" s="351"/>
      <c r="AW90" s="351"/>
      <c r="AX90" s="351"/>
    </row>
    <row r="91" spans="1:50" s="348" customFormat="1" ht="38.25" hidden="1" outlineLevel="1">
      <c r="A91" s="348" t="s">
        <v>411</v>
      </c>
      <c r="B91" s="348" t="s">
        <v>412</v>
      </c>
      <c r="C91" s="349" t="s">
        <v>413</v>
      </c>
      <c r="D91" s="383">
        <v>0</v>
      </c>
      <c r="E91" s="384">
        <v>435.39</v>
      </c>
      <c r="F91" s="384">
        <v>0</v>
      </c>
      <c r="G91" s="384">
        <v>0</v>
      </c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  <c r="AU91" s="351"/>
      <c r="AV91" s="351"/>
      <c r="AW91" s="351"/>
      <c r="AX91" s="351"/>
    </row>
    <row r="92" spans="1:50" s="348" customFormat="1" ht="38.25" hidden="1" outlineLevel="1">
      <c r="A92" s="348" t="s">
        <v>414</v>
      </c>
      <c r="B92" s="348" t="s">
        <v>415</v>
      </c>
      <c r="C92" s="349" t="s">
        <v>416</v>
      </c>
      <c r="D92" s="383">
        <v>4596.05</v>
      </c>
      <c r="E92" s="384">
        <v>0</v>
      </c>
      <c r="F92" s="384">
        <v>0</v>
      </c>
      <c r="G92" s="384">
        <v>0</v>
      </c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351"/>
      <c r="AS92" s="351"/>
      <c r="AT92" s="351"/>
      <c r="AU92" s="351"/>
      <c r="AV92" s="351"/>
      <c r="AW92" s="351"/>
      <c r="AX92" s="351"/>
    </row>
    <row r="93" spans="1:50" s="348" customFormat="1" ht="38.25" hidden="1" outlineLevel="1">
      <c r="A93" s="348" t="s">
        <v>417</v>
      </c>
      <c r="B93" s="348" t="s">
        <v>418</v>
      </c>
      <c r="C93" s="349" t="s">
        <v>419</v>
      </c>
      <c r="D93" s="383">
        <v>3486.91</v>
      </c>
      <c r="E93" s="384">
        <v>0</v>
      </c>
      <c r="F93" s="384">
        <v>0</v>
      </c>
      <c r="G93" s="384">
        <v>0</v>
      </c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  <c r="AS93" s="351"/>
      <c r="AT93" s="351"/>
      <c r="AU93" s="351"/>
      <c r="AV93" s="351"/>
      <c r="AW93" s="351"/>
      <c r="AX93" s="351"/>
    </row>
    <row r="94" spans="1:50" s="348" customFormat="1" ht="38.25" hidden="1" outlineLevel="1">
      <c r="A94" s="348" t="s">
        <v>420</v>
      </c>
      <c r="B94" s="348" t="s">
        <v>421</v>
      </c>
      <c r="C94" s="349" t="s">
        <v>422</v>
      </c>
      <c r="D94" s="383">
        <v>9358.2</v>
      </c>
      <c r="E94" s="384">
        <v>0</v>
      </c>
      <c r="F94" s="384">
        <v>0</v>
      </c>
      <c r="G94" s="384">
        <v>0</v>
      </c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  <c r="AS94" s="351"/>
      <c r="AT94" s="351"/>
      <c r="AU94" s="351"/>
      <c r="AV94" s="351"/>
      <c r="AW94" s="351"/>
      <c r="AX94" s="351"/>
    </row>
    <row r="95" spans="1:50" s="348" customFormat="1" ht="38.25" hidden="1" outlineLevel="1">
      <c r="A95" s="348" t="s">
        <v>429</v>
      </c>
      <c r="B95" s="348" t="s">
        <v>430</v>
      </c>
      <c r="C95" s="349" t="s">
        <v>431</v>
      </c>
      <c r="D95" s="383">
        <v>6293.34</v>
      </c>
      <c r="E95" s="384">
        <v>0</v>
      </c>
      <c r="F95" s="384">
        <v>0</v>
      </c>
      <c r="G95" s="384">
        <v>0</v>
      </c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  <c r="AS95" s="351"/>
      <c r="AT95" s="351"/>
      <c r="AU95" s="351"/>
      <c r="AV95" s="351"/>
      <c r="AW95" s="351"/>
      <c r="AX95" s="351"/>
    </row>
    <row r="96" spans="1:50" s="348" customFormat="1" ht="38.25" hidden="1" outlineLevel="1">
      <c r="A96" s="348" t="s">
        <v>528</v>
      </c>
      <c r="B96" s="348" t="s">
        <v>529</v>
      </c>
      <c r="C96" s="349" t="s">
        <v>530</v>
      </c>
      <c r="D96" s="383">
        <v>89591.52</v>
      </c>
      <c r="E96" s="384">
        <v>8941.22</v>
      </c>
      <c r="F96" s="384">
        <v>0</v>
      </c>
      <c r="G96" s="384">
        <v>0</v>
      </c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  <c r="AS96" s="351"/>
      <c r="AT96" s="351"/>
      <c r="AU96" s="351"/>
      <c r="AV96" s="351"/>
      <c r="AW96" s="351"/>
      <c r="AX96" s="351"/>
    </row>
    <row r="97" spans="1:50" s="348" customFormat="1" ht="38.25" hidden="1" outlineLevel="1">
      <c r="A97" s="348" t="s">
        <v>531</v>
      </c>
      <c r="B97" s="348" t="s">
        <v>1657</v>
      </c>
      <c r="C97" s="349" t="s">
        <v>1658</v>
      </c>
      <c r="D97" s="383">
        <v>3039.2</v>
      </c>
      <c r="E97" s="384">
        <v>921.76</v>
      </c>
      <c r="F97" s="384">
        <v>0</v>
      </c>
      <c r="G97" s="384">
        <v>0</v>
      </c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  <c r="AS97" s="351"/>
      <c r="AT97" s="351"/>
      <c r="AU97" s="351"/>
      <c r="AV97" s="351"/>
      <c r="AW97" s="351"/>
      <c r="AX97" s="351"/>
    </row>
    <row r="98" spans="1:50" s="348" customFormat="1" ht="38.25" hidden="1" outlineLevel="1">
      <c r="A98" s="348" t="s">
        <v>1671</v>
      </c>
      <c r="B98" s="348" t="s">
        <v>1672</v>
      </c>
      <c r="C98" s="349" t="s">
        <v>1673</v>
      </c>
      <c r="D98" s="383">
        <v>600</v>
      </c>
      <c r="E98" s="384">
        <v>0</v>
      </c>
      <c r="F98" s="384">
        <v>0</v>
      </c>
      <c r="G98" s="384">
        <v>0</v>
      </c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  <c r="AS98" s="351"/>
      <c r="AT98" s="351"/>
      <c r="AU98" s="351"/>
      <c r="AV98" s="351"/>
      <c r="AW98" s="351"/>
      <c r="AX98" s="351"/>
    </row>
    <row r="99" spans="1:50" s="348" customFormat="1" ht="38.25" hidden="1" outlineLevel="1">
      <c r="A99" s="348" t="s">
        <v>1677</v>
      </c>
      <c r="B99" s="348" t="s">
        <v>1678</v>
      </c>
      <c r="C99" s="349" t="s">
        <v>1679</v>
      </c>
      <c r="D99" s="383">
        <v>60200</v>
      </c>
      <c r="E99" s="384">
        <v>0</v>
      </c>
      <c r="F99" s="384">
        <v>0</v>
      </c>
      <c r="G99" s="384">
        <v>0</v>
      </c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  <c r="AS99" s="351"/>
      <c r="AT99" s="351"/>
      <c r="AU99" s="351"/>
      <c r="AV99" s="351"/>
      <c r="AW99" s="351"/>
      <c r="AX99" s="351"/>
    </row>
    <row r="100" spans="1:50" s="348" customFormat="1" ht="38.25" hidden="1" outlineLevel="1">
      <c r="A100" s="348" t="s">
        <v>1680</v>
      </c>
      <c r="B100" s="348" t="s">
        <v>1681</v>
      </c>
      <c r="C100" s="349" t="s">
        <v>1682</v>
      </c>
      <c r="D100" s="383">
        <v>13373</v>
      </c>
      <c r="E100" s="384">
        <v>23190.99</v>
      </c>
      <c r="F100" s="384">
        <v>30907.83</v>
      </c>
      <c r="G100" s="384">
        <v>0</v>
      </c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  <c r="AS100" s="351"/>
      <c r="AT100" s="351"/>
      <c r="AU100" s="351"/>
      <c r="AV100" s="351"/>
      <c r="AW100" s="351"/>
      <c r="AX100" s="351"/>
    </row>
    <row r="101" spans="1:50" s="348" customFormat="1" ht="38.25" hidden="1" outlineLevel="1">
      <c r="A101" s="348" t="s">
        <v>1683</v>
      </c>
      <c r="B101" s="348" t="s">
        <v>1684</v>
      </c>
      <c r="C101" s="349" t="s">
        <v>1685</v>
      </c>
      <c r="D101" s="383">
        <v>0</v>
      </c>
      <c r="E101" s="384">
        <v>22095.87</v>
      </c>
      <c r="F101" s="384">
        <v>8392.81</v>
      </c>
      <c r="G101" s="384">
        <v>0</v>
      </c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  <c r="AS101" s="351"/>
      <c r="AT101" s="351"/>
      <c r="AU101" s="351"/>
      <c r="AV101" s="351"/>
      <c r="AW101" s="351"/>
      <c r="AX101" s="351"/>
    </row>
    <row r="102" spans="1:50" s="348" customFormat="1" ht="38.25" hidden="1" outlineLevel="1">
      <c r="A102" s="348" t="s">
        <v>1686</v>
      </c>
      <c r="B102" s="348" t="s">
        <v>1687</v>
      </c>
      <c r="C102" s="349" t="s">
        <v>1688</v>
      </c>
      <c r="D102" s="383">
        <v>354.58</v>
      </c>
      <c r="E102" s="384">
        <v>38920</v>
      </c>
      <c r="F102" s="384">
        <v>0</v>
      </c>
      <c r="G102" s="384">
        <v>0</v>
      </c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  <c r="AR102" s="351"/>
      <c r="AS102" s="351"/>
      <c r="AT102" s="351"/>
      <c r="AU102" s="351"/>
      <c r="AV102" s="351"/>
      <c r="AW102" s="351"/>
      <c r="AX102" s="351"/>
    </row>
    <row r="103" spans="1:50" s="348" customFormat="1" ht="38.25" hidden="1" outlineLevel="1">
      <c r="A103" s="348" t="s">
        <v>1689</v>
      </c>
      <c r="B103" s="348" t="s">
        <v>1690</v>
      </c>
      <c r="C103" s="349" t="s">
        <v>1691</v>
      </c>
      <c r="D103" s="383">
        <v>327380.14</v>
      </c>
      <c r="E103" s="384">
        <v>45763.2</v>
      </c>
      <c r="F103" s="384">
        <v>0</v>
      </c>
      <c r="G103" s="384">
        <v>0</v>
      </c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  <c r="AR103" s="351"/>
      <c r="AS103" s="351"/>
      <c r="AT103" s="351"/>
      <c r="AU103" s="351"/>
      <c r="AV103" s="351"/>
      <c r="AW103" s="351"/>
      <c r="AX103" s="351"/>
    </row>
    <row r="104" spans="1:50" s="348" customFormat="1" ht="38.25" hidden="1" outlineLevel="1">
      <c r="A104" s="348" t="s">
        <v>1692</v>
      </c>
      <c r="B104" s="348" t="s">
        <v>1693</v>
      </c>
      <c r="C104" s="349" t="s">
        <v>1694</v>
      </c>
      <c r="D104" s="383">
        <v>1536.75</v>
      </c>
      <c r="E104" s="384">
        <v>0</v>
      </c>
      <c r="F104" s="384">
        <v>0</v>
      </c>
      <c r="G104" s="384">
        <v>0</v>
      </c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  <c r="AR104" s="351"/>
      <c r="AS104" s="351"/>
      <c r="AT104" s="351"/>
      <c r="AU104" s="351"/>
      <c r="AV104" s="351"/>
      <c r="AW104" s="351"/>
      <c r="AX104" s="351"/>
    </row>
    <row r="105" spans="1:50" ht="12.75" customHeight="1" collapsed="1">
      <c r="A105" s="362" t="s">
        <v>904</v>
      </c>
      <c r="B105" s="379" t="s">
        <v>905</v>
      </c>
      <c r="C105" s="380"/>
      <c r="D105" s="382">
        <v>723380.72</v>
      </c>
      <c r="E105" s="382">
        <v>253311.14</v>
      </c>
      <c r="F105" s="382">
        <v>54383.44</v>
      </c>
      <c r="G105" s="382">
        <v>0</v>
      </c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  <c r="AT105" s="362"/>
      <c r="AU105" s="362"/>
      <c r="AV105" s="362"/>
      <c r="AW105" s="362"/>
      <c r="AX105" s="362"/>
    </row>
    <row r="106" spans="1:50" s="348" customFormat="1" ht="38.25" hidden="1" outlineLevel="1">
      <c r="A106" s="348" t="s">
        <v>486</v>
      </c>
      <c r="B106" s="348" t="s">
        <v>487</v>
      </c>
      <c r="C106" s="349" t="s">
        <v>488</v>
      </c>
      <c r="D106" s="383">
        <v>814</v>
      </c>
      <c r="E106" s="384">
        <v>0</v>
      </c>
      <c r="F106" s="384">
        <v>0</v>
      </c>
      <c r="G106" s="384">
        <v>0</v>
      </c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</row>
    <row r="107" spans="1:50" s="348" customFormat="1" ht="38.25" hidden="1" outlineLevel="1">
      <c r="A107" s="348" t="s">
        <v>489</v>
      </c>
      <c r="B107" s="348" t="s">
        <v>490</v>
      </c>
      <c r="C107" s="349" t="s">
        <v>491</v>
      </c>
      <c r="D107" s="383">
        <v>4762.5</v>
      </c>
      <c r="E107" s="384">
        <v>-0.35</v>
      </c>
      <c r="F107" s="384">
        <v>0</v>
      </c>
      <c r="G107" s="384">
        <v>0</v>
      </c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  <c r="AR107" s="351"/>
      <c r="AS107" s="351"/>
      <c r="AT107" s="351"/>
      <c r="AU107" s="351"/>
      <c r="AV107" s="351"/>
      <c r="AW107" s="351"/>
      <c r="AX107" s="351"/>
    </row>
    <row r="108" spans="1:50" s="348" customFormat="1" ht="38.25" hidden="1" outlineLevel="1">
      <c r="A108" s="348" t="s">
        <v>492</v>
      </c>
      <c r="B108" s="348" t="s">
        <v>493</v>
      </c>
      <c r="C108" s="349" t="s">
        <v>494</v>
      </c>
      <c r="D108" s="383">
        <v>0</v>
      </c>
      <c r="E108" s="384">
        <v>9254.39</v>
      </c>
      <c r="F108" s="384">
        <v>0</v>
      </c>
      <c r="G108" s="384">
        <v>0</v>
      </c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  <c r="AS108" s="351"/>
      <c r="AT108" s="351"/>
      <c r="AU108" s="351"/>
      <c r="AV108" s="351"/>
      <c r="AW108" s="351"/>
      <c r="AX108" s="351"/>
    </row>
    <row r="109" spans="1:50" s="348" customFormat="1" ht="38.25" hidden="1" outlineLevel="1">
      <c r="A109" s="348" t="s">
        <v>495</v>
      </c>
      <c r="B109" s="348" t="s">
        <v>496</v>
      </c>
      <c r="C109" s="349" t="s">
        <v>497</v>
      </c>
      <c r="D109" s="383">
        <v>12</v>
      </c>
      <c r="E109" s="384">
        <v>0</v>
      </c>
      <c r="F109" s="384">
        <v>0</v>
      </c>
      <c r="G109" s="384">
        <v>0</v>
      </c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  <c r="AS109" s="351"/>
      <c r="AT109" s="351"/>
      <c r="AU109" s="351"/>
      <c r="AV109" s="351"/>
      <c r="AW109" s="351"/>
      <c r="AX109" s="351"/>
    </row>
    <row r="110" spans="1:50" s="348" customFormat="1" ht="38.25" hidden="1" outlineLevel="1">
      <c r="A110" s="348" t="s">
        <v>498</v>
      </c>
      <c r="B110" s="348" t="s">
        <v>499</v>
      </c>
      <c r="C110" s="349" t="s">
        <v>500</v>
      </c>
      <c r="D110" s="383">
        <v>72760.83</v>
      </c>
      <c r="E110" s="384">
        <v>0</v>
      </c>
      <c r="F110" s="384">
        <v>0</v>
      </c>
      <c r="G110" s="384">
        <v>0</v>
      </c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351"/>
      <c r="AS110" s="351"/>
      <c r="AT110" s="351"/>
      <c r="AU110" s="351"/>
      <c r="AV110" s="351"/>
      <c r="AW110" s="351"/>
      <c r="AX110" s="351"/>
    </row>
    <row r="111" spans="1:50" s="348" customFormat="1" ht="38.25" hidden="1" outlineLevel="1">
      <c r="A111" s="348" t="s">
        <v>501</v>
      </c>
      <c r="B111" s="348" t="s">
        <v>502</v>
      </c>
      <c r="C111" s="349" t="s">
        <v>503</v>
      </c>
      <c r="D111" s="383">
        <v>8634</v>
      </c>
      <c r="E111" s="384">
        <v>6272.25</v>
      </c>
      <c r="F111" s="384">
        <v>0</v>
      </c>
      <c r="G111" s="384">
        <v>0</v>
      </c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  <c r="AR111" s="351"/>
      <c r="AS111" s="351"/>
      <c r="AT111" s="351"/>
      <c r="AU111" s="351"/>
      <c r="AV111" s="351"/>
      <c r="AW111" s="351"/>
      <c r="AX111" s="351"/>
    </row>
    <row r="112" spans="1:50" s="348" customFormat="1" ht="38.25" hidden="1" outlineLevel="1">
      <c r="A112" s="348" t="s">
        <v>507</v>
      </c>
      <c r="B112" s="348" t="s">
        <v>508</v>
      </c>
      <c r="C112" s="349" t="s">
        <v>509</v>
      </c>
      <c r="D112" s="383">
        <v>0</v>
      </c>
      <c r="E112" s="384">
        <v>2897.65</v>
      </c>
      <c r="F112" s="384">
        <v>599.01</v>
      </c>
      <c r="G112" s="384">
        <v>0</v>
      </c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  <c r="AR112" s="351"/>
      <c r="AS112" s="351"/>
      <c r="AT112" s="351"/>
      <c r="AU112" s="351"/>
      <c r="AV112" s="351"/>
      <c r="AW112" s="351"/>
      <c r="AX112" s="351"/>
    </row>
    <row r="113" spans="1:50" ht="12.75" customHeight="1" collapsed="1">
      <c r="A113" s="362" t="s">
        <v>906</v>
      </c>
      <c r="B113" s="379" t="s">
        <v>907</v>
      </c>
      <c r="C113" s="380"/>
      <c r="D113" s="382">
        <v>86983.33</v>
      </c>
      <c r="E113" s="382">
        <v>18423.94</v>
      </c>
      <c r="F113" s="382">
        <v>599.01</v>
      </c>
      <c r="G113" s="382">
        <v>0</v>
      </c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</row>
    <row r="114" spans="1:50" s="348" customFormat="1" ht="38.25" hidden="1" outlineLevel="1">
      <c r="A114" s="348" t="s">
        <v>2874</v>
      </c>
      <c r="B114" s="348" t="s">
        <v>2875</v>
      </c>
      <c r="C114" s="349" t="s">
        <v>2876</v>
      </c>
      <c r="D114" s="383">
        <v>-293488.6</v>
      </c>
      <c r="E114" s="384">
        <v>-83840</v>
      </c>
      <c r="F114" s="384">
        <v>-6879.54</v>
      </c>
      <c r="G114" s="384">
        <v>0</v>
      </c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  <c r="AS114" s="351"/>
      <c r="AT114" s="351"/>
      <c r="AU114" s="351"/>
      <c r="AV114" s="351"/>
      <c r="AW114" s="351"/>
      <c r="AX114" s="351"/>
    </row>
    <row r="115" spans="1:50" s="348" customFormat="1" ht="38.25" hidden="1" outlineLevel="1">
      <c r="A115" s="348" t="s">
        <v>2907</v>
      </c>
      <c r="B115" s="348" t="s">
        <v>2908</v>
      </c>
      <c r="C115" s="349" t="s">
        <v>2909</v>
      </c>
      <c r="D115" s="383">
        <v>8264.75</v>
      </c>
      <c r="E115" s="384">
        <v>0</v>
      </c>
      <c r="F115" s="384">
        <v>151.95</v>
      </c>
      <c r="G115" s="384">
        <v>0</v>
      </c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  <c r="AR115" s="351"/>
      <c r="AS115" s="351"/>
      <c r="AT115" s="351"/>
      <c r="AU115" s="351"/>
      <c r="AV115" s="351"/>
      <c r="AW115" s="351"/>
      <c r="AX115" s="351"/>
    </row>
    <row r="116" spans="1:50" s="348" customFormat="1" ht="38.25" hidden="1" outlineLevel="1">
      <c r="A116" s="348" t="s">
        <v>2910</v>
      </c>
      <c r="B116" s="348" t="s">
        <v>2911</v>
      </c>
      <c r="C116" s="349" t="s">
        <v>2912</v>
      </c>
      <c r="D116" s="383">
        <v>1308.67</v>
      </c>
      <c r="E116" s="384">
        <v>2113.29</v>
      </c>
      <c r="F116" s="384">
        <v>0</v>
      </c>
      <c r="G116" s="384">
        <v>0</v>
      </c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  <c r="AS116" s="351"/>
      <c r="AT116" s="351"/>
      <c r="AU116" s="351"/>
      <c r="AV116" s="351"/>
      <c r="AW116" s="351"/>
      <c r="AX116" s="351"/>
    </row>
    <row r="117" spans="1:50" s="348" customFormat="1" ht="38.25" hidden="1" outlineLevel="1">
      <c r="A117" s="348" t="s">
        <v>2913</v>
      </c>
      <c r="B117" s="348" t="s">
        <v>2914</v>
      </c>
      <c r="C117" s="349" t="s">
        <v>2915</v>
      </c>
      <c r="D117" s="383">
        <v>9607.13</v>
      </c>
      <c r="E117" s="384">
        <v>3286.83</v>
      </c>
      <c r="F117" s="384">
        <v>0</v>
      </c>
      <c r="G117" s="384">
        <v>0</v>
      </c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  <c r="AS117" s="351"/>
      <c r="AT117" s="351"/>
      <c r="AU117" s="351"/>
      <c r="AV117" s="351"/>
      <c r="AW117" s="351"/>
      <c r="AX117" s="351"/>
    </row>
    <row r="118" spans="1:50" s="348" customFormat="1" ht="38.25" hidden="1" outlineLevel="1">
      <c r="A118" s="348" t="s">
        <v>2922</v>
      </c>
      <c r="B118" s="348" t="s">
        <v>2923</v>
      </c>
      <c r="C118" s="349" t="s">
        <v>2924</v>
      </c>
      <c r="D118" s="383">
        <v>0</v>
      </c>
      <c r="E118" s="384">
        <v>60472.72</v>
      </c>
      <c r="F118" s="384">
        <v>0</v>
      </c>
      <c r="G118" s="384">
        <v>0</v>
      </c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  <c r="AS118" s="351"/>
      <c r="AT118" s="351"/>
      <c r="AU118" s="351"/>
      <c r="AV118" s="351"/>
      <c r="AW118" s="351"/>
      <c r="AX118" s="351"/>
    </row>
    <row r="119" spans="1:50" s="348" customFormat="1" ht="38.25" hidden="1" outlineLevel="1">
      <c r="A119" s="348" t="s">
        <v>2925</v>
      </c>
      <c r="B119" s="348" t="s">
        <v>2926</v>
      </c>
      <c r="C119" s="349" t="s">
        <v>2927</v>
      </c>
      <c r="D119" s="383">
        <v>0</v>
      </c>
      <c r="E119" s="384">
        <v>183173.53</v>
      </c>
      <c r="F119" s="384">
        <v>0</v>
      </c>
      <c r="G119" s="384">
        <v>0</v>
      </c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  <c r="AR119" s="351"/>
      <c r="AS119" s="351"/>
      <c r="AT119" s="351"/>
      <c r="AU119" s="351"/>
      <c r="AV119" s="351"/>
      <c r="AW119" s="351"/>
      <c r="AX119" s="351"/>
    </row>
    <row r="120" spans="1:50" s="348" customFormat="1" ht="38.25" hidden="1" outlineLevel="1">
      <c r="A120" s="348" t="s">
        <v>2928</v>
      </c>
      <c r="B120" s="348" t="s">
        <v>2929</v>
      </c>
      <c r="C120" s="349" t="s">
        <v>2930</v>
      </c>
      <c r="D120" s="383">
        <v>0</v>
      </c>
      <c r="E120" s="384">
        <v>55162.96</v>
      </c>
      <c r="F120" s="384">
        <v>0</v>
      </c>
      <c r="G120" s="384">
        <v>0</v>
      </c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  <c r="AS120" s="351"/>
      <c r="AT120" s="351"/>
      <c r="AU120" s="351"/>
      <c r="AV120" s="351"/>
      <c r="AW120" s="351"/>
      <c r="AX120" s="351"/>
    </row>
    <row r="121" spans="1:50" s="348" customFormat="1" ht="38.25" hidden="1" outlineLevel="1">
      <c r="A121" s="348" t="s">
        <v>2940</v>
      </c>
      <c r="B121" s="348" t="s">
        <v>2941</v>
      </c>
      <c r="C121" s="349" t="s">
        <v>2942</v>
      </c>
      <c r="D121" s="383">
        <v>1266.32</v>
      </c>
      <c r="E121" s="384">
        <v>92.97</v>
      </c>
      <c r="F121" s="384">
        <v>0</v>
      </c>
      <c r="G121" s="384">
        <v>0</v>
      </c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  <c r="AS121" s="351"/>
      <c r="AT121" s="351"/>
      <c r="AU121" s="351"/>
      <c r="AV121" s="351"/>
      <c r="AW121" s="351"/>
      <c r="AX121" s="351"/>
    </row>
    <row r="122" spans="1:50" s="348" customFormat="1" ht="38.25" hidden="1" outlineLevel="1">
      <c r="A122" s="348" t="s">
        <v>2943</v>
      </c>
      <c r="B122" s="348" t="s">
        <v>2944</v>
      </c>
      <c r="C122" s="349" t="s">
        <v>2945</v>
      </c>
      <c r="D122" s="383">
        <v>83.36</v>
      </c>
      <c r="E122" s="384">
        <v>0</v>
      </c>
      <c r="F122" s="384">
        <v>0</v>
      </c>
      <c r="G122" s="384">
        <v>0</v>
      </c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51"/>
      <c r="AS122" s="351"/>
      <c r="AT122" s="351"/>
      <c r="AU122" s="351"/>
      <c r="AV122" s="351"/>
      <c r="AW122" s="351"/>
      <c r="AX122" s="351"/>
    </row>
    <row r="123" spans="1:50" s="348" customFormat="1" ht="38.25" hidden="1" outlineLevel="1">
      <c r="A123" s="348" t="s">
        <v>2949</v>
      </c>
      <c r="B123" s="348" t="s">
        <v>2950</v>
      </c>
      <c r="C123" s="349" t="s">
        <v>2951</v>
      </c>
      <c r="D123" s="383">
        <v>1087.23</v>
      </c>
      <c r="E123" s="384">
        <v>0</v>
      </c>
      <c r="F123" s="384">
        <v>0</v>
      </c>
      <c r="G123" s="384">
        <v>0</v>
      </c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51"/>
      <c r="AS123" s="351"/>
      <c r="AT123" s="351"/>
      <c r="AU123" s="351"/>
      <c r="AV123" s="351"/>
      <c r="AW123" s="351"/>
      <c r="AX123" s="351"/>
    </row>
    <row r="124" spans="1:50" s="348" customFormat="1" ht="38.25" hidden="1" outlineLevel="1">
      <c r="A124" s="348" t="s">
        <v>2964</v>
      </c>
      <c r="B124" s="348" t="s">
        <v>2965</v>
      </c>
      <c r="C124" s="349" t="s">
        <v>2966</v>
      </c>
      <c r="D124" s="383">
        <v>1711.24</v>
      </c>
      <c r="E124" s="384">
        <v>0</v>
      </c>
      <c r="F124" s="384">
        <v>12.75</v>
      </c>
      <c r="G124" s="384">
        <v>0</v>
      </c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  <c r="AR124" s="351"/>
      <c r="AS124" s="351"/>
      <c r="AT124" s="351"/>
      <c r="AU124" s="351"/>
      <c r="AV124" s="351"/>
      <c r="AW124" s="351"/>
      <c r="AX124" s="351"/>
    </row>
    <row r="125" spans="1:50" s="348" customFormat="1" ht="38.25" hidden="1" outlineLevel="1">
      <c r="A125" s="348" t="s">
        <v>2967</v>
      </c>
      <c r="B125" s="348" t="s">
        <v>2968</v>
      </c>
      <c r="C125" s="349" t="s">
        <v>2969</v>
      </c>
      <c r="D125" s="383">
        <v>7473.33</v>
      </c>
      <c r="E125" s="384">
        <v>1915.47</v>
      </c>
      <c r="F125" s="384">
        <v>0</v>
      </c>
      <c r="G125" s="384">
        <v>0</v>
      </c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  <c r="AR125" s="351"/>
      <c r="AS125" s="351"/>
      <c r="AT125" s="351"/>
      <c r="AU125" s="351"/>
      <c r="AV125" s="351"/>
      <c r="AW125" s="351"/>
      <c r="AX125" s="351"/>
    </row>
    <row r="126" spans="1:50" s="348" customFormat="1" ht="38.25" hidden="1" outlineLevel="1">
      <c r="A126" s="348" t="s">
        <v>2973</v>
      </c>
      <c r="B126" s="348" t="s">
        <v>2974</v>
      </c>
      <c r="C126" s="349" t="s">
        <v>2975</v>
      </c>
      <c r="D126" s="383">
        <v>0</v>
      </c>
      <c r="E126" s="384">
        <v>3932.23</v>
      </c>
      <c r="F126" s="384">
        <v>0</v>
      </c>
      <c r="G126" s="384">
        <v>0</v>
      </c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  <c r="AR126" s="351"/>
      <c r="AS126" s="351"/>
      <c r="AT126" s="351"/>
      <c r="AU126" s="351"/>
      <c r="AV126" s="351"/>
      <c r="AW126" s="351"/>
      <c r="AX126" s="351"/>
    </row>
    <row r="127" spans="1:50" s="348" customFormat="1" ht="38.25" hidden="1" outlineLevel="1">
      <c r="A127" s="348" t="s">
        <v>2976</v>
      </c>
      <c r="B127" s="348" t="s">
        <v>2977</v>
      </c>
      <c r="C127" s="349" t="s">
        <v>2978</v>
      </c>
      <c r="D127" s="383">
        <v>32.32</v>
      </c>
      <c r="E127" s="384">
        <v>0</v>
      </c>
      <c r="F127" s="384">
        <v>12.17</v>
      </c>
      <c r="G127" s="384">
        <v>0</v>
      </c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  <c r="AR127" s="351"/>
      <c r="AS127" s="351"/>
      <c r="AT127" s="351"/>
      <c r="AU127" s="351"/>
      <c r="AV127" s="351"/>
      <c r="AW127" s="351"/>
      <c r="AX127" s="351"/>
    </row>
    <row r="128" spans="1:50" s="348" customFormat="1" ht="38.25" hidden="1" outlineLevel="1">
      <c r="A128" s="348" t="s">
        <v>2982</v>
      </c>
      <c r="B128" s="348" t="s">
        <v>235</v>
      </c>
      <c r="C128" s="349" t="s">
        <v>236</v>
      </c>
      <c r="D128" s="383">
        <v>68842.39</v>
      </c>
      <c r="E128" s="384">
        <v>5432.63</v>
      </c>
      <c r="F128" s="384">
        <v>0</v>
      </c>
      <c r="G128" s="384">
        <v>0</v>
      </c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1"/>
      <c r="AS128" s="351"/>
      <c r="AT128" s="351"/>
      <c r="AU128" s="351"/>
      <c r="AV128" s="351"/>
      <c r="AW128" s="351"/>
      <c r="AX128" s="351"/>
    </row>
    <row r="129" spans="1:50" s="348" customFormat="1" ht="38.25" hidden="1" outlineLevel="1">
      <c r="A129" s="348" t="s">
        <v>246</v>
      </c>
      <c r="B129" s="348" t="s">
        <v>247</v>
      </c>
      <c r="C129" s="349" t="s">
        <v>248</v>
      </c>
      <c r="D129" s="383">
        <v>2575.63</v>
      </c>
      <c r="E129" s="384">
        <v>0</v>
      </c>
      <c r="F129" s="384">
        <v>0</v>
      </c>
      <c r="G129" s="384">
        <v>0</v>
      </c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  <c r="AR129" s="351"/>
      <c r="AS129" s="351"/>
      <c r="AT129" s="351"/>
      <c r="AU129" s="351"/>
      <c r="AV129" s="351"/>
      <c r="AW129" s="351"/>
      <c r="AX129" s="351"/>
    </row>
    <row r="130" spans="1:50" s="348" customFormat="1" ht="38.25" hidden="1" outlineLevel="1">
      <c r="A130" s="348" t="s">
        <v>252</v>
      </c>
      <c r="B130" s="348" t="s">
        <v>253</v>
      </c>
      <c r="C130" s="349" t="s">
        <v>254</v>
      </c>
      <c r="D130" s="383">
        <v>1175.85</v>
      </c>
      <c r="E130" s="384">
        <v>0</v>
      </c>
      <c r="F130" s="384">
        <v>0</v>
      </c>
      <c r="G130" s="384">
        <v>0</v>
      </c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  <c r="AR130" s="351"/>
      <c r="AS130" s="351"/>
      <c r="AT130" s="351"/>
      <c r="AU130" s="351"/>
      <c r="AV130" s="351"/>
      <c r="AW130" s="351"/>
      <c r="AX130" s="351"/>
    </row>
    <row r="131" spans="1:50" s="348" customFormat="1" ht="38.25" hidden="1" outlineLevel="1">
      <c r="A131" s="348" t="s">
        <v>255</v>
      </c>
      <c r="B131" s="348" t="s">
        <v>256</v>
      </c>
      <c r="C131" s="349" t="s">
        <v>257</v>
      </c>
      <c r="D131" s="383">
        <v>866</v>
      </c>
      <c r="E131" s="384">
        <v>0</v>
      </c>
      <c r="F131" s="384">
        <v>0</v>
      </c>
      <c r="G131" s="384">
        <v>0</v>
      </c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  <c r="AR131" s="351"/>
      <c r="AS131" s="351"/>
      <c r="AT131" s="351"/>
      <c r="AU131" s="351"/>
      <c r="AV131" s="351"/>
      <c r="AW131" s="351"/>
      <c r="AX131" s="351"/>
    </row>
    <row r="132" spans="1:50" s="348" customFormat="1" ht="38.25" hidden="1" outlineLevel="1">
      <c r="A132" s="348" t="s">
        <v>258</v>
      </c>
      <c r="B132" s="348" t="s">
        <v>259</v>
      </c>
      <c r="C132" s="349" t="s">
        <v>260</v>
      </c>
      <c r="D132" s="383">
        <v>4712.12</v>
      </c>
      <c r="E132" s="384">
        <v>0</v>
      </c>
      <c r="F132" s="384">
        <v>0</v>
      </c>
      <c r="G132" s="384">
        <v>0</v>
      </c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  <c r="AR132" s="351"/>
      <c r="AS132" s="351"/>
      <c r="AT132" s="351"/>
      <c r="AU132" s="351"/>
      <c r="AV132" s="351"/>
      <c r="AW132" s="351"/>
      <c r="AX132" s="351"/>
    </row>
    <row r="133" spans="1:50" s="348" customFormat="1" ht="38.25" hidden="1" outlineLevel="1">
      <c r="A133" s="348" t="s">
        <v>264</v>
      </c>
      <c r="B133" s="348" t="s">
        <v>265</v>
      </c>
      <c r="C133" s="349" t="s">
        <v>266</v>
      </c>
      <c r="D133" s="383">
        <v>3320.4</v>
      </c>
      <c r="E133" s="384">
        <v>0</v>
      </c>
      <c r="F133" s="384">
        <v>0</v>
      </c>
      <c r="G133" s="384">
        <v>0</v>
      </c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  <c r="AR133" s="351"/>
      <c r="AS133" s="351"/>
      <c r="AT133" s="351"/>
      <c r="AU133" s="351"/>
      <c r="AV133" s="351"/>
      <c r="AW133" s="351"/>
      <c r="AX133" s="351"/>
    </row>
    <row r="134" spans="1:50" s="348" customFormat="1" ht="38.25" hidden="1" outlineLevel="1">
      <c r="A134" s="348" t="s">
        <v>270</v>
      </c>
      <c r="B134" s="348" t="s">
        <v>271</v>
      </c>
      <c r="C134" s="349" t="s">
        <v>272</v>
      </c>
      <c r="D134" s="383">
        <v>3397.12</v>
      </c>
      <c r="E134" s="384">
        <v>2123.2</v>
      </c>
      <c r="F134" s="384">
        <v>849.28</v>
      </c>
      <c r="G134" s="384">
        <v>0</v>
      </c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  <c r="AR134" s="351"/>
      <c r="AS134" s="351"/>
      <c r="AT134" s="351"/>
      <c r="AU134" s="351"/>
      <c r="AV134" s="351"/>
      <c r="AW134" s="351"/>
      <c r="AX134" s="351"/>
    </row>
    <row r="135" spans="1:50" s="348" customFormat="1" ht="38.25" hidden="1" outlineLevel="1">
      <c r="A135" s="348" t="s">
        <v>273</v>
      </c>
      <c r="B135" s="348" t="s">
        <v>274</v>
      </c>
      <c r="C135" s="349" t="s">
        <v>275</v>
      </c>
      <c r="D135" s="383">
        <v>8360.99</v>
      </c>
      <c r="E135" s="384">
        <v>231.9</v>
      </c>
      <c r="F135" s="384">
        <v>0</v>
      </c>
      <c r="G135" s="384">
        <v>0</v>
      </c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  <c r="AR135" s="351"/>
      <c r="AS135" s="351"/>
      <c r="AT135" s="351"/>
      <c r="AU135" s="351"/>
      <c r="AV135" s="351"/>
      <c r="AW135" s="351"/>
      <c r="AX135" s="351"/>
    </row>
    <row r="136" spans="1:50" s="348" customFormat="1" ht="38.25" hidden="1" outlineLevel="1">
      <c r="A136" s="348" t="s">
        <v>276</v>
      </c>
      <c r="B136" s="348" t="s">
        <v>277</v>
      </c>
      <c r="C136" s="349" t="s">
        <v>278</v>
      </c>
      <c r="D136" s="383">
        <v>14521.63</v>
      </c>
      <c r="E136" s="384">
        <v>15121.43</v>
      </c>
      <c r="F136" s="384">
        <v>0</v>
      </c>
      <c r="G136" s="384">
        <v>0</v>
      </c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  <c r="AR136" s="351"/>
      <c r="AS136" s="351"/>
      <c r="AT136" s="351"/>
      <c r="AU136" s="351"/>
      <c r="AV136" s="351"/>
      <c r="AW136" s="351"/>
      <c r="AX136" s="351"/>
    </row>
    <row r="137" spans="1:50" s="348" customFormat="1" ht="38.25" hidden="1" outlineLevel="1">
      <c r="A137" s="348" t="s">
        <v>279</v>
      </c>
      <c r="B137" s="348" t="s">
        <v>280</v>
      </c>
      <c r="C137" s="349" t="s">
        <v>281</v>
      </c>
      <c r="D137" s="383">
        <v>1982.11</v>
      </c>
      <c r="E137" s="384">
        <v>783.14</v>
      </c>
      <c r="F137" s="384">
        <v>0</v>
      </c>
      <c r="G137" s="384">
        <v>0</v>
      </c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  <c r="AS137" s="351"/>
      <c r="AT137" s="351"/>
      <c r="AU137" s="351"/>
      <c r="AV137" s="351"/>
      <c r="AW137" s="351"/>
      <c r="AX137" s="351"/>
    </row>
    <row r="138" spans="1:50" s="348" customFormat="1" ht="38.25" hidden="1" outlineLevel="1">
      <c r="A138" s="348" t="s">
        <v>375</v>
      </c>
      <c r="B138" s="348" t="s">
        <v>376</v>
      </c>
      <c r="C138" s="349" t="s">
        <v>377</v>
      </c>
      <c r="D138" s="383">
        <v>1964</v>
      </c>
      <c r="E138" s="384">
        <v>2830</v>
      </c>
      <c r="F138" s="384">
        <v>1290</v>
      </c>
      <c r="G138" s="384">
        <v>0</v>
      </c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1"/>
      <c r="AT138" s="351"/>
      <c r="AU138" s="351"/>
      <c r="AV138" s="351"/>
      <c r="AW138" s="351"/>
      <c r="AX138" s="351"/>
    </row>
    <row r="139" spans="1:50" s="348" customFormat="1" ht="38.25" hidden="1" outlineLevel="1">
      <c r="A139" s="348" t="s">
        <v>384</v>
      </c>
      <c r="B139" s="348" t="s">
        <v>385</v>
      </c>
      <c r="C139" s="349" t="s">
        <v>386</v>
      </c>
      <c r="D139" s="383">
        <v>500</v>
      </c>
      <c r="E139" s="384">
        <v>0</v>
      </c>
      <c r="F139" s="384">
        <v>0</v>
      </c>
      <c r="G139" s="384">
        <v>0</v>
      </c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  <c r="AR139" s="351"/>
      <c r="AS139" s="351"/>
      <c r="AT139" s="351"/>
      <c r="AU139" s="351"/>
      <c r="AV139" s="351"/>
      <c r="AW139" s="351"/>
      <c r="AX139" s="351"/>
    </row>
    <row r="140" spans="1:50" s="348" customFormat="1" ht="38.25" hidden="1" outlineLevel="1">
      <c r="A140" s="348" t="s">
        <v>390</v>
      </c>
      <c r="B140" s="348" t="s">
        <v>391</v>
      </c>
      <c r="C140" s="349" t="s">
        <v>392</v>
      </c>
      <c r="D140" s="383">
        <v>924.78</v>
      </c>
      <c r="E140" s="384">
        <v>0</v>
      </c>
      <c r="F140" s="384">
        <v>0</v>
      </c>
      <c r="G140" s="384">
        <v>0</v>
      </c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  <c r="AR140" s="351"/>
      <c r="AS140" s="351"/>
      <c r="AT140" s="351"/>
      <c r="AU140" s="351"/>
      <c r="AV140" s="351"/>
      <c r="AW140" s="351"/>
      <c r="AX140" s="351"/>
    </row>
    <row r="141" spans="1:50" s="348" customFormat="1" ht="38.25" hidden="1" outlineLevel="1">
      <c r="A141" s="348" t="s">
        <v>393</v>
      </c>
      <c r="B141" s="348" t="s">
        <v>394</v>
      </c>
      <c r="C141" s="349" t="s">
        <v>395</v>
      </c>
      <c r="D141" s="383">
        <v>234.07</v>
      </c>
      <c r="E141" s="384">
        <v>0</v>
      </c>
      <c r="F141" s="384">
        <v>0</v>
      </c>
      <c r="G141" s="384">
        <v>0</v>
      </c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351"/>
      <c r="AU141" s="351"/>
      <c r="AV141" s="351"/>
      <c r="AW141" s="351"/>
      <c r="AX141" s="351"/>
    </row>
    <row r="142" spans="1:50" s="348" customFormat="1" ht="38.25" hidden="1" outlineLevel="1">
      <c r="A142" s="348" t="s">
        <v>396</v>
      </c>
      <c r="B142" s="348" t="s">
        <v>397</v>
      </c>
      <c r="C142" s="349" t="s">
        <v>398</v>
      </c>
      <c r="D142" s="383">
        <v>2922.75</v>
      </c>
      <c r="E142" s="384">
        <v>0</v>
      </c>
      <c r="F142" s="384">
        <v>0</v>
      </c>
      <c r="G142" s="384">
        <v>0</v>
      </c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  <c r="AR142" s="351"/>
      <c r="AS142" s="351"/>
      <c r="AT142" s="351"/>
      <c r="AU142" s="351"/>
      <c r="AV142" s="351"/>
      <c r="AW142" s="351"/>
      <c r="AX142" s="351"/>
    </row>
    <row r="143" spans="1:50" s="348" customFormat="1" ht="38.25" hidden="1" outlineLevel="1">
      <c r="A143" s="348" t="s">
        <v>438</v>
      </c>
      <c r="B143" s="348" t="s">
        <v>439</v>
      </c>
      <c r="C143" s="349" t="s">
        <v>440</v>
      </c>
      <c r="D143" s="383">
        <v>0</v>
      </c>
      <c r="E143" s="384">
        <v>599</v>
      </c>
      <c r="F143" s="384">
        <v>0</v>
      </c>
      <c r="G143" s="384">
        <v>0</v>
      </c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  <c r="AR143" s="351"/>
      <c r="AS143" s="351"/>
      <c r="AT143" s="351"/>
      <c r="AU143" s="351"/>
      <c r="AV143" s="351"/>
      <c r="AW143" s="351"/>
      <c r="AX143" s="351"/>
    </row>
    <row r="144" spans="1:50" s="348" customFormat="1" ht="38.25" hidden="1" outlineLevel="1">
      <c r="A144" s="348" t="s">
        <v>908</v>
      </c>
      <c r="B144" s="348" t="s">
        <v>909</v>
      </c>
      <c r="C144" s="349" t="s">
        <v>910</v>
      </c>
      <c r="D144" s="383">
        <v>80</v>
      </c>
      <c r="E144" s="384">
        <v>0</v>
      </c>
      <c r="F144" s="384">
        <v>0</v>
      </c>
      <c r="G144" s="384">
        <v>0</v>
      </c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  <c r="AQ144" s="351"/>
      <c r="AR144" s="351"/>
      <c r="AS144" s="351"/>
      <c r="AT144" s="351"/>
      <c r="AU144" s="351"/>
      <c r="AV144" s="351"/>
      <c r="AW144" s="351"/>
      <c r="AX144" s="351"/>
    </row>
    <row r="145" spans="1:50" s="348" customFormat="1" ht="38.25" hidden="1" outlineLevel="1">
      <c r="A145" s="348" t="s">
        <v>444</v>
      </c>
      <c r="B145" s="348" t="s">
        <v>445</v>
      </c>
      <c r="C145" s="349" t="s">
        <v>446</v>
      </c>
      <c r="D145" s="383">
        <v>630</v>
      </c>
      <c r="E145" s="384">
        <v>0</v>
      </c>
      <c r="F145" s="384">
        <v>0</v>
      </c>
      <c r="G145" s="384">
        <v>0</v>
      </c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  <c r="AQ145" s="351"/>
      <c r="AR145" s="351"/>
      <c r="AS145" s="351"/>
      <c r="AT145" s="351"/>
      <c r="AU145" s="351"/>
      <c r="AV145" s="351"/>
      <c r="AW145" s="351"/>
      <c r="AX145" s="351"/>
    </row>
    <row r="146" spans="1:50" s="348" customFormat="1" ht="38.25" hidden="1" outlineLevel="1">
      <c r="A146" s="348" t="s">
        <v>450</v>
      </c>
      <c r="B146" s="348" t="s">
        <v>451</v>
      </c>
      <c r="C146" s="349" t="s">
        <v>452</v>
      </c>
      <c r="D146" s="383">
        <v>15104.26</v>
      </c>
      <c r="E146" s="384">
        <v>2265.73</v>
      </c>
      <c r="F146" s="384">
        <v>0</v>
      </c>
      <c r="G146" s="384">
        <v>0</v>
      </c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  <c r="AR146" s="351"/>
      <c r="AS146" s="351"/>
      <c r="AT146" s="351"/>
      <c r="AU146" s="351"/>
      <c r="AV146" s="351"/>
      <c r="AW146" s="351"/>
      <c r="AX146" s="351"/>
    </row>
    <row r="147" spans="1:50" s="348" customFormat="1" ht="38.25" hidden="1" outlineLevel="1">
      <c r="A147" s="348" t="s">
        <v>911</v>
      </c>
      <c r="B147" s="348" t="s">
        <v>912</v>
      </c>
      <c r="C147" s="349" t="s">
        <v>913</v>
      </c>
      <c r="D147" s="383">
        <v>0</v>
      </c>
      <c r="E147" s="384">
        <v>5500</v>
      </c>
      <c r="F147" s="384">
        <v>0</v>
      </c>
      <c r="G147" s="384">
        <v>0</v>
      </c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  <c r="AS147" s="351"/>
      <c r="AT147" s="351"/>
      <c r="AU147" s="351"/>
      <c r="AV147" s="351"/>
      <c r="AW147" s="351"/>
      <c r="AX147" s="351"/>
    </row>
    <row r="148" spans="1:50" s="348" customFormat="1" ht="38.25" hidden="1" outlineLevel="1">
      <c r="A148" s="348" t="s">
        <v>459</v>
      </c>
      <c r="B148" s="348" t="s">
        <v>460</v>
      </c>
      <c r="C148" s="349" t="s">
        <v>461</v>
      </c>
      <c r="D148" s="383">
        <v>100</v>
      </c>
      <c r="E148" s="384">
        <v>0</v>
      </c>
      <c r="F148" s="384">
        <v>0</v>
      </c>
      <c r="G148" s="384">
        <v>0</v>
      </c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  <c r="AQ148" s="351"/>
      <c r="AR148" s="351"/>
      <c r="AS148" s="351"/>
      <c r="AT148" s="351"/>
      <c r="AU148" s="351"/>
      <c r="AV148" s="351"/>
      <c r="AW148" s="351"/>
      <c r="AX148" s="351"/>
    </row>
    <row r="149" spans="1:50" s="348" customFormat="1" ht="38.25" hidden="1" outlineLevel="1">
      <c r="A149" s="348" t="s">
        <v>914</v>
      </c>
      <c r="B149" s="348" t="s">
        <v>915</v>
      </c>
      <c r="C149" s="349" t="s">
        <v>916</v>
      </c>
      <c r="D149" s="383">
        <v>0</v>
      </c>
      <c r="E149" s="384">
        <v>8537.81</v>
      </c>
      <c r="F149" s="384">
        <v>0</v>
      </c>
      <c r="G149" s="384">
        <v>0</v>
      </c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  <c r="AQ149" s="351"/>
      <c r="AR149" s="351"/>
      <c r="AS149" s="351"/>
      <c r="AT149" s="351"/>
      <c r="AU149" s="351"/>
      <c r="AV149" s="351"/>
      <c r="AW149" s="351"/>
      <c r="AX149" s="351"/>
    </row>
    <row r="150" spans="1:50" s="348" customFormat="1" ht="38.25" hidden="1" outlineLevel="1">
      <c r="A150" s="348" t="s">
        <v>468</v>
      </c>
      <c r="B150" s="348" t="s">
        <v>469</v>
      </c>
      <c r="C150" s="349" t="s">
        <v>470</v>
      </c>
      <c r="D150" s="383">
        <v>0</v>
      </c>
      <c r="E150" s="384">
        <v>2509.85</v>
      </c>
      <c r="F150" s="384">
        <v>0</v>
      </c>
      <c r="G150" s="384">
        <v>0</v>
      </c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  <c r="AR150" s="351"/>
      <c r="AS150" s="351"/>
      <c r="AT150" s="351"/>
      <c r="AU150" s="351"/>
      <c r="AV150" s="351"/>
      <c r="AW150" s="351"/>
      <c r="AX150" s="351"/>
    </row>
    <row r="151" spans="1:50" s="348" customFormat="1" ht="38.25" hidden="1" outlineLevel="1">
      <c r="A151" s="348" t="s">
        <v>471</v>
      </c>
      <c r="B151" s="348" t="s">
        <v>472</v>
      </c>
      <c r="C151" s="349" t="s">
        <v>473</v>
      </c>
      <c r="D151" s="383">
        <v>4245.09</v>
      </c>
      <c r="E151" s="384">
        <v>0</v>
      </c>
      <c r="F151" s="384">
        <v>1057.56</v>
      </c>
      <c r="G151" s="384">
        <v>0</v>
      </c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  <c r="AS151" s="351"/>
      <c r="AT151" s="351"/>
      <c r="AU151" s="351"/>
      <c r="AV151" s="351"/>
      <c r="AW151" s="351"/>
      <c r="AX151" s="351"/>
    </row>
    <row r="152" spans="1:50" s="348" customFormat="1" ht="38.25" hidden="1" outlineLevel="1">
      <c r="A152" s="348" t="s">
        <v>474</v>
      </c>
      <c r="B152" s="348" t="s">
        <v>475</v>
      </c>
      <c r="C152" s="349" t="s">
        <v>476</v>
      </c>
      <c r="D152" s="383">
        <v>0</v>
      </c>
      <c r="E152" s="384">
        <v>103.57</v>
      </c>
      <c r="F152" s="384">
        <v>0</v>
      </c>
      <c r="G152" s="384">
        <v>0</v>
      </c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351"/>
      <c r="AU152" s="351"/>
      <c r="AV152" s="351"/>
      <c r="AW152" s="351"/>
      <c r="AX152" s="351"/>
    </row>
    <row r="153" spans="1:50" s="348" customFormat="1" ht="38.25" hidden="1" outlineLevel="1">
      <c r="A153" s="348" t="s">
        <v>480</v>
      </c>
      <c r="B153" s="348" t="s">
        <v>481</v>
      </c>
      <c r="C153" s="349" t="s">
        <v>482</v>
      </c>
      <c r="D153" s="383">
        <v>19.13</v>
      </c>
      <c r="E153" s="384">
        <v>0</v>
      </c>
      <c r="F153" s="384">
        <v>0</v>
      </c>
      <c r="G153" s="384">
        <v>0</v>
      </c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  <c r="AQ153" s="351"/>
      <c r="AR153" s="351"/>
      <c r="AS153" s="351"/>
      <c r="AT153" s="351"/>
      <c r="AU153" s="351"/>
      <c r="AV153" s="351"/>
      <c r="AW153" s="351"/>
      <c r="AX153" s="351"/>
    </row>
    <row r="154" spans="1:50" s="348" customFormat="1" ht="38.25" hidden="1" outlineLevel="1">
      <c r="A154" s="348" t="s">
        <v>1751</v>
      </c>
      <c r="B154" s="348" t="s">
        <v>1752</v>
      </c>
      <c r="C154" s="349" t="s">
        <v>1753</v>
      </c>
      <c r="D154" s="383">
        <v>11000</v>
      </c>
      <c r="E154" s="384">
        <v>5000</v>
      </c>
      <c r="F154" s="384">
        <v>0</v>
      </c>
      <c r="G154" s="384">
        <v>0</v>
      </c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  <c r="AQ154" s="351"/>
      <c r="AR154" s="351"/>
      <c r="AS154" s="351"/>
      <c r="AT154" s="351"/>
      <c r="AU154" s="351"/>
      <c r="AV154" s="351"/>
      <c r="AW154" s="351"/>
      <c r="AX154" s="351"/>
    </row>
    <row r="155" spans="1:50" s="348" customFormat="1" ht="38.25" hidden="1" outlineLevel="1">
      <c r="A155" s="348" t="s">
        <v>1757</v>
      </c>
      <c r="B155" s="348" t="s">
        <v>1758</v>
      </c>
      <c r="C155" s="349" t="s">
        <v>1759</v>
      </c>
      <c r="D155" s="383">
        <v>25041.61</v>
      </c>
      <c r="E155" s="384">
        <v>0</v>
      </c>
      <c r="F155" s="384">
        <v>95801.21</v>
      </c>
      <c r="G155" s="384">
        <v>0</v>
      </c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  <c r="AQ155" s="351"/>
      <c r="AR155" s="351"/>
      <c r="AS155" s="351"/>
      <c r="AT155" s="351"/>
      <c r="AU155" s="351"/>
      <c r="AV155" s="351"/>
      <c r="AW155" s="351"/>
      <c r="AX155" s="351"/>
    </row>
    <row r="156" spans="1:50" s="348" customFormat="1" ht="38.25" hidden="1" outlineLevel="1">
      <c r="A156" s="348" t="s">
        <v>1763</v>
      </c>
      <c r="B156" s="348" t="s">
        <v>1764</v>
      </c>
      <c r="C156" s="349" t="s">
        <v>1765</v>
      </c>
      <c r="D156" s="383">
        <v>31931.24</v>
      </c>
      <c r="E156" s="384">
        <v>0</v>
      </c>
      <c r="F156" s="384">
        <v>0</v>
      </c>
      <c r="G156" s="384">
        <v>0</v>
      </c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  <c r="AR156" s="351"/>
      <c r="AS156" s="351"/>
      <c r="AT156" s="351"/>
      <c r="AU156" s="351"/>
      <c r="AV156" s="351"/>
      <c r="AW156" s="351"/>
      <c r="AX156" s="351"/>
    </row>
    <row r="157" spans="1:50" s="348" customFormat="1" ht="38.25" hidden="1" outlineLevel="1">
      <c r="A157" s="348" t="s">
        <v>1725</v>
      </c>
      <c r="B157" s="348" t="s">
        <v>1726</v>
      </c>
      <c r="C157" s="349" t="s">
        <v>1727</v>
      </c>
      <c r="D157" s="383">
        <v>0</v>
      </c>
      <c r="E157" s="384">
        <v>32500</v>
      </c>
      <c r="F157" s="384">
        <v>6100</v>
      </c>
      <c r="G157" s="384">
        <v>0</v>
      </c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  <c r="AR157" s="351"/>
      <c r="AS157" s="351"/>
      <c r="AT157" s="351"/>
      <c r="AU157" s="351"/>
      <c r="AV157" s="351"/>
      <c r="AW157" s="351"/>
      <c r="AX157" s="351"/>
    </row>
    <row r="158" spans="1:50" s="348" customFormat="1" ht="38.25" hidden="1" outlineLevel="1">
      <c r="A158" s="348" t="s">
        <v>1728</v>
      </c>
      <c r="B158" s="348" t="s">
        <v>1729</v>
      </c>
      <c r="C158" s="349" t="s">
        <v>1730</v>
      </c>
      <c r="D158" s="383">
        <v>68231.48</v>
      </c>
      <c r="E158" s="384">
        <v>0</v>
      </c>
      <c r="F158" s="384">
        <v>0</v>
      </c>
      <c r="G158" s="384">
        <v>0</v>
      </c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  <c r="AQ158" s="351"/>
      <c r="AR158" s="351"/>
      <c r="AS158" s="351"/>
      <c r="AT158" s="351"/>
      <c r="AU158" s="351"/>
      <c r="AV158" s="351"/>
      <c r="AW158" s="351"/>
      <c r="AX158" s="351"/>
    </row>
    <row r="159" spans="1:50" ht="12.75" customHeight="1" collapsed="1">
      <c r="A159" s="362" t="s">
        <v>917</v>
      </c>
      <c r="B159" s="379" t="s">
        <v>918</v>
      </c>
      <c r="C159" s="380"/>
      <c r="D159" s="382">
        <v>10028.399999999936</v>
      </c>
      <c r="E159" s="382">
        <v>309848.26</v>
      </c>
      <c r="F159" s="382">
        <v>98395.38</v>
      </c>
      <c r="G159" s="382">
        <v>0</v>
      </c>
      <c r="H159" s="362"/>
      <c r="I159" s="362"/>
      <c r="J159" s="362"/>
      <c r="K159" s="362"/>
      <c r="L159" s="362"/>
      <c r="M159" s="362"/>
      <c r="N159" s="362"/>
      <c r="O159" s="362"/>
      <c r="P159" s="362"/>
      <c r="Q159" s="362"/>
      <c r="R159" s="362"/>
      <c r="S159" s="362"/>
      <c r="T159" s="362"/>
      <c r="U159" s="362"/>
      <c r="V159" s="362"/>
      <c r="W159" s="362"/>
      <c r="X159" s="362"/>
      <c r="Y159" s="362"/>
      <c r="Z159" s="362"/>
      <c r="AA159" s="362"/>
      <c r="AB159" s="362"/>
      <c r="AC159" s="362"/>
      <c r="AD159" s="362"/>
      <c r="AE159" s="362"/>
      <c r="AF159" s="362"/>
      <c r="AG159" s="362"/>
      <c r="AH159" s="362"/>
      <c r="AI159" s="362"/>
      <c r="AJ159" s="362"/>
      <c r="AK159" s="362"/>
      <c r="AL159" s="362"/>
      <c r="AM159" s="362"/>
      <c r="AN159" s="362"/>
      <c r="AO159" s="362"/>
      <c r="AP159" s="362"/>
      <c r="AQ159" s="362"/>
      <c r="AR159" s="362"/>
      <c r="AS159" s="362"/>
      <c r="AT159" s="362"/>
      <c r="AU159" s="362"/>
      <c r="AV159" s="362"/>
      <c r="AW159" s="362"/>
      <c r="AX159" s="362"/>
    </row>
    <row r="160" spans="2:50" s="389" customFormat="1" ht="12.75" customHeight="1">
      <c r="B160" s="376" t="s">
        <v>919</v>
      </c>
      <c r="C160" s="377"/>
      <c r="D160" s="386">
        <f>D53+D63+D66+D75+D105+D113+D159</f>
        <v>5119708.64</v>
      </c>
      <c r="E160" s="386">
        <f>E53+E63+E66+E75+E105+E113+E159</f>
        <v>690636.3400000001</v>
      </c>
      <c r="F160" s="386">
        <f>F53+F63+F66+F75+F105+F113+F159</f>
        <v>233553.18000000002</v>
      </c>
      <c r="G160" s="386">
        <f>G53+G63+G66+G75+G105+G113+G159</f>
        <v>0</v>
      </c>
      <c r="H160" s="362"/>
      <c r="I160" s="362"/>
      <c r="J160" s="362"/>
      <c r="K160" s="362"/>
      <c r="L160" s="362"/>
      <c r="M160" s="362"/>
      <c r="N160" s="362"/>
      <c r="O160" s="362"/>
      <c r="P160" s="362"/>
      <c r="Q160" s="362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2"/>
      <c r="AD160" s="362"/>
      <c r="AE160" s="362"/>
      <c r="AF160" s="362"/>
      <c r="AG160" s="362"/>
      <c r="AH160" s="362"/>
      <c r="AI160" s="362"/>
      <c r="AJ160" s="362"/>
      <c r="AK160" s="362"/>
      <c r="AL160" s="362"/>
      <c r="AM160" s="362"/>
      <c r="AN160" s="362"/>
      <c r="AO160" s="362"/>
      <c r="AP160" s="362"/>
      <c r="AQ160" s="362"/>
      <c r="AR160" s="362"/>
      <c r="AS160" s="362"/>
      <c r="AT160" s="362"/>
      <c r="AU160" s="362"/>
      <c r="AV160" s="362"/>
      <c r="AW160" s="362"/>
      <c r="AX160" s="362"/>
    </row>
    <row r="161" spans="2:50" ht="12.75" customHeight="1">
      <c r="B161" s="387"/>
      <c r="C161" s="388"/>
      <c r="D161" s="382"/>
      <c r="E161" s="382"/>
      <c r="F161" s="382"/>
      <c r="G161" s="382"/>
      <c r="H161" s="362"/>
      <c r="I161" s="362"/>
      <c r="J161" s="362"/>
      <c r="K161" s="362"/>
      <c r="L161" s="362"/>
      <c r="M161" s="362"/>
      <c r="N161" s="362"/>
      <c r="O161" s="362"/>
      <c r="P161" s="362"/>
      <c r="Q161" s="362"/>
      <c r="R161" s="362"/>
      <c r="S161" s="362"/>
      <c r="T161" s="362"/>
      <c r="U161" s="362"/>
      <c r="V161" s="362"/>
      <c r="W161" s="362"/>
      <c r="X161" s="362"/>
      <c r="Y161" s="362"/>
      <c r="Z161" s="362"/>
      <c r="AA161" s="362"/>
      <c r="AB161" s="362"/>
      <c r="AC161" s="362"/>
      <c r="AD161" s="362"/>
      <c r="AE161" s="362"/>
      <c r="AF161" s="362"/>
      <c r="AG161" s="362"/>
      <c r="AH161" s="362"/>
      <c r="AI161" s="362"/>
      <c r="AJ161" s="362"/>
      <c r="AK161" s="362"/>
      <c r="AL161" s="362"/>
      <c r="AM161" s="362"/>
      <c r="AN161" s="362"/>
      <c r="AO161" s="362"/>
      <c r="AP161" s="362"/>
      <c r="AQ161" s="362"/>
      <c r="AR161" s="362"/>
      <c r="AS161" s="362"/>
      <c r="AT161" s="362"/>
      <c r="AU161" s="362"/>
      <c r="AV161" s="362"/>
      <c r="AW161" s="362"/>
      <c r="AX161" s="362"/>
    </row>
    <row r="162" spans="2:50" ht="12.75" customHeight="1">
      <c r="B162" s="387" t="s">
        <v>920</v>
      </c>
      <c r="C162" s="388"/>
      <c r="D162" s="382"/>
      <c r="E162" s="382"/>
      <c r="F162" s="382"/>
      <c r="G162" s="382"/>
      <c r="H162" s="362"/>
      <c r="I162" s="362"/>
      <c r="J162" s="362"/>
      <c r="K162" s="362"/>
      <c r="L162" s="362"/>
      <c r="M162" s="362"/>
      <c r="N162" s="362"/>
      <c r="O162" s="362"/>
      <c r="P162" s="362"/>
      <c r="Q162" s="362"/>
      <c r="R162" s="362"/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  <c r="AC162" s="362"/>
      <c r="AD162" s="362"/>
      <c r="AE162" s="362"/>
      <c r="AF162" s="362"/>
      <c r="AG162" s="362"/>
      <c r="AH162" s="362"/>
      <c r="AI162" s="362"/>
      <c r="AJ162" s="362"/>
      <c r="AK162" s="362"/>
      <c r="AL162" s="362"/>
      <c r="AM162" s="362"/>
      <c r="AN162" s="362"/>
      <c r="AO162" s="362"/>
      <c r="AP162" s="362"/>
      <c r="AQ162" s="362"/>
      <c r="AR162" s="362"/>
      <c r="AS162" s="362"/>
      <c r="AT162" s="362"/>
      <c r="AU162" s="362"/>
      <c r="AV162" s="362"/>
      <c r="AW162" s="362"/>
      <c r="AX162" s="362"/>
    </row>
    <row r="163" spans="2:50" s="389" customFormat="1" ht="12.75" customHeight="1">
      <c r="B163" s="390" t="s">
        <v>921</v>
      </c>
      <c r="C163" s="388"/>
      <c r="D163" s="386">
        <f>D42-D160</f>
        <v>2129970.84</v>
      </c>
      <c r="E163" s="386">
        <f>E42-E160</f>
        <v>-273468.70000000007</v>
      </c>
      <c r="F163" s="386">
        <f>F42-F160</f>
        <v>12731.52999999997</v>
      </c>
      <c r="G163" s="386">
        <f>G42-G160</f>
        <v>1013542</v>
      </c>
      <c r="H163" s="362"/>
      <c r="I163" s="362"/>
      <c r="J163" s="362"/>
      <c r="K163" s="362"/>
      <c r="L163" s="362"/>
      <c r="M163" s="362"/>
      <c r="N163" s="362"/>
      <c r="O163" s="362"/>
      <c r="P163" s="362"/>
      <c r="Q163" s="362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362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  <c r="AQ163" s="362"/>
      <c r="AR163" s="362"/>
      <c r="AS163" s="362"/>
      <c r="AT163" s="362"/>
      <c r="AU163" s="362"/>
      <c r="AV163" s="362"/>
      <c r="AW163" s="362"/>
      <c r="AX163" s="362"/>
    </row>
    <row r="164" spans="2:50" ht="12.75" customHeight="1">
      <c r="B164" s="379"/>
      <c r="C164" s="380"/>
      <c r="D164" s="382"/>
      <c r="E164" s="382"/>
      <c r="F164" s="382"/>
      <c r="G164" s="382"/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  <c r="AC164" s="362"/>
      <c r="AD164" s="362"/>
      <c r="AE164" s="362"/>
      <c r="AF164" s="362"/>
      <c r="AG164" s="362"/>
      <c r="AH164" s="362"/>
      <c r="AI164" s="362"/>
      <c r="AJ164" s="362"/>
      <c r="AK164" s="362"/>
      <c r="AL164" s="362"/>
      <c r="AM164" s="362"/>
      <c r="AN164" s="362"/>
      <c r="AO164" s="362"/>
      <c r="AP164" s="362"/>
      <c r="AQ164" s="362"/>
      <c r="AR164" s="362"/>
      <c r="AS164" s="362"/>
      <c r="AT164" s="362"/>
      <c r="AU164" s="362"/>
      <c r="AV164" s="362"/>
      <c r="AW164" s="362"/>
      <c r="AX164" s="362"/>
    </row>
    <row r="165" spans="2:50" ht="12.75" customHeight="1">
      <c r="B165" s="387" t="s">
        <v>922</v>
      </c>
      <c r="C165" s="388"/>
      <c r="D165" s="382"/>
      <c r="E165" s="382"/>
      <c r="F165" s="382"/>
      <c r="G165" s="382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2"/>
      <c r="S165" s="362"/>
      <c r="T165" s="362"/>
      <c r="U165" s="362"/>
      <c r="V165" s="362"/>
      <c r="W165" s="362"/>
      <c r="X165" s="362"/>
      <c r="Y165" s="362"/>
      <c r="Z165" s="362"/>
      <c r="AA165" s="362"/>
      <c r="AB165" s="362"/>
      <c r="AC165" s="362"/>
      <c r="AD165" s="362"/>
      <c r="AE165" s="362"/>
      <c r="AF165" s="362"/>
      <c r="AG165" s="362"/>
      <c r="AH165" s="362"/>
      <c r="AI165" s="362"/>
      <c r="AJ165" s="362"/>
      <c r="AK165" s="362"/>
      <c r="AL165" s="362"/>
      <c r="AM165" s="362"/>
      <c r="AN165" s="362"/>
      <c r="AO165" s="362"/>
      <c r="AP165" s="362"/>
      <c r="AQ165" s="362"/>
      <c r="AR165" s="362"/>
      <c r="AS165" s="362"/>
      <c r="AT165" s="362"/>
      <c r="AU165" s="362"/>
      <c r="AV165" s="362"/>
      <c r="AW165" s="362"/>
      <c r="AX165" s="362"/>
    </row>
    <row r="166" spans="1:50" s="348" customFormat="1" ht="38.25" hidden="1" outlineLevel="1">
      <c r="A166" s="348" t="s">
        <v>1794</v>
      </c>
      <c r="B166" s="348" t="s">
        <v>1795</v>
      </c>
      <c r="C166" s="349" t="s">
        <v>1796</v>
      </c>
      <c r="D166" s="383">
        <v>55923.69</v>
      </c>
      <c r="E166" s="384">
        <v>0</v>
      </c>
      <c r="F166" s="384">
        <v>4000.73</v>
      </c>
      <c r="G166" s="384">
        <v>0</v>
      </c>
      <c r="H166" s="351"/>
      <c r="I166" s="351"/>
      <c r="J166" s="351"/>
      <c r="K166" s="351"/>
      <c r="L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X166" s="351"/>
      <c r="Y166" s="351"/>
      <c r="Z166" s="351"/>
      <c r="AA166" s="351"/>
      <c r="AB166" s="351"/>
      <c r="AC166" s="351"/>
      <c r="AD166" s="351"/>
      <c r="AE166" s="351"/>
      <c r="AF166" s="351"/>
      <c r="AG166" s="351"/>
      <c r="AH166" s="351"/>
      <c r="AI166" s="351"/>
      <c r="AJ166" s="351"/>
      <c r="AK166" s="351"/>
      <c r="AL166" s="351"/>
      <c r="AM166" s="351"/>
      <c r="AN166" s="351"/>
      <c r="AO166" s="351"/>
      <c r="AP166" s="351"/>
      <c r="AQ166" s="351"/>
      <c r="AR166" s="351"/>
      <c r="AS166" s="351"/>
      <c r="AT166" s="351"/>
      <c r="AU166" s="351"/>
      <c r="AV166" s="351"/>
      <c r="AW166" s="351"/>
      <c r="AX166" s="351"/>
    </row>
    <row r="167" spans="1:50" ht="12.75" customHeight="1" collapsed="1">
      <c r="A167" s="362" t="s">
        <v>1800</v>
      </c>
      <c r="B167" s="379" t="s">
        <v>923</v>
      </c>
      <c r="C167" s="380"/>
      <c r="D167" s="382">
        <v>55923.69</v>
      </c>
      <c r="E167" s="382">
        <v>0</v>
      </c>
      <c r="F167" s="382">
        <v>4000.73</v>
      </c>
      <c r="G167" s="382">
        <v>0</v>
      </c>
      <c r="H167" s="362"/>
      <c r="I167" s="362"/>
      <c r="J167" s="362"/>
      <c r="K167" s="362"/>
      <c r="L167" s="362"/>
      <c r="M167" s="362"/>
      <c r="N167" s="362"/>
      <c r="O167" s="362"/>
      <c r="P167" s="362"/>
      <c r="Q167" s="362"/>
      <c r="R167" s="362"/>
      <c r="S167" s="362"/>
      <c r="T167" s="362"/>
      <c r="U167" s="362"/>
      <c r="V167" s="362"/>
      <c r="W167" s="362"/>
      <c r="X167" s="362"/>
      <c r="Y167" s="362"/>
      <c r="Z167" s="362"/>
      <c r="AA167" s="362"/>
      <c r="AB167" s="362"/>
      <c r="AC167" s="362"/>
      <c r="AD167" s="362"/>
      <c r="AE167" s="362"/>
      <c r="AF167" s="362"/>
      <c r="AG167" s="362"/>
      <c r="AH167" s="362"/>
      <c r="AI167" s="362"/>
      <c r="AJ167" s="362"/>
      <c r="AK167" s="362"/>
      <c r="AL167" s="362"/>
      <c r="AM167" s="362"/>
      <c r="AN167" s="362"/>
      <c r="AO167" s="362"/>
      <c r="AP167" s="362"/>
      <c r="AQ167" s="362"/>
      <c r="AR167" s="362"/>
      <c r="AS167" s="362"/>
      <c r="AT167" s="362"/>
      <c r="AU167" s="362"/>
      <c r="AV167" s="362"/>
      <c r="AW167" s="362"/>
      <c r="AX167" s="362"/>
    </row>
    <row r="168" spans="1:50" ht="12.75" customHeight="1">
      <c r="A168" s="362" t="s">
        <v>924</v>
      </c>
      <c r="B168" s="379" t="s">
        <v>925</v>
      </c>
      <c r="C168" s="380"/>
      <c r="D168" s="382">
        <v>0</v>
      </c>
      <c r="E168" s="382">
        <v>0</v>
      </c>
      <c r="F168" s="382">
        <v>0</v>
      </c>
      <c r="G168" s="382">
        <v>0</v>
      </c>
      <c r="H168" s="362"/>
      <c r="I168" s="362"/>
      <c r="J168" s="362"/>
      <c r="K168" s="362"/>
      <c r="L168" s="362"/>
      <c r="M168" s="362"/>
      <c r="N168" s="362"/>
      <c r="O168" s="362"/>
      <c r="P168" s="362"/>
      <c r="Q168" s="362"/>
      <c r="R168" s="362"/>
      <c r="S168" s="362"/>
      <c r="T168" s="362"/>
      <c r="U168" s="362"/>
      <c r="V168" s="362"/>
      <c r="W168" s="362"/>
      <c r="X168" s="362"/>
      <c r="Y168" s="362"/>
      <c r="Z168" s="362"/>
      <c r="AA168" s="362"/>
      <c r="AB168" s="362"/>
      <c r="AC168" s="362"/>
      <c r="AD168" s="362"/>
      <c r="AE168" s="362"/>
      <c r="AF168" s="362"/>
      <c r="AG168" s="362"/>
      <c r="AH168" s="362"/>
      <c r="AI168" s="362"/>
      <c r="AJ168" s="362"/>
      <c r="AK168" s="362"/>
      <c r="AL168" s="362"/>
      <c r="AM168" s="362"/>
      <c r="AN168" s="362"/>
      <c r="AO168" s="362"/>
      <c r="AP168" s="362"/>
      <c r="AQ168" s="362"/>
      <c r="AR168" s="362"/>
      <c r="AS168" s="362"/>
      <c r="AT168" s="362"/>
      <c r="AU168" s="362"/>
      <c r="AV168" s="362"/>
      <c r="AW168" s="362"/>
      <c r="AX168" s="362"/>
    </row>
    <row r="169" spans="1:50" ht="12.75" customHeight="1">
      <c r="A169" s="362" t="s">
        <v>926</v>
      </c>
      <c r="B169" s="379" t="s">
        <v>927</v>
      </c>
      <c r="C169" s="380"/>
      <c r="D169" s="382">
        <v>0</v>
      </c>
      <c r="E169" s="382">
        <v>0</v>
      </c>
      <c r="F169" s="382">
        <v>0</v>
      </c>
      <c r="G169" s="382">
        <v>0</v>
      </c>
      <c r="H169" s="362"/>
      <c r="I169" s="362"/>
      <c r="J169" s="362"/>
      <c r="K169" s="362"/>
      <c r="L169" s="362"/>
      <c r="M169" s="362"/>
      <c r="N169" s="362"/>
      <c r="O169" s="362"/>
      <c r="P169" s="362"/>
      <c r="Q169" s="362"/>
      <c r="R169" s="362"/>
      <c r="S169" s="362"/>
      <c r="T169" s="362"/>
      <c r="U169" s="362"/>
      <c r="V169" s="362"/>
      <c r="W169" s="362"/>
      <c r="X169" s="362"/>
      <c r="Y169" s="362"/>
      <c r="Z169" s="362"/>
      <c r="AA169" s="362"/>
      <c r="AB169" s="362"/>
      <c r="AC169" s="362"/>
      <c r="AD169" s="362"/>
      <c r="AE169" s="362"/>
      <c r="AF169" s="362"/>
      <c r="AG169" s="362"/>
      <c r="AH169" s="362"/>
      <c r="AI169" s="362"/>
      <c r="AJ169" s="362"/>
      <c r="AK169" s="362"/>
      <c r="AL169" s="362"/>
      <c r="AM169" s="362"/>
      <c r="AN169" s="362"/>
      <c r="AO169" s="362"/>
      <c r="AP169" s="362"/>
      <c r="AQ169" s="362"/>
      <c r="AR169" s="362"/>
      <c r="AS169" s="362"/>
      <c r="AT169" s="362"/>
      <c r="AU169" s="362"/>
      <c r="AV169" s="362"/>
      <c r="AW169" s="362"/>
      <c r="AX169" s="362"/>
    </row>
    <row r="170" spans="1:50" ht="12.75" customHeight="1">
      <c r="A170" s="362" t="s">
        <v>928</v>
      </c>
      <c r="B170" s="379" t="s">
        <v>929</v>
      </c>
      <c r="C170" s="380"/>
      <c r="D170" s="382">
        <v>0</v>
      </c>
      <c r="E170" s="382">
        <v>0</v>
      </c>
      <c r="F170" s="382">
        <v>0</v>
      </c>
      <c r="G170" s="382">
        <v>0</v>
      </c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2"/>
      <c r="S170" s="362"/>
      <c r="T170" s="362"/>
      <c r="U170" s="362"/>
      <c r="V170" s="362"/>
      <c r="W170" s="362"/>
      <c r="X170" s="362"/>
      <c r="Y170" s="362"/>
      <c r="Z170" s="362"/>
      <c r="AA170" s="362"/>
      <c r="AB170" s="362"/>
      <c r="AC170" s="362"/>
      <c r="AD170" s="362"/>
      <c r="AE170" s="362"/>
      <c r="AF170" s="362"/>
      <c r="AG170" s="362"/>
      <c r="AH170" s="362"/>
      <c r="AI170" s="362"/>
      <c r="AJ170" s="362"/>
      <c r="AK170" s="362"/>
      <c r="AL170" s="362"/>
      <c r="AM170" s="362"/>
      <c r="AN170" s="362"/>
      <c r="AO170" s="362"/>
      <c r="AP170" s="362"/>
      <c r="AQ170" s="362"/>
      <c r="AR170" s="362"/>
      <c r="AS170" s="362"/>
      <c r="AT170" s="362"/>
      <c r="AU170" s="362"/>
      <c r="AV170" s="362"/>
      <c r="AW170" s="362"/>
      <c r="AX170" s="362"/>
    </row>
    <row r="171" spans="1:50" s="348" customFormat="1" ht="38.25" hidden="1" outlineLevel="1">
      <c r="A171" s="348" t="s">
        <v>1820</v>
      </c>
      <c r="B171" s="348" t="s">
        <v>1821</v>
      </c>
      <c r="C171" s="349" t="s">
        <v>1822</v>
      </c>
      <c r="D171" s="383">
        <v>632.46</v>
      </c>
      <c r="E171" s="384">
        <v>27272.47</v>
      </c>
      <c r="F171" s="384">
        <v>0</v>
      </c>
      <c r="G171" s="384">
        <v>0</v>
      </c>
      <c r="H171" s="351"/>
      <c r="I171" s="351"/>
      <c r="J171" s="351"/>
      <c r="K171" s="351"/>
      <c r="L171" s="351"/>
      <c r="M171" s="351"/>
      <c r="N171" s="351"/>
      <c r="O171" s="351"/>
      <c r="P171" s="351"/>
      <c r="Q171" s="351"/>
      <c r="R171" s="351"/>
      <c r="S171" s="351"/>
      <c r="T171" s="351"/>
      <c r="U171" s="351"/>
      <c r="V171" s="351"/>
      <c r="W171" s="351"/>
      <c r="X171" s="351"/>
      <c r="Y171" s="351"/>
      <c r="Z171" s="351"/>
      <c r="AA171" s="351"/>
      <c r="AB171" s="351"/>
      <c r="AC171" s="351"/>
      <c r="AD171" s="351"/>
      <c r="AE171" s="351"/>
      <c r="AF171" s="351"/>
      <c r="AG171" s="351"/>
      <c r="AH171" s="351"/>
      <c r="AI171" s="351"/>
      <c r="AJ171" s="351"/>
      <c r="AK171" s="351"/>
      <c r="AL171" s="351"/>
      <c r="AM171" s="351"/>
      <c r="AN171" s="351"/>
      <c r="AO171" s="351"/>
      <c r="AP171" s="351"/>
      <c r="AQ171" s="351"/>
      <c r="AR171" s="351"/>
      <c r="AS171" s="351"/>
      <c r="AT171" s="351"/>
      <c r="AU171" s="351"/>
      <c r="AV171" s="351"/>
      <c r="AW171" s="351"/>
      <c r="AX171" s="351"/>
    </row>
    <row r="172" spans="1:50" s="348" customFormat="1" ht="38.25" hidden="1" outlineLevel="1">
      <c r="A172" s="348" t="s">
        <v>1826</v>
      </c>
      <c r="B172" s="348" t="s">
        <v>1827</v>
      </c>
      <c r="C172" s="349" t="s">
        <v>1828</v>
      </c>
      <c r="D172" s="383">
        <v>22091.13</v>
      </c>
      <c r="E172" s="384">
        <v>0</v>
      </c>
      <c r="F172" s="384">
        <v>0</v>
      </c>
      <c r="G172" s="384">
        <v>1718.16</v>
      </c>
      <c r="H172" s="351"/>
      <c r="I172" s="351"/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351"/>
      <c r="V172" s="351"/>
      <c r="W172" s="351"/>
      <c r="X172" s="351"/>
      <c r="Y172" s="351"/>
      <c r="Z172" s="351"/>
      <c r="AA172" s="351"/>
      <c r="AB172" s="351"/>
      <c r="AC172" s="351"/>
      <c r="AD172" s="351"/>
      <c r="AE172" s="351"/>
      <c r="AF172" s="351"/>
      <c r="AG172" s="351"/>
      <c r="AH172" s="351"/>
      <c r="AI172" s="351"/>
      <c r="AJ172" s="351"/>
      <c r="AK172" s="351"/>
      <c r="AL172" s="351"/>
      <c r="AM172" s="351"/>
      <c r="AN172" s="351"/>
      <c r="AO172" s="351"/>
      <c r="AP172" s="351"/>
      <c r="AQ172" s="351"/>
      <c r="AR172" s="351"/>
      <c r="AS172" s="351"/>
      <c r="AT172" s="351"/>
      <c r="AU172" s="351"/>
      <c r="AV172" s="351"/>
      <c r="AW172" s="351"/>
      <c r="AX172" s="351"/>
    </row>
    <row r="173" spans="1:50" s="348" customFormat="1" ht="38.25" hidden="1" outlineLevel="1">
      <c r="A173" s="348" t="s">
        <v>1845</v>
      </c>
      <c r="B173" s="348" t="s">
        <v>1846</v>
      </c>
      <c r="C173" s="349" t="s">
        <v>1847</v>
      </c>
      <c r="D173" s="383">
        <v>2679996.48</v>
      </c>
      <c r="E173" s="384">
        <v>248475.6</v>
      </c>
      <c r="F173" s="384">
        <v>0</v>
      </c>
      <c r="G173" s="384">
        <v>0</v>
      </c>
      <c r="H173" s="351"/>
      <c r="I173" s="351"/>
      <c r="J173" s="351"/>
      <c r="K173" s="351"/>
      <c r="L173" s="351"/>
      <c r="M173" s="351"/>
      <c r="N173" s="351"/>
      <c r="O173" s="351"/>
      <c r="P173" s="351"/>
      <c r="Q173" s="351"/>
      <c r="R173" s="351"/>
      <c r="S173" s="351"/>
      <c r="T173" s="351"/>
      <c r="U173" s="351"/>
      <c r="V173" s="351"/>
      <c r="W173" s="351"/>
      <c r="X173" s="351"/>
      <c r="Y173" s="351"/>
      <c r="Z173" s="351"/>
      <c r="AA173" s="351"/>
      <c r="AB173" s="351"/>
      <c r="AC173" s="351"/>
      <c r="AD173" s="351"/>
      <c r="AE173" s="351"/>
      <c r="AF173" s="351"/>
      <c r="AG173" s="351"/>
      <c r="AH173" s="351"/>
      <c r="AI173" s="351"/>
      <c r="AJ173" s="351"/>
      <c r="AK173" s="351"/>
      <c r="AL173" s="351"/>
      <c r="AM173" s="351"/>
      <c r="AN173" s="351"/>
      <c r="AO173" s="351"/>
      <c r="AP173" s="351"/>
      <c r="AQ173" s="351"/>
      <c r="AR173" s="351"/>
      <c r="AS173" s="351"/>
      <c r="AT173" s="351"/>
      <c r="AU173" s="351"/>
      <c r="AV173" s="351"/>
      <c r="AW173" s="351"/>
      <c r="AX173" s="351"/>
    </row>
    <row r="174" spans="1:50" s="348" customFormat="1" ht="38.25" hidden="1" outlineLevel="1">
      <c r="A174" s="348" t="s">
        <v>1813</v>
      </c>
      <c r="B174" s="348" t="s">
        <v>1814</v>
      </c>
      <c r="C174" s="349" t="s">
        <v>1815</v>
      </c>
      <c r="D174" s="383">
        <v>-447018</v>
      </c>
      <c r="E174" s="384">
        <v>0</v>
      </c>
      <c r="F174" s="384">
        <v>0</v>
      </c>
      <c r="G174" s="384">
        <v>-276240</v>
      </c>
      <c r="H174" s="351"/>
      <c r="I174" s="351"/>
      <c r="J174" s="351"/>
      <c r="K174" s="351"/>
      <c r="L174" s="351"/>
      <c r="M174" s="351"/>
      <c r="N174" s="351"/>
      <c r="O174" s="351"/>
      <c r="P174" s="351"/>
      <c r="Q174" s="351"/>
      <c r="R174" s="351"/>
      <c r="S174" s="351"/>
      <c r="T174" s="351"/>
      <c r="U174" s="351"/>
      <c r="V174" s="351"/>
      <c r="W174" s="351"/>
      <c r="X174" s="351"/>
      <c r="Y174" s="351"/>
      <c r="Z174" s="351"/>
      <c r="AA174" s="351"/>
      <c r="AB174" s="351"/>
      <c r="AC174" s="351"/>
      <c r="AD174" s="351"/>
      <c r="AE174" s="351"/>
      <c r="AF174" s="351"/>
      <c r="AG174" s="351"/>
      <c r="AH174" s="351"/>
      <c r="AI174" s="351"/>
      <c r="AJ174" s="351"/>
      <c r="AK174" s="351"/>
      <c r="AL174" s="351"/>
      <c r="AM174" s="351"/>
      <c r="AN174" s="351"/>
      <c r="AO174" s="351"/>
      <c r="AP174" s="351"/>
      <c r="AQ174" s="351"/>
      <c r="AR174" s="351"/>
      <c r="AS174" s="351"/>
      <c r="AT174" s="351"/>
      <c r="AU174" s="351"/>
      <c r="AV174" s="351"/>
      <c r="AW174" s="351"/>
      <c r="AX174" s="351"/>
    </row>
    <row r="175" spans="1:50" s="348" customFormat="1" ht="38.25" hidden="1" outlineLevel="1">
      <c r="A175" s="348" t="s">
        <v>1832</v>
      </c>
      <c r="B175" s="348" t="s">
        <v>1833</v>
      </c>
      <c r="C175" s="349" t="s">
        <v>1834</v>
      </c>
      <c r="D175" s="383">
        <v>0</v>
      </c>
      <c r="E175" s="384">
        <v>-995.53</v>
      </c>
      <c r="F175" s="384">
        <v>0</v>
      </c>
      <c r="G175" s="384">
        <v>0</v>
      </c>
      <c r="H175" s="351"/>
      <c r="I175" s="351"/>
      <c r="J175" s="351"/>
      <c r="K175" s="351"/>
      <c r="L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51"/>
      <c r="X175" s="351"/>
      <c r="Y175" s="351"/>
      <c r="Z175" s="351"/>
      <c r="AA175" s="351"/>
      <c r="AB175" s="351"/>
      <c r="AC175" s="351"/>
      <c r="AD175" s="351"/>
      <c r="AE175" s="351"/>
      <c r="AF175" s="351"/>
      <c r="AG175" s="351"/>
      <c r="AH175" s="351"/>
      <c r="AI175" s="351"/>
      <c r="AJ175" s="351"/>
      <c r="AK175" s="351"/>
      <c r="AL175" s="351"/>
      <c r="AM175" s="351"/>
      <c r="AN175" s="351"/>
      <c r="AO175" s="351"/>
      <c r="AP175" s="351"/>
      <c r="AQ175" s="351"/>
      <c r="AR175" s="351"/>
      <c r="AS175" s="351"/>
      <c r="AT175" s="351"/>
      <c r="AU175" s="351"/>
      <c r="AV175" s="351"/>
      <c r="AW175" s="351"/>
      <c r="AX175" s="351"/>
    </row>
    <row r="176" spans="1:50" s="348" customFormat="1" ht="38.25" hidden="1" outlineLevel="1">
      <c r="A176" s="348" t="s">
        <v>1835</v>
      </c>
      <c r="B176" s="348" t="s">
        <v>1836</v>
      </c>
      <c r="C176" s="349" t="s">
        <v>1837</v>
      </c>
      <c r="D176" s="383">
        <v>0</v>
      </c>
      <c r="E176" s="384">
        <v>-1158.84</v>
      </c>
      <c r="F176" s="384">
        <v>0</v>
      </c>
      <c r="G176" s="384">
        <v>0</v>
      </c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  <c r="AL176" s="351"/>
      <c r="AM176" s="351"/>
      <c r="AN176" s="351"/>
      <c r="AO176" s="351"/>
      <c r="AP176" s="351"/>
      <c r="AQ176" s="351"/>
      <c r="AR176" s="351"/>
      <c r="AS176" s="351"/>
      <c r="AT176" s="351"/>
      <c r="AU176" s="351"/>
      <c r="AV176" s="351"/>
      <c r="AW176" s="351"/>
      <c r="AX176" s="351"/>
    </row>
    <row r="177" spans="1:50" s="348" customFormat="1" ht="38.25" hidden="1" outlineLevel="1">
      <c r="A177" s="348" t="s">
        <v>1838</v>
      </c>
      <c r="B177" s="348" t="s">
        <v>1839</v>
      </c>
      <c r="C177" s="349" t="s">
        <v>1840</v>
      </c>
      <c r="D177" s="383">
        <v>-1147332</v>
      </c>
      <c r="E177" s="384">
        <v>0</v>
      </c>
      <c r="F177" s="384">
        <v>0</v>
      </c>
      <c r="G177" s="384">
        <v>0</v>
      </c>
      <c r="H177" s="351"/>
      <c r="I177" s="351"/>
      <c r="J177" s="351"/>
      <c r="K177" s="351"/>
      <c r="L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51"/>
      <c r="X177" s="351"/>
      <c r="Y177" s="351"/>
      <c r="Z177" s="351"/>
      <c r="AA177" s="351"/>
      <c r="AB177" s="351"/>
      <c r="AC177" s="351"/>
      <c r="AD177" s="351"/>
      <c r="AE177" s="351"/>
      <c r="AF177" s="351"/>
      <c r="AG177" s="351"/>
      <c r="AH177" s="351"/>
      <c r="AI177" s="351"/>
      <c r="AJ177" s="351"/>
      <c r="AK177" s="351"/>
      <c r="AL177" s="351"/>
      <c r="AM177" s="351"/>
      <c r="AN177" s="351"/>
      <c r="AO177" s="351"/>
      <c r="AP177" s="351"/>
      <c r="AQ177" s="351"/>
      <c r="AR177" s="351"/>
      <c r="AS177" s="351"/>
      <c r="AT177" s="351"/>
      <c r="AU177" s="351"/>
      <c r="AV177" s="351"/>
      <c r="AW177" s="351"/>
      <c r="AX177" s="351"/>
    </row>
    <row r="178" spans="1:50" s="348" customFormat="1" ht="38.25" hidden="1" outlineLevel="1">
      <c r="A178" s="348" t="s">
        <v>1848</v>
      </c>
      <c r="B178" s="348" t="s">
        <v>1849</v>
      </c>
      <c r="C178" s="349" t="s">
        <v>1850</v>
      </c>
      <c r="D178" s="383">
        <v>-2679746.48</v>
      </c>
      <c r="E178" s="384">
        <v>-40911.43</v>
      </c>
      <c r="F178" s="384">
        <v>0</v>
      </c>
      <c r="G178" s="384">
        <v>0</v>
      </c>
      <c r="H178" s="351"/>
      <c r="I178" s="351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  <c r="AQ178" s="351"/>
      <c r="AR178" s="351"/>
      <c r="AS178" s="351"/>
      <c r="AT178" s="351"/>
      <c r="AU178" s="351"/>
      <c r="AV178" s="351"/>
      <c r="AW178" s="351"/>
      <c r="AX178" s="351"/>
    </row>
    <row r="179" spans="1:50" ht="12.75" customHeight="1" collapsed="1">
      <c r="A179" s="362" t="s">
        <v>930</v>
      </c>
      <c r="B179" s="379" t="s">
        <v>931</v>
      </c>
      <c r="C179" s="380"/>
      <c r="D179" s="382">
        <v>-1571376.41</v>
      </c>
      <c r="E179" s="382">
        <v>232682.27</v>
      </c>
      <c r="F179" s="382">
        <v>0</v>
      </c>
      <c r="G179" s="382">
        <v>-274521.84</v>
      </c>
      <c r="H179" s="362"/>
      <c r="I179" s="362"/>
      <c r="J179" s="362"/>
      <c r="K179" s="362"/>
      <c r="L179" s="362"/>
      <c r="M179" s="362"/>
      <c r="N179" s="362"/>
      <c r="O179" s="362"/>
      <c r="P179" s="362"/>
      <c r="Q179" s="362"/>
      <c r="R179" s="362"/>
      <c r="S179" s="362"/>
      <c r="T179" s="362"/>
      <c r="U179" s="362"/>
      <c r="V179" s="362"/>
      <c r="W179" s="362"/>
      <c r="X179" s="362"/>
      <c r="Y179" s="362"/>
      <c r="Z179" s="362"/>
      <c r="AA179" s="362"/>
      <c r="AB179" s="362"/>
      <c r="AC179" s="362"/>
      <c r="AD179" s="362"/>
      <c r="AE179" s="362"/>
      <c r="AF179" s="362"/>
      <c r="AG179" s="362"/>
      <c r="AH179" s="362"/>
      <c r="AI179" s="362"/>
      <c r="AJ179" s="362"/>
      <c r="AK179" s="362"/>
      <c r="AL179" s="362"/>
      <c r="AM179" s="362"/>
      <c r="AN179" s="362"/>
      <c r="AO179" s="362"/>
      <c r="AP179" s="362"/>
      <c r="AQ179" s="362"/>
      <c r="AR179" s="362"/>
      <c r="AS179" s="362"/>
      <c r="AT179" s="362"/>
      <c r="AU179" s="362"/>
      <c r="AV179" s="362"/>
      <c r="AW179" s="362"/>
      <c r="AX179" s="362"/>
    </row>
    <row r="180" spans="2:50" ht="12.75" customHeight="1">
      <c r="B180" s="376" t="s">
        <v>932</v>
      </c>
      <c r="C180" s="380"/>
      <c r="D180" s="382"/>
      <c r="E180" s="382"/>
      <c r="F180" s="382"/>
      <c r="G180" s="382"/>
      <c r="H180" s="362"/>
      <c r="I180" s="362"/>
      <c r="J180" s="362"/>
      <c r="K180" s="362"/>
      <c r="L180" s="362"/>
      <c r="M180" s="362"/>
      <c r="N180" s="362"/>
      <c r="O180" s="362"/>
      <c r="P180" s="362"/>
      <c r="Q180" s="362"/>
      <c r="R180" s="362"/>
      <c r="S180" s="362"/>
      <c r="T180" s="362"/>
      <c r="U180" s="362"/>
      <c r="V180" s="362"/>
      <c r="W180" s="362"/>
      <c r="X180" s="362"/>
      <c r="Y180" s="362"/>
      <c r="Z180" s="362"/>
      <c r="AA180" s="362"/>
      <c r="AB180" s="362"/>
      <c r="AC180" s="362"/>
      <c r="AD180" s="362"/>
      <c r="AE180" s="362"/>
      <c r="AF180" s="362"/>
      <c r="AG180" s="362"/>
      <c r="AH180" s="362"/>
      <c r="AI180" s="362"/>
      <c r="AJ180" s="362"/>
      <c r="AK180" s="362"/>
      <c r="AL180" s="362"/>
      <c r="AM180" s="362"/>
      <c r="AN180" s="362"/>
      <c r="AO180" s="362"/>
      <c r="AP180" s="362"/>
      <c r="AQ180" s="362"/>
      <c r="AR180" s="362"/>
      <c r="AS180" s="362"/>
      <c r="AT180" s="362"/>
      <c r="AU180" s="362"/>
      <c r="AV180" s="362"/>
      <c r="AW180" s="362"/>
      <c r="AX180" s="362"/>
    </row>
    <row r="181" spans="2:50" s="389" customFormat="1" ht="12.75" customHeight="1">
      <c r="B181" s="376" t="s">
        <v>933</v>
      </c>
      <c r="C181" s="377"/>
      <c r="D181" s="386">
        <f>D167+D168+D169+D170+D179</f>
        <v>-1515452.72</v>
      </c>
      <c r="E181" s="386">
        <f>E167+E168+E169+E170+E179</f>
        <v>232682.27</v>
      </c>
      <c r="F181" s="386">
        <f>F167+F168+F169+F170+F179</f>
        <v>4000.73</v>
      </c>
      <c r="G181" s="386">
        <f>G167+G168+G169+G170+G179</f>
        <v>-274521.84</v>
      </c>
      <c r="H181" s="362"/>
      <c r="I181" s="362"/>
      <c r="J181" s="362"/>
      <c r="K181" s="362"/>
      <c r="L181" s="362"/>
      <c r="M181" s="362"/>
      <c r="N181" s="362"/>
      <c r="O181" s="362"/>
      <c r="P181" s="362"/>
      <c r="Q181" s="362"/>
      <c r="R181" s="362"/>
      <c r="S181" s="362"/>
      <c r="T181" s="362"/>
      <c r="U181" s="362"/>
      <c r="V181" s="362"/>
      <c r="W181" s="362"/>
      <c r="X181" s="362"/>
      <c r="Y181" s="362"/>
      <c r="Z181" s="362"/>
      <c r="AA181" s="362"/>
      <c r="AB181" s="362"/>
      <c r="AC181" s="362"/>
      <c r="AD181" s="362"/>
      <c r="AE181" s="362"/>
      <c r="AF181" s="362"/>
      <c r="AG181" s="362"/>
      <c r="AH181" s="362"/>
      <c r="AI181" s="362"/>
      <c r="AJ181" s="362"/>
      <c r="AK181" s="362"/>
      <c r="AL181" s="362"/>
      <c r="AM181" s="362"/>
      <c r="AN181" s="362"/>
      <c r="AO181" s="362"/>
      <c r="AP181" s="362"/>
      <c r="AQ181" s="362"/>
      <c r="AR181" s="362"/>
      <c r="AS181" s="362"/>
      <c r="AT181" s="362"/>
      <c r="AU181" s="362"/>
      <c r="AV181" s="362"/>
      <c r="AW181" s="362"/>
      <c r="AX181" s="362"/>
    </row>
    <row r="182" spans="2:50" ht="12.75" customHeight="1">
      <c r="B182" s="379"/>
      <c r="C182" s="380"/>
      <c r="D182" s="382"/>
      <c r="E182" s="382"/>
      <c r="F182" s="382"/>
      <c r="G182" s="382"/>
      <c r="H182" s="362"/>
      <c r="I182" s="362"/>
      <c r="J182" s="362"/>
      <c r="K182" s="362"/>
      <c r="L182" s="362"/>
      <c r="M182" s="362"/>
      <c r="N182" s="362"/>
      <c r="O182" s="362"/>
      <c r="P182" s="362"/>
      <c r="Q182" s="362"/>
      <c r="R182" s="362"/>
      <c r="S182" s="362"/>
      <c r="T182" s="362"/>
      <c r="U182" s="362"/>
      <c r="V182" s="362"/>
      <c r="W182" s="362"/>
      <c r="X182" s="362"/>
      <c r="Y182" s="362"/>
      <c r="Z182" s="362"/>
      <c r="AA182" s="362"/>
      <c r="AB182" s="362"/>
      <c r="AC182" s="362"/>
      <c r="AD182" s="362"/>
      <c r="AE182" s="362"/>
      <c r="AF182" s="362"/>
      <c r="AG182" s="362"/>
      <c r="AH182" s="362"/>
      <c r="AI182" s="362"/>
      <c r="AJ182" s="362"/>
      <c r="AK182" s="362"/>
      <c r="AL182" s="362"/>
      <c r="AM182" s="362"/>
      <c r="AN182" s="362"/>
      <c r="AO182" s="362"/>
      <c r="AP182" s="362"/>
      <c r="AQ182" s="362"/>
      <c r="AR182" s="362"/>
      <c r="AS182" s="362"/>
      <c r="AT182" s="362"/>
      <c r="AU182" s="362"/>
      <c r="AV182" s="362"/>
      <c r="AW182" s="362"/>
      <c r="AX182" s="362"/>
    </row>
    <row r="183" spans="2:50" s="389" customFormat="1" ht="12.75" customHeight="1">
      <c r="B183" s="387" t="s">
        <v>934</v>
      </c>
      <c r="C183" s="388"/>
      <c r="D183" s="386">
        <f>D163+D181</f>
        <v>614518.1199999999</v>
      </c>
      <c r="E183" s="386">
        <f>E163+E181</f>
        <v>-40786.43000000008</v>
      </c>
      <c r="F183" s="386">
        <f>F163+F181</f>
        <v>16732.25999999997</v>
      </c>
      <c r="G183" s="386">
        <f>G163+G181</f>
        <v>739020.1599999999</v>
      </c>
      <c r="H183" s="362"/>
      <c r="I183" s="362"/>
      <c r="J183" s="362"/>
      <c r="K183" s="362"/>
      <c r="L183" s="362"/>
      <c r="M183" s="362"/>
      <c r="N183" s="362"/>
      <c r="O183" s="362"/>
      <c r="P183" s="362"/>
      <c r="Q183" s="362"/>
      <c r="R183" s="362"/>
      <c r="S183" s="362"/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2"/>
      <c r="AD183" s="362"/>
      <c r="AE183" s="362"/>
      <c r="AF183" s="362"/>
      <c r="AG183" s="362"/>
      <c r="AH183" s="362"/>
      <c r="AI183" s="362"/>
      <c r="AJ183" s="362"/>
      <c r="AK183" s="362"/>
      <c r="AL183" s="362"/>
      <c r="AM183" s="362"/>
      <c r="AN183" s="362"/>
      <c r="AO183" s="362"/>
      <c r="AP183" s="362"/>
      <c r="AQ183" s="362"/>
      <c r="AR183" s="362"/>
      <c r="AS183" s="362"/>
      <c r="AT183" s="362"/>
      <c r="AU183" s="362"/>
      <c r="AV183" s="362"/>
      <c r="AW183" s="362"/>
      <c r="AX183" s="362"/>
    </row>
    <row r="184" spans="2:50" ht="12.75" customHeight="1">
      <c r="B184" s="379"/>
      <c r="C184" s="380"/>
      <c r="D184" s="382"/>
      <c r="E184" s="382"/>
      <c r="F184" s="382"/>
      <c r="G184" s="382"/>
      <c r="H184" s="362"/>
      <c r="I184" s="362"/>
      <c r="J184" s="362"/>
      <c r="K184" s="362"/>
      <c r="L184" s="362"/>
      <c r="M184" s="362"/>
      <c r="N184" s="362"/>
      <c r="O184" s="362"/>
      <c r="P184" s="362"/>
      <c r="Q184" s="362"/>
      <c r="R184" s="362"/>
      <c r="S184" s="362"/>
      <c r="T184" s="362"/>
      <c r="U184" s="362"/>
      <c r="V184" s="362"/>
      <c r="W184" s="362"/>
      <c r="X184" s="362"/>
      <c r="Y184" s="362"/>
      <c r="Z184" s="362"/>
      <c r="AA184" s="362"/>
      <c r="AB184" s="362"/>
      <c r="AC184" s="362"/>
      <c r="AD184" s="362"/>
      <c r="AE184" s="362"/>
      <c r="AF184" s="362"/>
      <c r="AG184" s="362"/>
      <c r="AH184" s="362"/>
      <c r="AI184" s="362"/>
      <c r="AJ184" s="362"/>
      <c r="AK184" s="362"/>
      <c r="AL184" s="362"/>
      <c r="AM184" s="362"/>
      <c r="AN184" s="362"/>
      <c r="AO184" s="362"/>
      <c r="AP184" s="362"/>
      <c r="AQ184" s="362"/>
      <c r="AR184" s="362"/>
      <c r="AS184" s="362"/>
      <c r="AT184" s="362"/>
      <c r="AU184" s="362"/>
      <c r="AV184" s="362"/>
      <c r="AW184" s="362"/>
      <c r="AX184" s="362"/>
    </row>
    <row r="185" spans="1:50" s="348" customFormat="1" ht="38.25" hidden="1" outlineLevel="1">
      <c r="A185" s="348" t="s">
        <v>1864</v>
      </c>
      <c r="B185" s="348" t="s">
        <v>1865</v>
      </c>
      <c r="C185" s="349" t="s">
        <v>1866</v>
      </c>
      <c r="D185" s="383">
        <v>143551.72</v>
      </c>
      <c r="E185" s="384">
        <v>76338.47</v>
      </c>
      <c r="F185" s="384">
        <v>86788.76</v>
      </c>
      <c r="G185" s="384">
        <v>0</v>
      </c>
      <c r="H185" s="351"/>
      <c r="I185" s="351"/>
      <c r="J185" s="351"/>
      <c r="K185" s="351"/>
      <c r="L185" s="351"/>
      <c r="M185" s="351"/>
      <c r="N185" s="351"/>
      <c r="O185" s="351"/>
      <c r="P185" s="351"/>
      <c r="Q185" s="351"/>
      <c r="R185" s="351"/>
      <c r="S185" s="351"/>
      <c r="T185" s="351"/>
      <c r="U185" s="351"/>
      <c r="V185" s="351"/>
      <c r="W185" s="351"/>
      <c r="X185" s="351"/>
      <c r="Y185" s="351"/>
      <c r="Z185" s="351"/>
      <c r="AA185" s="351"/>
      <c r="AB185" s="351"/>
      <c r="AC185" s="351"/>
      <c r="AD185" s="351"/>
      <c r="AE185" s="351"/>
      <c r="AF185" s="351"/>
      <c r="AG185" s="351"/>
      <c r="AH185" s="351"/>
      <c r="AI185" s="351"/>
      <c r="AJ185" s="351"/>
      <c r="AK185" s="351"/>
      <c r="AL185" s="351"/>
      <c r="AM185" s="351"/>
      <c r="AN185" s="351"/>
      <c r="AO185" s="351"/>
      <c r="AP185" s="351"/>
      <c r="AQ185" s="351"/>
      <c r="AR185" s="351"/>
      <c r="AS185" s="351"/>
      <c r="AT185" s="351"/>
      <c r="AU185" s="351"/>
      <c r="AV185" s="351"/>
      <c r="AW185" s="351"/>
      <c r="AX185" s="351"/>
    </row>
    <row r="186" spans="1:7" s="351" customFormat="1" ht="12.75" customHeight="1" collapsed="1">
      <c r="A186" s="391" t="s">
        <v>1867</v>
      </c>
      <c r="B186" s="23" t="s">
        <v>2204</v>
      </c>
      <c r="C186" s="74"/>
      <c r="D186" s="39">
        <v>143551.72</v>
      </c>
      <c r="E186" s="39">
        <v>76338.47</v>
      </c>
      <c r="F186" s="39">
        <v>86788.76</v>
      </c>
      <c r="G186" s="39">
        <v>0</v>
      </c>
    </row>
    <row r="187" spans="1:7" s="351" customFormat="1" ht="12.75" customHeight="1">
      <c r="A187" s="391"/>
      <c r="B187" s="23"/>
      <c r="C187" s="74"/>
      <c r="D187" s="27"/>
      <c r="E187" s="27"/>
      <c r="F187" s="27"/>
      <c r="G187" s="27"/>
    </row>
    <row r="188" spans="1:7" s="351" customFormat="1" ht="12.75" customHeight="1">
      <c r="A188" s="391"/>
      <c r="B188" s="23" t="s">
        <v>2205</v>
      </c>
      <c r="C188" s="74"/>
      <c r="D188" s="392">
        <f>D183+D186</f>
        <v>758069.8399999999</v>
      </c>
      <c r="E188" s="392">
        <f>E183+E186</f>
        <v>35552.03999999992</v>
      </c>
      <c r="F188" s="392">
        <f>F183+F186</f>
        <v>103521.01999999996</v>
      </c>
      <c r="G188" s="392">
        <f>G183+G186</f>
        <v>739020.1599999999</v>
      </c>
    </row>
    <row r="189" spans="3:7" s="351" customFormat="1" ht="12.75">
      <c r="C189" s="393"/>
      <c r="D189" s="394"/>
      <c r="E189" s="394"/>
      <c r="F189" s="394"/>
      <c r="G189" s="394"/>
    </row>
    <row r="190" spans="3:7" s="351" customFormat="1" ht="12.75">
      <c r="C190" s="393"/>
      <c r="D190" s="362"/>
      <c r="E190" s="362"/>
      <c r="F190" s="362"/>
      <c r="G190" s="362"/>
    </row>
    <row r="191" spans="3:7" s="351" customFormat="1" ht="12.75">
      <c r="C191" s="393"/>
      <c r="D191" s="362"/>
      <c r="E191" s="362"/>
      <c r="F191" s="362"/>
      <c r="G191" s="362"/>
    </row>
    <row r="192" spans="3:7" s="351" customFormat="1" ht="12.75">
      <c r="C192" s="393"/>
      <c r="D192" s="362"/>
      <c r="E192" s="362"/>
      <c r="F192" s="362"/>
      <c r="G192" s="362"/>
    </row>
    <row r="193" spans="3:7" s="351" customFormat="1" ht="12.75">
      <c r="C193" s="393"/>
      <c r="D193" s="362"/>
      <c r="E193" s="362"/>
      <c r="F193" s="362"/>
      <c r="G193" s="362"/>
    </row>
    <row r="194" spans="3:7" s="351" customFormat="1" ht="12.75">
      <c r="C194" s="393"/>
      <c r="D194" s="362"/>
      <c r="E194" s="362"/>
      <c r="F194" s="362"/>
      <c r="G194" s="362"/>
    </row>
    <row r="195" spans="3:7" s="351" customFormat="1" ht="12.75">
      <c r="C195" s="393"/>
      <c r="D195" s="362"/>
      <c r="E195" s="362"/>
      <c r="F195" s="362"/>
      <c r="G195" s="362"/>
    </row>
    <row r="196" spans="3:7" s="351" customFormat="1" ht="12.75">
      <c r="C196" s="393"/>
      <c r="D196" s="362"/>
      <c r="E196" s="362"/>
      <c r="F196" s="362"/>
      <c r="G196" s="362"/>
    </row>
    <row r="197" spans="3:7" s="351" customFormat="1" ht="12.75">
      <c r="C197" s="393"/>
      <c r="D197" s="362"/>
      <c r="E197" s="362"/>
      <c r="F197" s="362"/>
      <c r="G197" s="362"/>
    </row>
    <row r="198" spans="3:7" s="351" customFormat="1" ht="12.75">
      <c r="C198" s="393"/>
      <c r="D198" s="362"/>
      <c r="E198" s="362"/>
      <c r="F198" s="362"/>
      <c r="G198" s="362"/>
    </row>
    <row r="199" spans="3:7" s="351" customFormat="1" ht="12.75">
      <c r="C199" s="393"/>
      <c r="D199" s="362"/>
      <c r="E199" s="362"/>
      <c r="F199" s="362"/>
      <c r="G199" s="362"/>
    </row>
    <row r="200" spans="3:7" s="351" customFormat="1" ht="12.75">
      <c r="C200" s="393"/>
      <c r="D200" s="362"/>
      <c r="E200" s="362"/>
      <c r="F200" s="362"/>
      <c r="G200" s="362"/>
    </row>
    <row r="201" spans="3:7" s="351" customFormat="1" ht="12.75">
      <c r="C201" s="393"/>
      <c r="D201" s="362"/>
      <c r="E201" s="362"/>
      <c r="F201" s="362"/>
      <c r="G201" s="362"/>
    </row>
    <row r="202" spans="3:7" s="351" customFormat="1" ht="12.75">
      <c r="C202" s="393"/>
      <c r="D202" s="362"/>
      <c r="E202" s="362"/>
      <c r="F202" s="362"/>
      <c r="G202" s="362"/>
    </row>
    <row r="203" spans="3:7" s="351" customFormat="1" ht="12.75">
      <c r="C203" s="393"/>
      <c r="D203" s="362"/>
      <c r="E203" s="362"/>
      <c r="F203" s="362"/>
      <c r="G203" s="362"/>
    </row>
    <row r="204" spans="3:7" s="351" customFormat="1" ht="12.75">
      <c r="C204" s="393"/>
      <c r="D204" s="362"/>
      <c r="E204" s="362"/>
      <c r="F204" s="362"/>
      <c r="G204" s="362"/>
    </row>
    <row r="205" spans="3:7" s="351" customFormat="1" ht="12.75">
      <c r="C205" s="393"/>
      <c r="D205" s="362"/>
      <c r="E205" s="362"/>
      <c r="F205" s="362"/>
      <c r="G205" s="362"/>
    </row>
    <row r="206" spans="3:7" s="351" customFormat="1" ht="12.75">
      <c r="C206" s="393"/>
      <c r="D206" s="362"/>
      <c r="E206" s="362"/>
      <c r="F206" s="362"/>
      <c r="G206" s="362"/>
    </row>
    <row r="207" spans="3:7" s="351" customFormat="1" ht="12.75">
      <c r="C207" s="393"/>
      <c r="D207" s="362"/>
      <c r="E207" s="362"/>
      <c r="F207" s="362"/>
      <c r="G207" s="362"/>
    </row>
    <row r="208" spans="3:7" s="351" customFormat="1" ht="12.75">
      <c r="C208" s="393"/>
      <c r="D208" s="362"/>
      <c r="E208" s="362"/>
      <c r="F208" s="362"/>
      <c r="G208" s="362"/>
    </row>
    <row r="209" spans="3:7" s="351" customFormat="1" ht="12.75">
      <c r="C209" s="393"/>
      <c r="D209" s="362"/>
      <c r="E209" s="362"/>
      <c r="F209" s="362"/>
      <c r="G209" s="362"/>
    </row>
    <row r="210" spans="3:7" s="351" customFormat="1" ht="12.75">
      <c r="C210" s="393"/>
      <c r="D210" s="362"/>
      <c r="E210" s="362"/>
      <c r="F210" s="362"/>
      <c r="G210" s="362"/>
    </row>
    <row r="211" spans="3:7" s="351" customFormat="1" ht="12.75">
      <c r="C211" s="393"/>
      <c r="D211" s="362"/>
      <c r="E211" s="362"/>
      <c r="F211" s="362"/>
      <c r="G211" s="362"/>
    </row>
    <row r="212" spans="3:7" s="351" customFormat="1" ht="12.75">
      <c r="C212" s="393"/>
      <c r="D212" s="362"/>
      <c r="E212" s="362"/>
      <c r="F212" s="362"/>
      <c r="G212" s="362"/>
    </row>
    <row r="213" spans="3:7" s="351" customFormat="1" ht="12.75">
      <c r="C213" s="393"/>
      <c r="D213" s="362"/>
      <c r="E213" s="362"/>
      <c r="F213" s="362"/>
      <c r="G213" s="362"/>
    </row>
    <row r="214" spans="3:7" s="351" customFormat="1" ht="12.75">
      <c r="C214" s="393"/>
      <c r="D214" s="362"/>
      <c r="E214" s="362"/>
      <c r="F214" s="362"/>
      <c r="G214" s="362"/>
    </row>
    <row r="215" spans="3:7" s="351" customFormat="1" ht="12.75">
      <c r="C215" s="393"/>
      <c r="D215" s="362"/>
      <c r="E215" s="362"/>
      <c r="F215" s="362"/>
      <c r="G215" s="362"/>
    </row>
    <row r="216" spans="3:7" s="351" customFormat="1" ht="12.75">
      <c r="C216" s="393"/>
      <c r="D216" s="362"/>
      <c r="E216" s="362"/>
      <c r="F216" s="362"/>
      <c r="G216" s="362"/>
    </row>
    <row r="217" spans="3:7" s="351" customFormat="1" ht="12.75">
      <c r="C217" s="393"/>
      <c r="D217" s="362"/>
      <c r="E217" s="362"/>
      <c r="F217" s="362"/>
      <c r="G217" s="362"/>
    </row>
    <row r="218" spans="3:7" s="351" customFormat="1" ht="12.75">
      <c r="C218" s="393"/>
      <c r="D218" s="362"/>
      <c r="E218" s="362"/>
      <c r="F218" s="362"/>
      <c r="G218" s="362"/>
    </row>
    <row r="219" spans="3:7" s="351" customFormat="1" ht="12.75">
      <c r="C219" s="393"/>
      <c r="D219" s="362"/>
      <c r="E219" s="362"/>
      <c r="F219" s="362"/>
      <c r="G219" s="362"/>
    </row>
    <row r="220" spans="3:7" s="351" customFormat="1" ht="12.75">
      <c r="C220" s="393"/>
      <c r="D220" s="362"/>
      <c r="E220" s="362"/>
      <c r="F220" s="362"/>
      <c r="G220" s="362"/>
    </row>
    <row r="221" spans="3:7" s="351" customFormat="1" ht="12.75">
      <c r="C221" s="393"/>
      <c r="D221" s="362"/>
      <c r="E221" s="362"/>
      <c r="F221" s="362"/>
      <c r="G221" s="362"/>
    </row>
    <row r="222" spans="3:7" s="351" customFormat="1" ht="12.75">
      <c r="C222" s="393"/>
      <c r="D222" s="362"/>
      <c r="E222" s="362"/>
      <c r="F222" s="362"/>
      <c r="G222" s="362"/>
    </row>
    <row r="223" spans="3:7" s="351" customFormat="1" ht="12.75">
      <c r="C223" s="393"/>
      <c r="D223" s="362"/>
      <c r="E223" s="362"/>
      <c r="F223" s="362"/>
      <c r="G223" s="362"/>
    </row>
    <row r="224" spans="3:7" s="351" customFormat="1" ht="12.75">
      <c r="C224" s="393"/>
      <c r="D224" s="362"/>
      <c r="E224" s="362"/>
      <c r="F224" s="362"/>
      <c r="G224" s="362"/>
    </row>
    <row r="225" spans="3:7" s="351" customFormat="1" ht="12.75">
      <c r="C225" s="393"/>
      <c r="D225" s="362"/>
      <c r="E225" s="362"/>
      <c r="F225" s="362"/>
      <c r="G225" s="362"/>
    </row>
    <row r="226" spans="3:7" s="351" customFormat="1" ht="12.75">
      <c r="C226" s="393"/>
      <c r="D226" s="362"/>
      <c r="E226" s="362"/>
      <c r="F226" s="362"/>
      <c r="G226" s="362"/>
    </row>
    <row r="227" spans="3:7" s="351" customFormat="1" ht="12.75">
      <c r="C227" s="393"/>
      <c r="D227" s="362"/>
      <c r="E227" s="362"/>
      <c r="F227" s="362"/>
      <c r="G227" s="362"/>
    </row>
    <row r="228" spans="3:7" s="351" customFormat="1" ht="12.75">
      <c r="C228" s="393"/>
      <c r="D228" s="362"/>
      <c r="E228" s="362"/>
      <c r="F228" s="362"/>
      <c r="G228" s="362"/>
    </row>
    <row r="229" spans="3:7" s="351" customFormat="1" ht="12.75">
      <c r="C229" s="393"/>
      <c r="D229" s="362"/>
      <c r="E229" s="362"/>
      <c r="F229" s="362"/>
      <c r="G229" s="362"/>
    </row>
    <row r="230" spans="3:7" s="351" customFormat="1" ht="12.75">
      <c r="C230" s="393"/>
      <c r="D230" s="362"/>
      <c r="E230" s="362"/>
      <c r="F230" s="362"/>
      <c r="G230" s="362"/>
    </row>
    <row r="231" spans="3:7" s="351" customFormat="1" ht="12.75">
      <c r="C231" s="393"/>
      <c r="D231" s="362"/>
      <c r="E231" s="362"/>
      <c r="F231" s="362"/>
      <c r="G231" s="362"/>
    </row>
    <row r="232" spans="3:7" s="351" customFormat="1" ht="12.75">
      <c r="C232" s="393"/>
      <c r="D232" s="362"/>
      <c r="E232" s="362"/>
      <c r="F232" s="362"/>
      <c r="G232" s="362"/>
    </row>
    <row r="233" spans="3:7" s="351" customFormat="1" ht="12.75">
      <c r="C233" s="393"/>
      <c r="D233" s="362"/>
      <c r="E233" s="362"/>
      <c r="F233" s="362"/>
      <c r="G233" s="362"/>
    </row>
    <row r="234" spans="3:7" s="351" customFormat="1" ht="12.75">
      <c r="C234" s="393"/>
      <c r="D234" s="362"/>
      <c r="E234" s="362"/>
      <c r="F234" s="362"/>
      <c r="G234" s="362"/>
    </row>
    <row r="235" spans="3:7" s="351" customFormat="1" ht="12.75">
      <c r="C235" s="393"/>
      <c r="D235" s="362"/>
      <c r="E235" s="362"/>
      <c r="F235" s="362"/>
      <c r="G235" s="362"/>
    </row>
    <row r="236" spans="3:7" s="351" customFormat="1" ht="12.75">
      <c r="C236" s="393"/>
      <c r="D236" s="362"/>
      <c r="E236" s="362"/>
      <c r="F236" s="362"/>
      <c r="G236" s="362"/>
    </row>
    <row r="237" spans="3:7" s="351" customFormat="1" ht="12.75">
      <c r="C237" s="393"/>
      <c r="D237" s="362"/>
      <c r="E237" s="362"/>
      <c r="F237" s="362"/>
      <c r="G237" s="362"/>
    </row>
    <row r="238" spans="3:7" s="351" customFormat="1" ht="12.75">
      <c r="C238" s="393"/>
      <c r="D238" s="362"/>
      <c r="E238" s="362"/>
      <c r="F238" s="362"/>
      <c r="G238" s="362"/>
    </row>
    <row r="239" spans="3:7" s="351" customFormat="1" ht="12.75">
      <c r="C239" s="393"/>
      <c r="D239" s="362"/>
      <c r="E239" s="362"/>
      <c r="F239" s="362"/>
      <c r="G239" s="362"/>
    </row>
    <row r="240" spans="3:7" s="351" customFormat="1" ht="12.75">
      <c r="C240" s="393"/>
      <c r="D240" s="362"/>
      <c r="E240" s="362"/>
      <c r="F240" s="362"/>
      <c r="G240" s="362"/>
    </row>
    <row r="241" spans="3:7" s="351" customFormat="1" ht="12.75">
      <c r="C241" s="393"/>
      <c r="D241" s="362"/>
      <c r="E241" s="362"/>
      <c r="F241" s="362"/>
      <c r="G241" s="362"/>
    </row>
    <row r="242" spans="3:7" s="351" customFormat="1" ht="12.75">
      <c r="C242" s="393"/>
      <c r="D242" s="362"/>
      <c r="E242" s="362"/>
      <c r="F242" s="362"/>
      <c r="G242" s="362"/>
    </row>
    <row r="243" spans="3:7" s="351" customFormat="1" ht="12.75">
      <c r="C243" s="393"/>
      <c r="D243" s="362"/>
      <c r="E243" s="362"/>
      <c r="F243" s="362"/>
      <c r="G243" s="362"/>
    </row>
    <row r="244" spans="3:7" s="351" customFormat="1" ht="12.75">
      <c r="C244" s="393"/>
      <c r="D244" s="362"/>
      <c r="E244" s="362"/>
      <c r="F244" s="362"/>
      <c r="G244" s="362"/>
    </row>
    <row r="245" spans="3:7" s="351" customFormat="1" ht="12.75">
      <c r="C245" s="393"/>
      <c r="D245" s="362"/>
      <c r="E245" s="362"/>
      <c r="F245" s="362"/>
      <c r="G245" s="362"/>
    </row>
    <row r="246" spans="3:7" s="351" customFormat="1" ht="12.75">
      <c r="C246" s="393"/>
      <c r="D246" s="362"/>
      <c r="E246" s="362"/>
      <c r="F246" s="362"/>
      <c r="G246" s="362"/>
    </row>
    <row r="247" spans="3:7" s="351" customFormat="1" ht="12.75">
      <c r="C247" s="393"/>
      <c r="D247" s="362"/>
      <c r="E247" s="362"/>
      <c r="F247" s="362"/>
      <c r="G247" s="362"/>
    </row>
    <row r="248" spans="3:7" s="351" customFormat="1" ht="12.75">
      <c r="C248" s="393"/>
      <c r="D248" s="362"/>
      <c r="E248" s="362"/>
      <c r="F248" s="362"/>
      <c r="G248" s="362"/>
    </row>
    <row r="249" spans="3:7" s="351" customFormat="1" ht="12.75">
      <c r="C249" s="393"/>
      <c r="D249" s="362"/>
      <c r="E249" s="362"/>
      <c r="F249" s="362"/>
      <c r="G249" s="362"/>
    </row>
    <row r="250" spans="3:7" s="351" customFormat="1" ht="12.75">
      <c r="C250" s="393"/>
      <c r="D250" s="362"/>
      <c r="E250" s="362"/>
      <c r="F250" s="362"/>
      <c r="G250" s="362"/>
    </row>
    <row r="251" spans="3:7" s="351" customFormat="1" ht="12.75">
      <c r="C251" s="393"/>
      <c r="D251" s="362"/>
      <c r="E251" s="362"/>
      <c r="F251" s="362"/>
      <c r="G251" s="362"/>
    </row>
    <row r="252" spans="3:7" s="351" customFormat="1" ht="12.75">
      <c r="C252" s="393"/>
      <c r="D252" s="362"/>
      <c r="E252" s="362"/>
      <c r="F252" s="362"/>
      <c r="G252" s="362"/>
    </row>
    <row r="253" spans="3:7" s="351" customFormat="1" ht="12.75">
      <c r="C253" s="393"/>
      <c r="D253" s="362"/>
      <c r="E253" s="362"/>
      <c r="F253" s="362"/>
      <c r="G253" s="362"/>
    </row>
    <row r="254" spans="3:7" s="351" customFormat="1" ht="12.75">
      <c r="C254" s="393"/>
      <c r="D254" s="362"/>
      <c r="E254" s="362"/>
      <c r="F254" s="362"/>
      <c r="G254" s="362"/>
    </row>
    <row r="255" spans="3:7" s="351" customFormat="1" ht="12.75">
      <c r="C255" s="393"/>
      <c r="D255" s="362"/>
      <c r="E255" s="362"/>
      <c r="F255" s="362"/>
      <c r="G255" s="362"/>
    </row>
    <row r="256" spans="3:7" s="351" customFormat="1" ht="12.75">
      <c r="C256" s="393"/>
      <c r="D256" s="362"/>
      <c r="E256" s="362"/>
      <c r="F256" s="362"/>
      <c r="G256" s="362"/>
    </row>
    <row r="257" spans="3:7" s="351" customFormat="1" ht="12.75">
      <c r="C257" s="393"/>
      <c r="D257" s="362"/>
      <c r="E257" s="362"/>
      <c r="F257" s="362"/>
      <c r="G257" s="362"/>
    </row>
    <row r="258" spans="3:7" s="351" customFormat="1" ht="12.75">
      <c r="C258" s="393"/>
      <c r="D258" s="362"/>
      <c r="E258" s="362"/>
      <c r="F258" s="362"/>
      <c r="G258" s="362"/>
    </row>
    <row r="259" spans="3:7" s="351" customFormat="1" ht="12.75">
      <c r="C259" s="393"/>
      <c r="D259" s="362"/>
      <c r="E259" s="362"/>
      <c r="F259" s="362"/>
      <c r="G259" s="362"/>
    </row>
    <row r="260" spans="3:7" s="351" customFormat="1" ht="12.75">
      <c r="C260" s="393"/>
      <c r="D260" s="362"/>
      <c r="E260" s="362"/>
      <c r="F260" s="362"/>
      <c r="G260" s="362"/>
    </row>
    <row r="261" spans="3:7" s="351" customFormat="1" ht="12.75">
      <c r="C261" s="393"/>
      <c r="D261" s="362"/>
      <c r="E261" s="362"/>
      <c r="F261" s="362"/>
      <c r="G261" s="362"/>
    </row>
    <row r="262" spans="3:7" s="351" customFormat="1" ht="12.75">
      <c r="C262" s="393"/>
      <c r="D262" s="362"/>
      <c r="E262" s="362"/>
      <c r="F262" s="362"/>
      <c r="G262" s="362"/>
    </row>
    <row r="263" spans="3:7" s="351" customFormat="1" ht="12.75">
      <c r="C263" s="393"/>
      <c r="D263" s="362"/>
      <c r="E263" s="362"/>
      <c r="F263" s="362"/>
      <c r="G263" s="362"/>
    </row>
    <row r="264" spans="3:7" s="351" customFormat="1" ht="12.75">
      <c r="C264" s="393"/>
      <c r="D264" s="362"/>
      <c r="E264" s="362"/>
      <c r="F264" s="362"/>
      <c r="G264" s="362"/>
    </row>
    <row r="265" spans="3:7" s="351" customFormat="1" ht="12.75">
      <c r="C265" s="393"/>
      <c r="D265" s="362"/>
      <c r="E265" s="362"/>
      <c r="F265" s="362"/>
      <c r="G265" s="362"/>
    </row>
    <row r="266" spans="3:7" s="351" customFormat="1" ht="12.75">
      <c r="C266" s="393"/>
      <c r="D266" s="362"/>
      <c r="E266" s="362"/>
      <c r="F266" s="362"/>
      <c r="G266" s="362"/>
    </row>
    <row r="267" spans="3:7" s="351" customFormat="1" ht="12.75">
      <c r="C267" s="393"/>
      <c r="D267" s="362"/>
      <c r="E267" s="362"/>
      <c r="F267" s="362"/>
      <c r="G267" s="362"/>
    </row>
    <row r="268" spans="3:7" s="351" customFormat="1" ht="12.75">
      <c r="C268" s="393"/>
      <c r="D268" s="362"/>
      <c r="E268" s="362"/>
      <c r="F268" s="362"/>
      <c r="G268" s="362"/>
    </row>
    <row r="269" spans="3:7" s="351" customFormat="1" ht="12.75">
      <c r="C269" s="393"/>
      <c r="D269" s="362"/>
      <c r="E269" s="362"/>
      <c r="F269" s="362"/>
      <c r="G269" s="362"/>
    </row>
    <row r="270" spans="3:7" s="351" customFormat="1" ht="12.75">
      <c r="C270" s="393"/>
      <c r="D270" s="362"/>
      <c r="E270" s="362"/>
      <c r="F270" s="362"/>
      <c r="G270" s="362"/>
    </row>
    <row r="271" spans="3:7" s="351" customFormat="1" ht="12.75">
      <c r="C271" s="393"/>
      <c r="D271" s="362"/>
      <c r="E271" s="362"/>
      <c r="F271" s="362"/>
      <c r="G271" s="362"/>
    </row>
    <row r="272" spans="3:7" s="351" customFormat="1" ht="12.75">
      <c r="C272" s="393"/>
      <c r="D272" s="362"/>
      <c r="E272" s="362"/>
      <c r="F272" s="362"/>
      <c r="G272" s="362"/>
    </row>
    <row r="273" spans="3:7" s="351" customFormat="1" ht="12.75">
      <c r="C273" s="393"/>
      <c r="D273" s="362"/>
      <c r="E273" s="362"/>
      <c r="F273" s="362"/>
      <c r="G273" s="362"/>
    </row>
    <row r="274" spans="3:7" s="351" customFormat="1" ht="12.75">
      <c r="C274" s="393"/>
      <c r="D274" s="362"/>
      <c r="E274" s="362"/>
      <c r="F274" s="362"/>
      <c r="G274" s="362"/>
    </row>
    <row r="275" spans="3:7" s="351" customFormat="1" ht="12.75">
      <c r="C275" s="393"/>
      <c r="D275" s="362"/>
      <c r="E275" s="362"/>
      <c r="F275" s="362"/>
      <c r="G275" s="362"/>
    </row>
    <row r="276" spans="3:7" s="351" customFormat="1" ht="12.75">
      <c r="C276" s="393"/>
      <c r="D276" s="362"/>
      <c r="E276" s="362"/>
      <c r="F276" s="362"/>
      <c r="G276" s="362"/>
    </row>
    <row r="277" spans="3:7" s="351" customFormat="1" ht="12.75">
      <c r="C277" s="393"/>
      <c r="D277" s="362"/>
      <c r="E277" s="362"/>
      <c r="F277" s="362"/>
      <c r="G277" s="362"/>
    </row>
    <row r="278" spans="3:7" s="351" customFormat="1" ht="12.75">
      <c r="C278" s="393"/>
      <c r="D278" s="362"/>
      <c r="E278" s="362"/>
      <c r="F278" s="362"/>
      <c r="G278" s="362"/>
    </row>
    <row r="279" spans="3:7" s="351" customFormat="1" ht="12.75">
      <c r="C279" s="393"/>
      <c r="D279" s="362"/>
      <c r="E279" s="362"/>
      <c r="F279" s="362"/>
      <c r="G279" s="362"/>
    </row>
    <row r="280" spans="3:7" s="351" customFormat="1" ht="12.75">
      <c r="C280" s="393"/>
      <c r="D280" s="362"/>
      <c r="E280" s="362"/>
      <c r="F280" s="362"/>
      <c r="G280" s="362"/>
    </row>
    <row r="281" spans="3:7" s="351" customFormat="1" ht="12.75">
      <c r="C281" s="393"/>
      <c r="D281" s="362"/>
      <c r="E281" s="362"/>
      <c r="F281" s="362"/>
      <c r="G281" s="362"/>
    </row>
    <row r="282" spans="3:7" s="351" customFormat="1" ht="12.75">
      <c r="C282" s="393"/>
      <c r="D282" s="362"/>
      <c r="E282" s="362"/>
      <c r="F282" s="362"/>
      <c r="G282" s="362"/>
    </row>
    <row r="283" spans="3:7" s="351" customFormat="1" ht="12.75">
      <c r="C283" s="393"/>
      <c r="D283" s="362"/>
      <c r="E283" s="362"/>
      <c r="F283" s="362"/>
      <c r="G283" s="362"/>
    </row>
    <row r="284" spans="3:7" s="351" customFormat="1" ht="12.75">
      <c r="C284" s="393"/>
      <c r="D284" s="362"/>
      <c r="E284" s="362"/>
      <c r="F284" s="362"/>
      <c r="G284" s="362"/>
    </row>
    <row r="285" spans="3:7" s="351" customFormat="1" ht="12.75">
      <c r="C285" s="393"/>
      <c r="D285" s="362"/>
      <c r="E285" s="362"/>
      <c r="F285" s="362"/>
      <c r="G285" s="362"/>
    </row>
    <row r="286" spans="3:7" s="351" customFormat="1" ht="12.75">
      <c r="C286" s="393"/>
      <c r="D286" s="362"/>
      <c r="E286" s="362"/>
      <c r="F286" s="362"/>
      <c r="G286" s="362"/>
    </row>
    <row r="287" spans="3:7" s="351" customFormat="1" ht="12.75">
      <c r="C287" s="393"/>
      <c r="D287" s="362"/>
      <c r="E287" s="362"/>
      <c r="F287" s="362"/>
      <c r="G287" s="362"/>
    </row>
    <row r="288" spans="3:7" s="351" customFormat="1" ht="12.75">
      <c r="C288" s="393"/>
      <c r="D288" s="362"/>
      <c r="E288" s="362"/>
      <c r="F288" s="362"/>
      <c r="G288" s="362"/>
    </row>
    <row r="289" spans="3:7" s="351" customFormat="1" ht="12.75">
      <c r="C289" s="393"/>
      <c r="D289" s="362"/>
      <c r="E289" s="362"/>
      <c r="F289" s="362"/>
      <c r="G289" s="362"/>
    </row>
    <row r="290" spans="3:7" s="351" customFormat="1" ht="12.75">
      <c r="C290" s="393"/>
      <c r="D290" s="362"/>
      <c r="E290" s="362"/>
      <c r="F290" s="362"/>
      <c r="G290" s="362"/>
    </row>
    <row r="291" spans="3:7" s="351" customFormat="1" ht="12.75">
      <c r="C291" s="393"/>
      <c r="D291" s="362"/>
      <c r="E291" s="362"/>
      <c r="F291" s="362"/>
      <c r="G291" s="362"/>
    </row>
    <row r="292" spans="3:7" s="351" customFormat="1" ht="12.75">
      <c r="C292" s="393"/>
      <c r="D292" s="362"/>
      <c r="E292" s="362"/>
      <c r="F292" s="362"/>
      <c r="G292" s="362"/>
    </row>
    <row r="293" spans="3:7" s="351" customFormat="1" ht="12.75">
      <c r="C293" s="393"/>
      <c r="D293" s="362"/>
      <c r="E293" s="362"/>
      <c r="F293" s="362"/>
      <c r="G293" s="362"/>
    </row>
    <row r="294" spans="3:7" s="351" customFormat="1" ht="12.75">
      <c r="C294" s="393"/>
      <c r="D294" s="362"/>
      <c r="E294" s="362"/>
      <c r="F294" s="362"/>
      <c r="G294" s="362"/>
    </row>
    <row r="295" spans="3:7" s="351" customFormat="1" ht="12.75">
      <c r="C295" s="393"/>
      <c r="D295" s="362"/>
      <c r="E295" s="362"/>
      <c r="F295" s="362"/>
      <c r="G295" s="362"/>
    </row>
    <row r="296" spans="3:7" s="351" customFormat="1" ht="12.75">
      <c r="C296" s="393"/>
      <c r="D296" s="362"/>
      <c r="E296" s="362"/>
      <c r="F296" s="362"/>
      <c r="G296" s="362"/>
    </row>
    <row r="297" spans="3:7" s="351" customFormat="1" ht="12.75">
      <c r="C297" s="393"/>
      <c r="D297" s="362"/>
      <c r="E297" s="362"/>
      <c r="F297" s="362"/>
      <c r="G297" s="362"/>
    </row>
    <row r="298" spans="3:7" s="351" customFormat="1" ht="12.75">
      <c r="C298" s="393"/>
      <c r="D298" s="362"/>
      <c r="E298" s="362"/>
      <c r="F298" s="362"/>
      <c r="G298" s="362"/>
    </row>
    <row r="299" spans="3:7" s="351" customFormat="1" ht="12.75">
      <c r="C299" s="393"/>
      <c r="D299" s="362"/>
      <c r="E299" s="362"/>
      <c r="F299" s="362"/>
      <c r="G299" s="362"/>
    </row>
    <row r="300" spans="3:7" s="351" customFormat="1" ht="12.75">
      <c r="C300" s="393"/>
      <c r="D300" s="362"/>
      <c r="E300" s="362"/>
      <c r="F300" s="362"/>
      <c r="G300" s="362"/>
    </row>
    <row r="301" spans="3:7" s="351" customFormat="1" ht="12.75">
      <c r="C301" s="393"/>
      <c r="D301" s="362"/>
      <c r="E301" s="362"/>
      <c r="F301" s="362"/>
      <c r="G301" s="362"/>
    </row>
    <row r="302" spans="3:7" s="351" customFormat="1" ht="12.75">
      <c r="C302" s="393"/>
      <c r="D302" s="362"/>
      <c r="E302" s="362"/>
      <c r="F302" s="362"/>
      <c r="G302" s="362"/>
    </row>
    <row r="303" spans="3:7" s="351" customFormat="1" ht="12.75">
      <c r="C303" s="393"/>
      <c r="D303" s="362"/>
      <c r="E303" s="362"/>
      <c r="F303" s="362"/>
      <c r="G303" s="362"/>
    </row>
  </sheetData>
  <printOptions horizontalCentered="1"/>
  <pageMargins left="0.5" right="0.5" top="0.75" bottom="0.5" header="0.5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lengerb</cp:lastModifiedBy>
  <cp:lastPrinted>2005-02-04T15:05:35Z</cp:lastPrinted>
  <dcterms:created xsi:type="dcterms:W3CDTF">2005-02-03T22:48:17Z</dcterms:created>
  <dcterms:modified xsi:type="dcterms:W3CDTF">2005-03-29T21:17:52Z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