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xr:revisionPtr revIDLastSave="0" documentId="13_ncr:1_{701AEDD5-22E0-47AD-964E-27F4B981A998}" xr6:coauthVersionLast="47" xr6:coauthVersionMax="47" xr10:uidLastSave="{00000000-0000-0000-0000-000000000000}"/>
  <bookViews>
    <workbookView xWindow="19080" yWindow="-120" windowWidth="19440" windowHeight="14880" tabRatio="601" xr2:uid="{00000000-000D-0000-FFFF-FFFF00000000}"/>
  </bookViews>
  <sheets>
    <sheet name="UM System" sheetId="5" r:id="rId1"/>
    <sheet name="MU" sheetId="1" r:id="rId2"/>
    <sheet name="UMKC" sheetId="2" r:id="rId3"/>
    <sheet name="S&amp;T" sheetId="3" r:id="rId4"/>
    <sheet name="UMSL" sheetId="4" r:id="rId5"/>
  </sheets>
  <definedNames>
    <definedName name="_xlnm.Print_Area" localSheetId="1">MU!$A$1:$BL$49</definedName>
    <definedName name="_xlnm.Print_Area" localSheetId="3">'S&amp;T'!$A$1:$BL$49</definedName>
    <definedName name="_xlnm.Print_Area" localSheetId="0">'UM System'!$A$1:$BL$49</definedName>
    <definedName name="_xlnm.Print_Area" localSheetId="2">UMKC!$A$1:$BL$49</definedName>
    <definedName name="_xlnm.Print_Area" localSheetId="4">UMSL!$A$1:$BL$49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U32" i="2" l="1"/>
  <c r="DU45" i="1"/>
  <c r="DU44" i="1"/>
  <c r="DU40" i="4"/>
  <c r="DU31" i="4" l="1"/>
  <c r="DU23" i="4"/>
  <c r="BK21" i="4" s="1"/>
  <c r="DU45" i="5"/>
  <c r="DU44" i="5"/>
  <c r="DU41" i="5"/>
  <c r="DU40" i="5"/>
  <c r="DU38" i="5"/>
  <c r="DU37" i="5"/>
  <c r="DU33" i="5"/>
  <c r="DU32" i="5"/>
  <c r="DU30" i="5"/>
  <c r="DU29" i="5"/>
  <c r="DU25" i="5"/>
  <c r="DU24" i="5"/>
  <c r="DU21" i="5"/>
  <c r="DU19" i="5"/>
  <c r="DU18" i="5"/>
  <c r="DU17" i="5"/>
  <c r="DU16" i="5"/>
  <c r="DU15" i="5"/>
  <c r="DU13" i="5"/>
  <c r="DU12" i="5"/>
  <c r="DU11" i="5"/>
  <c r="DU10" i="5"/>
  <c r="DU9" i="5"/>
  <c r="BK40" i="4"/>
  <c r="BK38" i="4"/>
  <c r="BK37" i="4"/>
  <c r="BK19" i="4"/>
  <c r="BK18" i="4"/>
  <c r="BK17" i="4"/>
  <c r="BK16" i="4"/>
  <c r="DU49" i="4"/>
  <c r="DU48" i="4"/>
  <c r="DU46" i="4"/>
  <c r="BK41" i="4"/>
  <c r="DU39" i="4"/>
  <c r="DU34" i="4"/>
  <c r="BK32" i="4" s="1"/>
  <c r="DU26" i="4"/>
  <c r="BK25" i="4" s="1"/>
  <c r="DU20" i="4"/>
  <c r="BK15" i="4" s="1"/>
  <c r="DU49" i="3"/>
  <c r="DU48" i="3"/>
  <c r="DU42" i="3"/>
  <c r="BK41" i="3" s="1"/>
  <c r="DU39" i="3"/>
  <c r="BK37" i="3" s="1"/>
  <c r="DU34" i="3"/>
  <c r="BK33" i="3" s="1"/>
  <c r="DU31" i="3"/>
  <c r="BK30" i="3" s="1"/>
  <c r="DU26" i="3"/>
  <c r="BK25" i="3" s="1"/>
  <c r="DU23" i="3"/>
  <c r="BK22" i="3" s="1"/>
  <c r="DU20" i="3"/>
  <c r="BK19" i="3" s="1"/>
  <c r="DU49" i="2"/>
  <c r="DU48" i="2"/>
  <c r="DU46" i="2"/>
  <c r="DU42" i="2"/>
  <c r="BK41" i="2" s="1"/>
  <c r="DU39" i="2"/>
  <c r="BK38" i="2" s="1"/>
  <c r="BK33" i="2"/>
  <c r="DU31" i="2"/>
  <c r="BK29" i="2" s="1"/>
  <c r="DU26" i="2"/>
  <c r="BK25" i="2" s="1"/>
  <c r="DU23" i="2"/>
  <c r="BK21" i="2" s="1"/>
  <c r="DU20" i="2"/>
  <c r="BK13" i="2" s="1"/>
  <c r="BK24" i="2" l="1"/>
  <c r="BK32" i="2"/>
  <c r="BK30" i="2"/>
  <c r="BK40" i="2"/>
  <c r="BK37" i="2"/>
  <c r="BK22" i="2"/>
  <c r="BK15" i="2"/>
  <c r="BK16" i="2"/>
  <c r="BK17" i="2"/>
  <c r="BK24" i="4"/>
  <c r="BK40" i="3"/>
  <c r="BK38" i="3"/>
  <c r="BK32" i="3"/>
  <c r="DU34" i="5"/>
  <c r="BK32" i="5" s="1"/>
  <c r="BK33" i="4"/>
  <c r="BK30" i="4"/>
  <c r="BK29" i="4"/>
  <c r="BK22" i="4"/>
  <c r="DU22" i="5"/>
  <c r="DU23" i="5" s="1"/>
  <c r="BK21" i="5" s="1"/>
  <c r="DU50" i="4"/>
  <c r="DU26" i="5"/>
  <c r="BK25" i="5" s="1"/>
  <c r="BK11" i="4"/>
  <c r="BK12" i="4"/>
  <c r="BK13" i="4"/>
  <c r="BK29" i="3"/>
  <c r="BK24" i="3"/>
  <c r="BK21" i="3"/>
  <c r="BK18" i="3"/>
  <c r="BK11" i="3"/>
  <c r="BK12" i="3"/>
  <c r="BK13" i="3"/>
  <c r="BK15" i="3"/>
  <c r="BK16" i="3"/>
  <c r="BK17" i="3"/>
  <c r="DU50" i="2"/>
  <c r="BK19" i="2"/>
  <c r="BK18" i="2"/>
  <c r="BK11" i="2"/>
  <c r="BK12" i="2"/>
  <c r="DU31" i="5"/>
  <c r="BK30" i="5" s="1"/>
  <c r="DU42" i="5"/>
  <c r="BK41" i="5" s="1"/>
  <c r="DU49" i="5"/>
  <c r="DU20" i="5"/>
  <c r="BK11" i="5" s="1"/>
  <c r="DU46" i="5"/>
  <c r="DU48" i="5"/>
  <c r="DU39" i="5"/>
  <c r="BK37" i="5" s="1"/>
  <c r="DU50" i="3"/>
  <c r="DU49" i="1"/>
  <c r="DU48" i="1"/>
  <c r="DU46" i="1"/>
  <c r="DU42" i="1"/>
  <c r="BK41" i="1" s="1"/>
  <c r="DU39" i="1"/>
  <c r="BK38" i="1" s="1"/>
  <c r="DU34" i="1"/>
  <c r="BK33" i="1" s="1"/>
  <c r="DU31" i="1"/>
  <c r="BK30" i="1" s="1"/>
  <c r="DU26" i="1"/>
  <c r="BK25" i="1" s="1"/>
  <c r="DU23" i="1"/>
  <c r="BK22" i="1" s="1"/>
  <c r="DU20" i="1"/>
  <c r="BK18" i="1" s="1"/>
  <c r="DT33" i="2"/>
  <c r="DT33" i="5" s="1"/>
  <c r="DT32" i="2"/>
  <c r="DT34" i="2" s="1"/>
  <c r="BJ33" i="2" s="1"/>
  <c r="DT30" i="2"/>
  <c r="BJ30" i="2" s="1"/>
  <c r="DT29" i="2"/>
  <c r="BJ29" i="2" s="1"/>
  <c r="DT45" i="5"/>
  <c r="DT44" i="5"/>
  <c r="DT41" i="5"/>
  <c r="DT40" i="5"/>
  <c r="DT38" i="5"/>
  <c r="DT37" i="5"/>
  <c r="DT25" i="5"/>
  <c r="DT24" i="5"/>
  <c r="DT22" i="5"/>
  <c r="DT21" i="5"/>
  <c r="DT19" i="5"/>
  <c r="DT18" i="5"/>
  <c r="DT17" i="5"/>
  <c r="DT16" i="5"/>
  <c r="DT15" i="5"/>
  <c r="DT13" i="5"/>
  <c r="DT12" i="5"/>
  <c r="DT11" i="5"/>
  <c r="DT10" i="5"/>
  <c r="DT9" i="5"/>
  <c r="DT49" i="1"/>
  <c r="DT48" i="1"/>
  <c r="DT46" i="1"/>
  <c r="DT42" i="1"/>
  <c r="DT39" i="1"/>
  <c r="DT34" i="1"/>
  <c r="BJ32" i="1" s="1"/>
  <c r="DT31" i="1"/>
  <c r="BJ30" i="1" s="1"/>
  <c r="DT26" i="1"/>
  <c r="BJ24" i="1" s="1"/>
  <c r="DT23" i="1"/>
  <c r="BJ22" i="1" s="1"/>
  <c r="DT20" i="1"/>
  <c r="BJ19" i="1" s="1"/>
  <c r="BJ41" i="1"/>
  <c r="BJ40" i="1"/>
  <c r="BJ38" i="1"/>
  <c r="BJ37" i="1"/>
  <c r="DT49" i="2"/>
  <c r="DT48" i="2"/>
  <c r="DT46" i="2"/>
  <c r="DT42" i="2"/>
  <c r="BJ41" i="2" s="1"/>
  <c r="DT39" i="2"/>
  <c r="BJ37" i="2" s="1"/>
  <c r="DT31" i="2"/>
  <c r="DT26" i="2"/>
  <c r="BJ25" i="2" s="1"/>
  <c r="DT23" i="2"/>
  <c r="BJ22" i="2" s="1"/>
  <c r="DT20" i="2"/>
  <c r="BJ16" i="2" s="1"/>
  <c r="DT49" i="3"/>
  <c r="DT48" i="3"/>
  <c r="DT42" i="3"/>
  <c r="BJ41" i="3" s="1"/>
  <c r="DT39" i="3"/>
  <c r="DT34" i="3"/>
  <c r="DT31" i="3"/>
  <c r="DT26" i="3"/>
  <c r="BJ25" i="3" s="1"/>
  <c r="DT23" i="3"/>
  <c r="BJ22" i="3" s="1"/>
  <c r="DT20" i="3"/>
  <c r="BJ12" i="3" s="1"/>
  <c r="BJ38" i="3"/>
  <c r="BJ37" i="3"/>
  <c r="BJ33" i="3"/>
  <c r="BJ32" i="3"/>
  <c r="BJ30" i="3"/>
  <c r="BJ29" i="3"/>
  <c r="BJ24" i="3"/>
  <c r="BJ11" i="3"/>
  <c r="DT49" i="4"/>
  <c r="DT48" i="4"/>
  <c r="DT46" i="4"/>
  <c r="DT42" i="4"/>
  <c r="BJ40" i="4" s="1"/>
  <c r="DT39" i="4"/>
  <c r="BJ38" i="4" s="1"/>
  <c r="DT34" i="4"/>
  <c r="BJ33" i="4" s="1"/>
  <c r="DT31" i="4"/>
  <c r="DT26" i="4"/>
  <c r="BJ24" i="4" s="1"/>
  <c r="DT20" i="4"/>
  <c r="BJ15" i="4" s="1"/>
  <c r="BJ32" i="4"/>
  <c r="BJ30" i="4"/>
  <c r="BJ29" i="4"/>
  <c r="BJ25" i="4"/>
  <c r="DS22" i="4"/>
  <c r="BK33" i="5" l="1"/>
  <c r="BK24" i="1"/>
  <c r="BK24" i="5"/>
  <c r="BK40" i="1"/>
  <c r="DU50" i="1"/>
  <c r="BK40" i="5"/>
  <c r="DU50" i="5"/>
  <c r="BK29" i="5"/>
  <c r="BK22" i="5"/>
  <c r="BK21" i="1"/>
  <c r="BK19" i="1"/>
  <c r="BK11" i="1"/>
  <c r="BK12" i="1"/>
  <c r="BK13" i="1"/>
  <c r="BK15" i="1"/>
  <c r="BK16" i="1"/>
  <c r="BK17" i="1"/>
  <c r="BK37" i="1"/>
  <c r="BK32" i="1"/>
  <c r="BK29" i="1"/>
  <c r="BK12" i="5"/>
  <c r="BK18" i="5"/>
  <c r="BK17" i="5"/>
  <c r="BK38" i="5"/>
  <c r="BK19" i="5"/>
  <c r="BK16" i="5"/>
  <c r="BK15" i="5"/>
  <c r="BK13" i="5"/>
  <c r="BJ40" i="3"/>
  <c r="BJ17" i="2"/>
  <c r="BJ18" i="2"/>
  <c r="BJ19" i="2"/>
  <c r="BJ21" i="2"/>
  <c r="BJ24" i="2"/>
  <c r="DT29" i="5"/>
  <c r="DT30" i="5"/>
  <c r="DT32" i="5"/>
  <c r="DT34" i="5" s="1"/>
  <c r="BJ33" i="5" s="1"/>
  <c r="BJ32" i="2"/>
  <c r="DT50" i="2"/>
  <c r="DT42" i="5"/>
  <c r="BJ40" i="5" s="1"/>
  <c r="BJ41" i="4"/>
  <c r="DT50" i="4"/>
  <c r="BJ37" i="4"/>
  <c r="DT23" i="5"/>
  <c r="BJ21" i="5" s="1"/>
  <c r="DT50" i="3"/>
  <c r="DT46" i="5"/>
  <c r="DT49" i="5"/>
  <c r="BJ33" i="1"/>
  <c r="DT50" i="1"/>
  <c r="DT48" i="5"/>
  <c r="BJ29" i="1"/>
  <c r="BJ25" i="1"/>
  <c r="DT20" i="5"/>
  <c r="BJ13" i="5" s="1"/>
  <c r="DT39" i="5"/>
  <c r="DT26" i="5"/>
  <c r="BJ24" i="5" s="1"/>
  <c r="BJ16" i="1"/>
  <c r="BJ13" i="1"/>
  <c r="BJ17" i="1"/>
  <c r="BJ21" i="1"/>
  <c r="BJ11" i="1"/>
  <c r="BJ12" i="1"/>
  <c r="BJ15" i="1"/>
  <c r="BJ18" i="1"/>
  <c r="BJ38" i="2"/>
  <c r="BJ40" i="2"/>
  <c r="BJ13" i="2"/>
  <c r="BJ15" i="2"/>
  <c r="BJ11" i="2"/>
  <c r="BJ12" i="2"/>
  <c r="BJ15" i="3"/>
  <c r="BJ16" i="3"/>
  <c r="BJ17" i="3"/>
  <c r="BJ19" i="3"/>
  <c r="BJ13" i="3"/>
  <c r="BJ18" i="3"/>
  <c r="BJ21" i="3"/>
  <c r="BJ13" i="4"/>
  <c r="BJ19" i="4"/>
  <c r="BJ12" i="4"/>
  <c r="DT23" i="4"/>
  <c r="BJ21" i="4" s="1"/>
  <c r="BJ16" i="4"/>
  <c r="BJ18" i="4"/>
  <c r="BJ11" i="4"/>
  <c r="BJ17" i="4"/>
  <c r="DS45" i="5"/>
  <c r="DS44" i="5"/>
  <c r="DS41" i="5"/>
  <c r="DS40" i="5"/>
  <c r="DS38" i="5"/>
  <c r="DS37" i="5"/>
  <c r="DS33" i="5"/>
  <c r="DS32" i="5"/>
  <c r="DS30" i="5"/>
  <c r="DS29" i="5"/>
  <c r="DS25" i="5"/>
  <c r="DS24" i="5"/>
  <c r="DS22" i="5"/>
  <c r="DS21" i="5"/>
  <c r="DS19" i="5"/>
  <c r="DS18" i="5"/>
  <c r="DS17" i="5"/>
  <c r="DS16" i="5"/>
  <c r="DS15" i="5"/>
  <c r="DS13" i="5"/>
  <c r="DS12" i="5"/>
  <c r="DS11" i="5"/>
  <c r="DS10" i="5"/>
  <c r="DS9" i="5"/>
  <c r="DS49" i="4"/>
  <c r="DS48" i="4"/>
  <c r="DS46" i="4"/>
  <c r="DS42" i="4"/>
  <c r="BI41" i="4" s="1"/>
  <c r="DS34" i="4"/>
  <c r="BI33" i="4" s="1"/>
  <c r="DS31" i="4"/>
  <c r="BI30" i="4" s="1"/>
  <c r="DS26" i="4"/>
  <c r="BI25" i="4" s="1"/>
  <c r="DS23" i="4"/>
  <c r="BI21" i="4" s="1"/>
  <c r="DS20" i="4"/>
  <c r="BI16" i="4" s="1"/>
  <c r="DS49" i="3"/>
  <c r="DS48" i="3"/>
  <c r="DS42" i="3"/>
  <c r="BI41" i="3" s="1"/>
  <c r="DS39" i="3"/>
  <c r="BI37" i="3" s="1"/>
  <c r="DS34" i="3"/>
  <c r="BI32" i="3" s="1"/>
  <c r="DS31" i="3"/>
  <c r="BI30" i="3" s="1"/>
  <c r="DS26" i="3"/>
  <c r="BI25" i="3" s="1"/>
  <c r="DS23" i="3"/>
  <c r="BI21" i="3" s="1"/>
  <c r="DS20" i="3"/>
  <c r="BI19" i="3" s="1"/>
  <c r="DS49" i="2"/>
  <c r="DS48" i="2"/>
  <c r="DS46" i="2"/>
  <c r="DS42" i="2"/>
  <c r="BI40" i="2" s="1"/>
  <c r="DS39" i="2"/>
  <c r="BI38" i="2" s="1"/>
  <c r="DS34" i="2"/>
  <c r="BI32" i="2" s="1"/>
  <c r="DS31" i="2"/>
  <c r="BI29" i="2" s="1"/>
  <c r="DS26" i="2"/>
  <c r="BI25" i="2" s="1"/>
  <c r="DS23" i="2"/>
  <c r="BI22" i="2" s="1"/>
  <c r="DS20" i="2"/>
  <c r="BI18" i="2" s="1"/>
  <c r="DS49" i="1"/>
  <c r="DS48" i="1"/>
  <c r="DS46" i="1"/>
  <c r="DS42" i="1"/>
  <c r="DS39" i="1"/>
  <c r="BI37" i="1" s="1"/>
  <c r="DS34" i="1"/>
  <c r="BI33" i="1" s="1"/>
  <c r="DS31" i="1"/>
  <c r="BI30" i="1" s="1"/>
  <c r="DS26" i="1"/>
  <c r="BI25" i="1" s="1"/>
  <c r="DS23" i="1"/>
  <c r="BI22" i="1" s="1"/>
  <c r="DS20" i="1"/>
  <c r="BI16" i="1" s="1"/>
  <c r="DT31" i="5" l="1"/>
  <c r="BJ30" i="5" s="1"/>
  <c r="BJ22" i="5"/>
  <c r="BJ41" i="5"/>
  <c r="BJ19" i="5"/>
  <c r="BJ18" i="5"/>
  <c r="BJ12" i="5"/>
  <c r="BJ16" i="5"/>
  <c r="BJ15" i="5"/>
  <c r="BJ11" i="5"/>
  <c r="BJ17" i="5"/>
  <c r="DT50" i="5"/>
  <c r="BJ32" i="5"/>
  <c r="BJ25" i="5"/>
  <c r="BJ38" i="5"/>
  <c r="BJ37" i="5"/>
  <c r="BJ22" i="4"/>
  <c r="BI38" i="3"/>
  <c r="BI24" i="4"/>
  <c r="BI24" i="2"/>
  <c r="DS26" i="5"/>
  <c r="BI25" i="5" s="1"/>
  <c r="BI40" i="4"/>
  <c r="BI22" i="4"/>
  <c r="BI22" i="3"/>
  <c r="DS50" i="2"/>
  <c r="BI41" i="2"/>
  <c r="BI33" i="2"/>
  <c r="BI19" i="2"/>
  <c r="BI12" i="2"/>
  <c r="BI13" i="2"/>
  <c r="DS23" i="5"/>
  <c r="BI22" i="5" s="1"/>
  <c r="DS46" i="5"/>
  <c r="DS42" i="5"/>
  <c r="BI41" i="5" s="1"/>
  <c r="DS50" i="1"/>
  <c r="DS39" i="5"/>
  <c r="BI38" i="5" s="1"/>
  <c r="DS49" i="5"/>
  <c r="BI38" i="1"/>
  <c r="DS34" i="5"/>
  <c r="BI33" i="5" s="1"/>
  <c r="DS31" i="5"/>
  <c r="BI30" i="5" s="1"/>
  <c r="BI21" i="1"/>
  <c r="DS20" i="5"/>
  <c r="BI15" i="5" s="1"/>
  <c r="DS48" i="5"/>
  <c r="DS50" i="4"/>
  <c r="BI12" i="4"/>
  <c r="BI19" i="4"/>
  <c r="BI13" i="4"/>
  <c r="BI17" i="4"/>
  <c r="BI11" i="4"/>
  <c r="BI18" i="4"/>
  <c r="BI29" i="4"/>
  <c r="BI32" i="4"/>
  <c r="BI15" i="4"/>
  <c r="DS39" i="4"/>
  <c r="BI38" i="4" s="1"/>
  <c r="DS50" i="3"/>
  <c r="BI33" i="3"/>
  <c r="BI24" i="3"/>
  <c r="BI13" i="3"/>
  <c r="BI15" i="3"/>
  <c r="BI16" i="3"/>
  <c r="BI17" i="3"/>
  <c r="BI11" i="3"/>
  <c r="BI18" i="3"/>
  <c r="BI29" i="3"/>
  <c r="BI40" i="3"/>
  <c r="BI12" i="3"/>
  <c r="BI21" i="2"/>
  <c r="BI30" i="2"/>
  <c r="BI15" i="2"/>
  <c r="BI16" i="2"/>
  <c r="BI37" i="2"/>
  <c r="BI17" i="2"/>
  <c r="BI11" i="2"/>
  <c r="BI24" i="1"/>
  <c r="BI13" i="1"/>
  <c r="BI17" i="1"/>
  <c r="BI18" i="1"/>
  <c r="BI19" i="1"/>
  <c r="BI11" i="1"/>
  <c r="BI12" i="1"/>
  <c r="BI41" i="1"/>
  <c r="BI40" i="1"/>
  <c r="BI29" i="1"/>
  <c r="BI32" i="1"/>
  <c r="BI15" i="1"/>
  <c r="DR41" i="1"/>
  <c r="DR40" i="1"/>
  <c r="CN46" i="4"/>
  <c r="CM46" i="4"/>
  <c r="CL46" i="4"/>
  <c r="CK46" i="4"/>
  <c r="CJ46" i="4"/>
  <c r="CI46" i="4"/>
  <c r="CH46" i="4"/>
  <c r="CG46" i="4"/>
  <c r="CZ46" i="4"/>
  <c r="CY46" i="4"/>
  <c r="CX46" i="4"/>
  <c r="CW46" i="4"/>
  <c r="CV46" i="4"/>
  <c r="CT46" i="4"/>
  <c r="CS46" i="4"/>
  <c r="CR46" i="4"/>
  <c r="CQ46" i="4"/>
  <c r="CP46" i="4"/>
  <c r="CO46" i="4"/>
  <c r="DL46" i="4"/>
  <c r="DK46" i="4"/>
  <c r="DD46" i="4"/>
  <c r="DC46" i="4"/>
  <c r="DB46" i="4"/>
  <c r="DA46" i="4"/>
  <c r="DQ46" i="4"/>
  <c r="DP46" i="4"/>
  <c r="DO46" i="4"/>
  <c r="DN46" i="4"/>
  <c r="DM46" i="4"/>
  <c r="DR46" i="4"/>
  <c r="BJ29" i="5" l="1"/>
  <c r="BI24" i="5"/>
  <c r="BI40" i="5"/>
  <c r="BI37" i="4"/>
  <c r="BI32" i="5"/>
  <c r="BI17" i="5"/>
  <c r="BI21" i="5"/>
  <c r="DS50" i="5"/>
  <c r="BI37" i="5"/>
  <c r="BI29" i="5"/>
  <c r="BI18" i="5"/>
  <c r="BI16" i="5"/>
  <c r="BI11" i="5"/>
  <c r="BI12" i="5"/>
  <c r="BI19" i="5"/>
  <c r="BI13" i="5"/>
  <c r="DR41" i="5"/>
  <c r="DR39" i="1"/>
  <c r="DR33" i="5"/>
  <c r="DR32" i="5"/>
  <c r="DR30" i="5"/>
  <c r="DR20" i="1"/>
  <c r="BH15" i="1" s="1"/>
  <c r="DR45" i="5"/>
  <c r="DR44" i="5"/>
  <c r="DR40" i="5"/>
  <c r="DR25" i="5"/>
  <c r="DR24" i="5"/>
  <c r="DR22" i="5"/>
  <c r="DR21" i="5"/>
  <c r="DR19" i="5"/>
  <c r="DR18" i="5"/>
  <c r="DR17" i="5"/>
  <c r="DR16" i="5"/>
  <c r="DR15" i="5"/>
  <c r="DR13" i="5"/>
  <c r="DR12" i="5"/>
  <c r="DR11" i="5"/>
  <c r="DR10" i="5"/>
  <c r="DR9" i="5"/>
  <c r="DR49" i="3"/>
  <c r="DR48" i="3"/>
  <c r="DR42" i="3"/>
  <c r="BH41" i="3" s="1"/>
  <c r="DR39" i="3"/>
  <c r="BH37" i="3" s="1"/>
  <c r="DR34" i="3"/>
  <c r="BH33" i="3" s="1"/>
  <c r="DR31" i="3"/>
  <c r="BH30" i="3" s="1"/>
  <c r="DR26" i="3"/>
  <c r="BH25" i="3" s="1"/>
  <c r="DR23" i="3"/>
  <c r="BH22" i="3" s="1"/>
  <c r="DR20" i="3"/>
  <c r="BH15" i="3" s="1"/>
  <c r="BH38" i="3"/>
  <c r="DR49" i="2"/>
  <c r="DR48" i="2"/>
  <c r="DR46" i="2"/>
  <c r="DR42" i="2"/>
  <c r="BH41" i="2" s="1"/>
  <c r="DR39" i="2"/>
  <c r="BH38" i="2" s="1"/>
  <c r="DR34" i="2"/>
  <c r="BH32" i="2" s="1"/>
  <c r="DR31" i="2"/>
  <c r="BH30" i="2" s="1"/>
  <c r="DR26" i="2"/>
  <c r="BH25" i="2" s="1"/>
  <c r="DR23" i="2"/>
  <c r="BH21" i="2" s="1"/>
  <c r="DR20" i="2"/>
  <c r="BH17" i="2" s="1"/>
  <c r="DR49" i="1"/>
  <c r="DR48" i="1"/>
  <c r="DR50" i="1" s="1"/>
  <c r="DR46" i="1"/>
  <c r="DR34" i="1"/>
  <c r="BH33" i="1" s="1"/>
  <c r="DR26" i="1"/>
  <c r="BH25" i="1" s="1"/>
  <c r="DR23" i="1"/>
  <c r="BH22" i="1" s="1"/>
  <c r="DR38" i="4"/>
  <c r="DR38" i="5" s="1"/>
  <c r="DR37" i="4"/>
  <c r="DR37" i="5" s="1"/>
  <c r="DR50" i="3" l="1"/>
  <c r="BH24" i="2"/>
  <c r="BH40" i="2"/>
  <c r="DR46" i="5"/>
  <c r="DR50" i="2"/>
  <c r="BH33" i="2"/>
  <c r="BH11" i="2"/>
  <c r="BH13" i="2"/>
  <c r="BH15" i="2"/>
  <c r="BH12" i="2"/>
  <c r="BH18" i="2"/>
  <c r="BH19" i="2"/>
  <c r="DR42" i="5"/>
  <c r="BH41" i="5" s="1"/>
  <c r="DR42" i="1"/>
  <c r="BH41" i="1" s="1"/>
  <c r="BH37" i="1"/>
  <c r="BH38" i="1"/>
  <c r="DR26" i="5"/>
  <c r="BH24" i="5" s="1"/>
  <c r="DR49" i="5"/>
  <c r="DR39" i="5"/>
  <c r="BH37" i="5" s="1"/>
  <c r="DR23" i="5"/>
  <c r="BH22" i="5" s="1"/>
  <c r="DR34" i="5"/>
  <c r="BH32" i="5" s="1"/>
  <c r="DR31" i="1"/>
  <c r="BH30" i="1" s="1"/>
  <c r="DR29" i="5"/>
  <c r="DR31" i="5" s="1"/>
  <c r="BH30" i="5" s="1"/>
  <c r="BH21" i="1"/>
  <c r="DR20" i="5"/>
  <c r="BH12" i="5" s="1"/>
  <c r="BH18" i="1"/>
  <c r="BH11" i="1"/>
  <c r="BH19" i="1"/>
  <c r="BH12" i="1"/>
  <c r="BH13" i="1"/>
  <c r="BH16" i="1"/>
  <c r="BH17" i="1"/>
  <c r="DR48" i="5"/>
  <c r="BH24" i="3"/>
  <c r="BH21" i="3"/>
  <c r="BH18" i="3"/>
  <c r="BH11" i="3"/>
  <c r="BH19" i="3"/>
  <c r="BH12" i="3"/>
  <c r="BH13" i="3"/>
  <c r="BH16" i="3"/>
  <c r="BH17" i="3"/>
  <c r="BH29" i="3"/>
  <c r="BH40" i="3"/>
  <c r="BH32" i="3"/>
  <c r="BH37" i="2"/>
  <c r="BH22" i="2"/>
  <c r="BH16" i="2"/>
  <c r="BH29" i="2"/>
  <c r="BH24" i="1"/>
  <c r="BH32" i="1"/>
  <c r="DR31" i="4"/>
  <c r="BH30" i="4" s="1"/>
  <c r="DR49" i="4"/>
  <c r="DR48" i="4"/>
  <c r="DR42" i="4"/>
  <c r="BH40" i="4" s="1"/>
  <c r="DR39" i="4"/>
  <c r="BH37" i="4" s="1"/>
  <c r="DR34" i="4"/>
  <c r="BH32" i="4" s="1"/>
  <c r="DR26" i="4"/>
  <c r="BH25" i="4" s="1"/>
  <c r="DR23" i="4"/>
  <c r="BH21" i="4" s="1"/>
  <c r="DR20" i="4"/>
  <c r="BH19" i="4" s="1"/>
  <c r="DQ45" i="5"/>
  <c r="DQ38" i="5"/>
  <c r="DQ37" i="5"/>
  <c r="DQ33" i="5"/>
  <c r="DQ32" i="5"/>
  <c r="DQ30" i="5"/>
  <c r="DQ29" i="5"/>
  <c r="DQ25" i="5"/>
  <c r="DQ24" i="5"/>
  <c r="DQ22" i="5"/>
  <c r="DQ21" i="5"/>
  <c r="DQ19" i="5"/>
  <c r="DQ18" i="5"/>
  <c r="DQ17" i="5"/>
  <c r="DQ16" i="5"/>
  <c r="DQ15" i="5"/>
  <c r="DQ13" i="5"/>
  <c r="DQ12" i="5"/>
  <c r="DQ11" i="5"/>
  <c r="DQ10" i="5"/>
  <c r="DQ9" i="5"/>
  <c r="DQ41" i="3"/>
  <c r="DQ41" i="5" s="1"/>
  <c r="DQ40" i="3"/>
  <c r="DQ40" i="5" s="1"/>
  <c r="DQ39" i="3"/>
  <c r="BG38" i="3" s="1"/>
  <c r="DQ34" i="3"/>
  <c r="BG33" i="3" s="1"/>
  <c r="DQ31" i="3"/>
  <c r="BG30" i="3" s="1"/>
  <c r="DQ26" i="3"/>
  <c r="BG25" i="3" s="1"/>
  <c r="DQ23" i="3"/>
  <c r="BG22" i="3" s="1"/>
  <c r="DQ20" i="3"/>
  <c r="BG17" i="3" s="1"/>
  <c r="BH41" i="4" l="1"/>
  <c r="BG24" i="3"/>
  <c r="DQ42" i="3"/>
  <c r="BG41" i="3" s="1"/>
  <c r="BH15" i="5"/>
  <c r="BH18" i="5"/>
  <c r="BH38" i="5"/>
  <c r="BH40" i="1"/>
  <c r="DQ49" i="3"/>
  <c r="BH25" i="5"/>
  <c r="BH21" i="5"/>
  <c r="BH40" i="5"/>
  <c r="DR50" i="5"/>
  <c r="BH33" i="5"/>
  <c r="BH29" i="1"/>
  <c r="BH11" i="5"/>
  <c r="BH13" i="5"/>
  <c r="BH19" i="5"/>
  <c r="BH16" i="5"/>
  <c r="BH17" i="5"/>
  <c r="BH29" i="5"/>
  <c r="DQ48" i="3"/>
  <c r="DQ50" i="3" s="1"/>
  <c r="DQ42" i="5"/>
  <c r="BG41" i="5" s="1"/>
  <c r="DQ49" i="5"/>
  <c r="DQ20" i="5"/>
  <c r="BG12" i="5" s="1"/>
  <c r="DQ34" i="5"/>
  <c r="BG33" i="5" s="1"/>
  <c r="BH24" i="4"/>
  <c r="BH38" i="4"/>
  <c r="DR50" i="4"/>
  <c r="BH33" i="4"/>
  <c r="BH15" i="4"/>
  <c r="BH13" i="4"/>
  <c r="BH22" i="4"/>
  <c r="BH16" i="4"/>
  <c r="BH17" i="4"/>
  <c r="BH11" i="4"/>
  <c r="BH18" i="4"/>
  <c r="BH12" i="4"/>
  <c r="BH29" i="4"/>
  <c r="DQ23" i="5"/>
  <c r="BG21" i="5" s="1"/>
  <c r="DQ26" i="5"/>
  <c r="BG25" i="5" s="1"/>
  <c r="DQ31" i="5"/>
  <c r="BG30" i="5" s="1"/>
  <c r="DQ39" i="5"/>
  <c r="BG38" i="5" s="1"/>
  <c r="BG29" i="3"/>
  <c r="BG21" i="3"/>
  <c r="BG13" i="3"/>
  <c r="BG18" i="3"/>
  <c r="BG19" i="3"/>
  <c r="BG11" i="3"/>
  <c r="BG12" i="3"/>
  <c r="BG15" i="3"/>
  <c r="BG32" i="3"/>
  <c r="BG16" i="3"/>
  <c r="BG37" i="3"/>
  <c r="DQ20" i="2"/>
  <c r="BG40" i="3" l="1"/>
  <c r="BG18" i="5"/>
  <c r="BG17" i="5"/>
  <c r="BG40" i="5"/>
  <c r="BG13" i="5"/>
  <c r="BG32" i="5"/>
  <c r="BG11" i="5"/>
  <c r="BG15" i="5"/>
  <c r="BG16" i="5"/>
  <c r="BG22" i="5"/>
  <c r="BG19" i="5"/>
  <c r="BG24" i="5"/>
  <c r="BG37" i="5"/>
  <c r="BG29" i="5"/>
  <c r="DQ49" i="2"/>
  <c r="DQ48" i="2"/>
  <c r="DQ46" i="2"/>
  <c r="DQ42" i="2"/>
  <c r="BG41" i="2" s="1"/>
  <c r="DQ39" i="2"/>
  <c r="BG38" i="2" s="1"/>
  <c r="DQ34" i="2"/>
  <c r="BG32" i="2" s="1"/>
  <c r="DQ31" i="2"/>
  <c r="BG30" i="2" s="1"/>
  <c r="DQ26" i="2"/>
  <c r="BG25" i="2" s="1"/>
  <c r="DQ23" i="2"/>
  <c r="BG21" i="2" s="1"/>
  <c r="BG16" i="2"/>
  <c r="BG24" i="2" l="1"/>
  <c r="BG40" i="2"/>
  <c r="DQ50" i="2"/>
  <c r="BG37" i="2"/>
  <c r="BG33" i="2"/>
  <c r="BG19" i="2"/>
  <c r="BG11" i="2"/>
  <c r="BG12" i="2"/>
  <c r="BG13" i="2"/>
  <c r="BG15" i="2"/>
  <c r="BG17" i="2"/>
  <c r="BG18" i="2"/>
  <c r="BG22" i="2"/>
  <c r="BG29" i="2"/>
  <c r="DQ44" i="1"/>
  <c r="DQ44" i="5" s="1"/>
  <c r="DQ46" i="5" l="1"/>
  <c r="DQ48" i="5"/>
  <c r="DQ50" i="5" s="1"/>
  <c r="DQ48" i="1"/>
  <c r="DQ49" i="1"/>
  <c r="DQ34" i="1"/>
  <c r="DQ46" i="1"/>
  <c r="DQ42" i="1"/>
  <c r="DQ39" i="1"/>
  <c r="DQ31" i="1"/>
  <c r="DQ26" i="1"/>
  <c r="DQ23" i="1"/>
  <c r="DQ20" i="1"/>
  <c r="DQ50" i="1" l="1"/>
  <c r="BG41" i="1"/>
  <c r="BG40" i="1"/>
  <c r="BG38" i="1"/>
  <c r="BG37" i="1"/>
  <c r="BG33" i="1"/>
  <c r="BG32" i="1"/>
  <c r="BG30" i="1"/>
  <c r="BG29" i="1"/>
  <c r="BG25" i="1"/>
  <c r="BG24" i="1"/>
  <c r="BG22" i="1"/>
  <c r="BG21" i="1"/>
  <c r="BG19" i="1"/>
  <c r="BG18" i="1"/>
  <c r="BG17" i="1"/>
  <c r="BG16" i="1"/>
  <c r="BG15" i="1"/>
  <c r="BG13" i="1"/>
  <c r="BG12" i="1"/>
  <c r="BG11" i="1"/>
  <c r="DQ48" i="4" l="1"/>
  <c r="DQ49" i="4"/>
  <c r="DQ39" i="4"/>
  <c r="BG38" i="4" s="1"/>
  <c r="DQ31" i="4"/>
  <c r="BG30" i="4" s="1"/>
  <c r="DQ26" i="4"/>
  <c r="BG25" i="4" s="1"/>
  <c r="DQ23" i="4"/>
  <c r="BG21" i="4" s="1"/>
  <c r="DQ20" i="4"/>
  <c r="BG18" i="4" s="1"/>
  <c r="BG16" i="4" l="1"/>
  <c r="BG17" i="4"/>
  <c r="BG19" i="4"/>
  <c r="BG12" i="4"/>
  <c r="BG22" i="4"/>
  <c r="BG13" i="4"/>
  <c r="BG11" i="4"/>
  <c r="BG15" i="4"/>
  <c r="DQ34" i="4"/>
  <c r="BG33" i="4" s="1"/>
  <c r="BG29" i="4"/>
  <c r="BG37" i="4"/>
  <c r="DQ50" i="4"/>
  <c r="BG24" i="4"/>
  <c r="DQ42" i="4"/>
  <c r="DP41" i="4"/>
  <c r="DP40" i="4"/>
  <c r="BG32" i="4" l="1"/>
  <c r="BG40" i="4"/>
  <c r="BG41" i="4"/>
  <c r="DP45" i="5"/>
  <c r="DP44" i="5"/>
  <c r="DP41" i="5"/>
  <c r="DP40" i="5"/>
  <c r="DP38" i="5"/>
  <c r="DP37" i="5"/>
  <c r="DP33" i="5"/>
  <c r="DP32" i="5"/>
  <c r="DP30" i="5"/>
  <c r="DP29" i="5"/>
  <c r="DP25" i="5"/>
  <c r="DP24" i="5"/>
  <c r="DP22" i="5"/>
  <c r="DP21" i="5"/>
  <c r="DP19" i="5"/>
  <c r="DP18" i="5"/>
  <c r="DP17" i="5"/>
  <c r="DP16" i="5"/>
  <c r="DP15" i="5"/>
  <c r="DP13" i="5"/>
  <c r="DP12" i="5"/>
  <c r="DP11" i="5"/>
  <c r="DP10" i="5"/>
  <c r="DP9" i="5"/>
  <c r="DP49" i="2"/>
  <c r="DP48" i="2"/>
  <c r="DP46" i="2"/>
  <c r="DP42" i="2"/>
  <c r="BF41" i="2" s="1"/>
  <c r="DP39" i="2"/>
  <c r="BF38" i="2" s="1"/>
  <c r="DP34" i="2"/>
  <c r="BF33" i="2" s="1"/>
  <c r="DP31" i="2"/>
  <c r="BF30" i="2" s="1"/>
  <c r="DP23" i="2"/>
  <c r="BF22" i="2" s="1"/>
  <c r="DP20" i="2"/>
  <c r="BF19" i="2" s="1"/>
  <c r="DP26" i="3"/>
  <c r="BF25" i="3" s="1"/>
  <c r="DP49" i="3"/>
  <c r="DP48" i="3"/>
  <c r="DP42" i="3"/>
  <c r="BF41" i="3" s="1"/>
  <c r="DP39" i="3"/>
  <c r="BF38" i="3" s="1"/>
  <c r="DP34" i="3"/>
  <c r="BF33" i="3" s="1"/>
  <c r="DP31" i="3"/>
  <c r="BF30" i="3" s="1"/>
  <c r="DP23" i="3"/>
  <c r="BF22" i="3" s="1"/>
  <c r="DP20" i="3"/>
  <c r="BF17" i="3" s="1"/>
  <c r="DP23" i="5" l="1"/>
  <c r="BF21" i="5" s="1"/>
  <c r="DP26" i="5"/>
  <c r="BF25" i="5" s="1"/>
  <c r="BF37" i="3"/>
  <c r="DP50" i="3"/>
  <c r="BF40" i="3"/>
  <c r="DP46" i="5"/>
  <c r="DP42" i="5"/>
  <c r="BF41" i="5" s="1"/>
  <c r="DP49" i="5"/>
  <c r="DP39" i="5"/>
  <c r="BF38" i="5" s="1"/>
  <c r="BF32" i="3"/>
  <c r="BF29" i="2"/>
  <c r="DP34" i="5"/>
  <c r="BF33" i="5" s="1"/>
  <c r="DP31" i="5"/>
  <c r="BF30" i="5" s="1"/>
  <c r="DP48" i="5"/>
  <c r="DP20" i="5"/>
  <c r="BF15" i="5" s="1"/>
  <c r="DP26" i="2"/>
  <c r="BF25" i="2" s="1"/>
  <c r="BF21" i="2"/>
  <c r="BF40" i="2"/>
  <c r="DP50" i="2"/>
  <c r="BF37" i="2"/>
  <c r="BF16" i="2"/>
  <c r="BF11" i="2"/>
  <c r="BF12" i="2"/>
  <c r="BF17" i="2"/>
  <c r="BF13" i="2"/>
  <c r="BF18" i="2"/>
  <c r="BF32" i="2"/>
  <c r="BF15" i="2"/>
  <c r="BF18" i="3"/>
  <c r="BF13" i="3"/>
  <c r="BF29" i="3"/>
  <c r="BF24" i="3"/>
  <c r="BF21" i="3"/>
  <c r="BF15" i="3"/>
  <c r="BF19" i="3"/>
  <c r="BF11" i="3"/>
  <c r="BF16" i="3"/>
  <c r="BF12" i="3"/>
  <c r="BF22" i="5" l="1"/>
  <c r="BF24" i="5"/>
  <c r="BF13" i="5"/>
  <c r="BF18" i="5"/>
  <c r="BF17" i="5"/>
  <c r="BF12" i="5"/>
  <c r="BF19" i="5"/>
  <c r="BF11" i="5"/>
  <c r="BF16" i="5"/>
  <c r="BF40" i="5"/>
  <c r="DP50" i="5"/>
  <c r="BF37" i="5"/>
  <c r="BF29" i="5"/>
  <c r="BF32" i="5"/>
  <c r="BF24" i="2"/>
  <c r="DP49" i="1"/>
  <c r="DP48" i="1"/>
  <c r="DP46" i="1"/>
  <c r="DP42" i="1"/>
  <c r="BF41" i="1" s="1"/>
  <c r="DP39" i="1"/>
  <c r="BF37" i="1" s="1"/>
  <c r="DP34" i="1"/>
  <c r="BF33" i="1" s="1"/>
  <c r="DP31" i="1"/>
  <c r="BF30" i="1" s="1"/>
  <c r="DP26" i="1"/>
  <c r="BF24" i="1" s="1"/>
  <c r="DP23" i="1"/>
  <c r="BF22" i="1" s="1"/>
  <c r="DP20" i="1"/>
  <c r="BF17" i="1" s="1"/>
  <c r="BF11" i="1" l="1"/>
  <c r="BF40" i="1"/>
  <c r="DP50" i="1"/>
  <c r="BF38" i="1"/>
  <c r="BF29" i="1"/>
  <c r="BF32" i="1"/>
  <c r="BF25" i="1"/>
  <c r="BF21" i="1"/>
  <c r="BF13" i="1"/>
  <c r="BF18" i="1"/>
  <c r="BF15" i="1"/>
  <c r="BF19" i="1"/>
  <c r="BF16" i="1"/>
  <c r="BF12" i="1"/>
  <c r="BF21" i="4"/>
  <c r="DP49" i="4"/>
  <c r="DP48" i="4"/>
  <c r="DP42" i="4"/>
  <c r="BF41" i="4" s="1"/>
  <c r="DP39" i="4"/>
  <c r="BF37" i="4" s="1"/>
  <c r="DP34" i="4"/>
  <c r="BF32" i="4" s="1"/>
  <c r="DP31" i="4"/>
  <c r="BF30" i="4" s="1"/>
  <c r="DP26" i="4"/>
  <c r="BF24" i="4" s="1"/>
  <c r="DP23" i="4"/>
  <c r="BF22" i="4" s="1"/>
  <c r="DP20" i="4"/>
  <c r="BF15" i="4" s="1"/>
  <c r="BF13" i="4" l="1"/>
  <c r="BF19" i="4"/>
  <c r="BF11" i="4"/>
  <c r="BF40" i="4"/>
  <c r="BF16" i="4"/>
  <c r="BF17" i="4"/>
  <c r="BF18" i="4"/>
  <c r="BF12" i="4"/>
  <c r="BF38" i="4"/>
  <c r="BF33" i="4"/>
  <c r="BF29" i="4"/>
  <c r="BF25" i="4"/>
  <c r="DP50" i="4"/>
  <c r="CG45" i="5"/>
  <c r="CG44" i="5"/>
  <c r="CG41" i="5"/>
  <c r="CG40" i="5"/>
  <c r="CG38" i="5"/>
  <c r="CG37" i="5"/>
  <c r="CG22" i="5"/>
  <c r="CG21" i="5"/>
  <c r="CG14" i="5"/>
  <c r="CG13" i="5"/>
  <c r="CG49" i="4"/>
  <c r="CG48" i="4"/>
  <c r="CG42" i="4"/>
  <c r="W41" i="4" s="1"/>
  <c r="CG39" i="4"/>
  <c r="W38" i="4" s="1"/>
  <c r="CG23" i="4"/>
  <c r="W22" i="4" s="1"/>
  <c r="CG20" i="4"/>
  <c r="W13" i="4" s="1"/>
  <c r="CG49" i="3"/>
  <c r="CG48" i="3"/>
  <c r="CG42" i="3"/>
  <c r="W40" i="3" s="1"/>
  <c r="CG39" i="3"/>
  <c r="W37" i="3" s="1"/>
  <c r="CG23" i="3"/>
  <c r="W21" i="3" s="1"/>
  <c r="CG20" i="3"/>
  <c r="W16" i="3" s="1"/>
  <c r="CG20" i="2"/>
  <c r="W14" i="2" s="1"/>
  <c r="CG23" i="2"/>
  <c r="W22" i="2" s="1"/>
  <c r="CG49" i="2"/>
  <c r="CG48" i="2"/>
  <c r="CG46" i="2"/>
  <c r="CG42" i="2"/>
  <c r="W40" i="2" s="1"/>
  <c r="CG39" i="2"/>
  <c r="W38" i="2" s="1"/>
  <c r="CG49" i="1"/>
  <c r="CG48" i="1"/>
  <c r="CG46" i="1"/>
  <c r="CG42" i="1"/>
  <c r="W41" i="1" s="1"/>
  <c r="CG39" i="1"/>
  <c r="W38" i="1" s="1"/>
  <c r="CG50" i="1" l="1"/>
  <c r="W37" i="2"/>
  <c r="W41" i="2"/>
  <c r="W12" i="3"/>
  <c r="W21" i="2"/>
  <c r="CG50" i="4"/>
  <c r="W14" i="3"/>
  <c r="W38" i="3"/>
  <c r="W22" i="3"/>
  <c r="CG50" i="2"/>
  <c r="W40" i="4"/>
  <c r="W16" i="4"/>
  <c r="W40" i="1"/>
  <c r="W18" i="3"/>
  <c r="CG50" i="3"/>
  <c r="W21" i="4"/>
  <c r="W37" i="4"/>
  <c r="W41" i="3"/>
  <c r="W11" i="4"/>
  <c r="W13" i="2"/>
  <c r="W18" i="4"/>
  <c r="W37" i="1"/>
  <c r="W12" i="4"/>
  <c r="W14" i="4"/>
  <c r="CG23" i="5"/>
  <c r="W22" i="5" s="1"/>
  <c r="CG42" i="5"/>
  <c r="W41" i="5" s="1"/>
  <c r="CG39" i="5"/>
  <c r="W38" i="5" s="1"/>
  <c r="CG49" i="5"/>
  <c r="CG46" i="5"/>
  <c r="W13" i="3"/>
  <c r="W11" i="3"/>
  <c r="W11" i="2"/>
  <c r="W16" i="2"/>
  <c r="W12" i="2"/>
  <c r="W18" i="2"/>
  <c r="CG48" i="5"/>
  <c r="CG23" i="1"/>
  <c r="W21" i="1" s="1"/>
  <c r="CG18" i="1"/>
  <c r="CG18" i="5" s="1"/>
  <c r="CG12" i="1"/>
  <c r="CG12" i="5" s="1"/>
  <c r="CG16" i="1"/>
  <c r="CG16" i="5" s="1"/>
  <c r="CG11" i="1"/>
  <c r="CG11" i="5" s="1"/>
  <c r="CH33" i="4"/>
  <c r="CH32" i="4"/>
  <c r="CH30" i="4"/>
  <c r="CH29" i="4"/>
  <c r="CH33" i="3"/>
  <c r="CH32" i="3"/>
  <c r="CH29" i="3"/>
  <c r="CH30" i="3"/>
  <c r="CH33" i="2"/>
  <c r="CH32" i="2"/>
  <c r="CH30" i="2"/>
  <c r="CH29" i="2"/>
  <c r="CH31" i="2" s="1"/>
  <c r="CH33" i="1"/>
  <c r="CH32" i="1"/>
  <c r="CH30" i="1"/>
  <c r="CH29" i="1"/>
  <c r="CH45" i="5"/>
  <c r="CH44" i="5"/>
  <c r="CH40" i="5"/>
  <c r="CH49" i="4"/>
  <c r="CH48" i="4"/>
  <c r="CH42" i="4"/>
  <c r="X41" i="4" s="1"/>
  <c r="CH39" i="4"/>
  <c r="X37" i="4" s="1"/>
  <c r="CH41" i="3"/>
  <c r="CH41" i="5" s="1"/>
  <c r="CH40" i="3"/>
  <c r="CH38" i="3"/>
  <c r="CH37" i="3"/>
  <c r="CH37" i="5" s="1"/>
  <c r="CH49" i="2"/>
  <c r="CH48" i="2"/>
  <c r="CH46" i="2"/>
  <c r="CH42" i="2"/>
  <c r="X41" i="2" s="1"/>
  <c r="CH39" i="2"/>
  <c r="X38" i="2" s="1"/>
  <c r="CH49" i="1"/>
  <c r="CH48" i="1"/>
  <c r="CH46" i="1"/>
  <c r="CH42" i="1"/>
  <c r="X41" i="1" s="1"/>
  <c r="CH39" i="1"/>
  <c r="X38" i="1" s="1"/>
  <c r="CH22" i="5"/>
  <c r="CH21" i="5"/>
  <c r="CH23" i="4"/>
  <c r="X22" i="4" s="1"/>
  <c r="CH23" i="3"/>
  <c r="X22" i="3" s="1"/>
  <c r="CH20" i="2"/>
  <c r="CH23" i="2"/>
  <c r="X22" i="2" s="1"/>
  <c r="CH20" i="1"/>
  <c r="CH23" i="1"/>
  <c r="X22" i="1" s="1"/>
  <c r="X40" i="4" l="1"/>
  <c r="CH50" i="2"/>
  <c r="CH34" i="3"/>
  <c r="X32" i="3" s="1"/>
  <c r="CH49" i="3"/>
  <c r="X21" i="2"/>
  <c r="W22" i="1"/>
  <c r="X38" i="4"/>
  <c r="CH39" i="3"/>
  <c r="X37" i="3" s="1"/>
  <c r="X37" i="1"/>
  <c r="CH48" i="3"/>
  <c r="CH38" i="5"/>
  <c r="CH49" i="5" s="1"/>
  <c r="CH34" i="1"/>
  <c r="X32" i="1" s="1"/>
  <c r="X33" i="3"/>
  <c r="X29" i="2"/>
  <c r="X30" i="2"/>
  <c r="CH50" i="1"/>
  <c r="CH31" i="1"/>
  <c r="X30" i="1" s="1"/>
  <c r="CH34" i="4"/>
  <c r="X33" i="4" s="1"/>
  <c r="CH46" i="5"/>
  <c r="CG20" i="5"/>
  <c r="W14" i="5" s="1"/>
  <c r="X40" i="2"/>
  <c r="CH42" i="3"/>
  <c r="X40" i="3" s="1"/>
  <c r="CH31" i="4"/>
  <c r="X29" i="4" s="1"/>
  <c r="CH31" i="3"/>
  <c r="X29" i="3" s="1"/>
  <c r="X21" i="4"/>
  <c r="X21" i="1"/>
  <c r="CG20" i="1"/>
  <c r="W12" i="1" s="1"/>
  <c r="CH34" i="2"/>
  <c r="X33" i="2" s="1"/>
  <c r="X40" i="1"/>
  <c r="X37" i="2"/>
  <c r="CH50" i="4"/>
  <c r="W40" i="5"/>
  <c r="CH23" i="5"/>
  <c r="X22" i="5" s="1"/>
  <c r="W21" i="5"/>
  <c r="W37" i="5"/>
  <c r="CH42" i="5"/>
  <c r="X41" i="5" s="1"/>
  <c r="CG50" i="5"/>
  <c r="CH48" i="5"/>
  <c r="X21" i="3"/>
  <c r="DO45" i="5"/>
  <c r="DO44" i="5"/>
  <c r="DO41" i="5"/>
  <c r="DO40" i="5"/>
  <c r="DO38" i="5"/>
  <c r="DO37" i="5"/>
  <c r="DO33" i="5"/>
  <c r="DO32" i="5"/>
  <c r="DO30" i="5"/>
  <c r="DO29" i="5"/>
  <c r="DO25" i="5"/>
  <c r="DO24" i="5"/>
  <c r="DO22" i="5"/>
  <c r="DO21" i="5"/>
  <c r="DO19" i="5"/>
  <c r="DO18" i="5"/>
  <c r="DO17" i="5"/>
  <c r="DO16" i="5"/>
  <c r="DO15" i="5"/>
  <c r="DO13" i="5"/>
  <c r="DO12" i="5"/>
  <c r="DO11" i="5"/>
  <c r="DO10" i="5"/>
  <c r="DO9" i="5"/>
  <c r="DO49" i="1"/>
  <c r="DO48" i="1"/>
  <c r="DO46" i="1"/>
  <c r="DO42" i="1"/>
  <c r="BE41" i="1" s="1"/>
  <c r="DO39" i="1"/>
  <c r="BE37" i="1" s="1"/>
  <c r="DO34" i="1"/>
  <c r="BE32" i="1" s="1"/>
  <c r="DO31" i="1"/>
  <c r="BE29" i="1" s="1"/>
  <c r="DO26" i="1"/>
  <c r="BE24" i="1" s="1"/>
  <c r="DO23" i="1"/>
  <c r="BE22" i="1" s="1"/>
  <c r="DO20" i="1"/>
  <c r="BE17" i="1" s="1"/>
  <c r="DO49" i="4"/>
  <c r="DO48" i="4"/>
  <c r="DO42" i="4"/>
  <c r="BE41" i="4" s="1"/>
  <c r="DO39" i="4"/>
  <c r="BE38" i="4" s="1"/>
  <c r="DO34" i="4"/>
  <c r="BE33" i="4" s="1"/>
  <c r="DO31" i="4"/>
  <c r="BE30" i="4" s="1"/>
  <c r="DO26" i="4"/>
  <c r="BE25" i="4" s="1"/>
  <c r="DO23" i="4"/>
  <c r="BE22" i="4" s="1"/>
  <c r="DO20" i="4"/>
  <c r="CH50" i="3" l="1"/>
  <c r="X38" i="3"/>
  <c r="X32" i="4"/>
  <c r="X33" i="1"/>
  <c r="X29" i="1"/>
  <c r="CH39" i="5"/>
  <c r="X37" i="5" s="1"/>
  <c r="CH50" i="5"/>
  <c r="BE30" i="1"/>
  <c r="W16" i="5"/>
  <c r="BE17" i="4"/>
  <c r="BE11" i="4"/>
  <c r="W12" i="5"/>
  <c r="W13" i="5"/>
  <c r="W11" i="5"/>
  <c r="W18" i="5"/>
  <c r="W13" i="1"/>
  <c r="W14" i="1"/>
  <c r="W16" i="1"/>
  <c r="W11" i="1"/>
  <c r="X30" i="4"/>
  <c r="X30" i="3"/>
  <c r="W18" i="1"/>
  <c r="X41" i="3"/>
  <c r="X32" i="2"/>
  <c r="X21" i="5"/>
  <c r="DO42" i="5"/>
  <c r="BE40" i="5" s="1"/>
  <c r="X40" i="5"/>
  <c r="DO49" i="5"/>
  <c r="DO46" i="5"/>
  <c r="BE40" i="4"/>
  <c r="BE37" i="4"/>
  <c r="BE29" i="4"/>
  <c r="BE24" i="4"/>
  <c r="BE21" i="4"/>
  <c r="BE16" i="4"/>
  <c r="BE25" i="1"/>
  <c r="BE40" i="1"/>
  <c r="DO50" i="1"/>
  <c r="BE38" i="1"/>
  <c r="DO23" i="5"/>
  <c r="BE22" i="5" s="1"/>
  <c r="DO20" i="5"/>
  <c r="BE19" i="5" s="1"/>
  <c r="BE11" i="1"/>
  <c r="BE13" i="1"/>
  <c r="BE16" i="1"/>
  <c r="DO34" i="5"/>
  <c r="BE33" i="5" s="1"/>
  <c r="DO31" i="5"/>
  <c r="BE30" i="5" s="1"/>
  <c r="DO26" i="5"/>
  <c r="BE24" i="5" s="1"/>
  <c r="DO39" i="5"/>
  <c r="BE38" i="5" s="1"/>
  <c r="DO48" i="5"/>
  <c r="BE33" i="1"/>
  <c r="BE18" i="1"/>
  <c r="BE15" i="1"/>
  <c r="BE19" i="1"/>
  <c r="BE12" i="1"/>
  <c r="BE21" i="1"/>
  <c r="DO50" i="4"/>
  <c r="BE12" i="4"/>
  <c r="BE13" i="4"/>
  <c r="BE18" i="4"/>
  <c r="BE32" i="4"/>
  <c r="BE15" i="4"/>
  <c r="BE19" i="4"/>
  <c r="DO49" i="2"/>
  <c r="DO48" i="2"/>
  <c r="DO46" i="2"/>
  <c r="DO42" i="2"/>
  <c r="BE40" i="2" s="1"/>
  <c r="DO39" i="2"/>
  <c r="BE37" i="2" s="1"/>
  <c r="DO34" i="2"/>
  <c r="BE33" i="2" s="1"/>
  <c r="DO31" i="2"/>
  <c r="BE30" i="2" s="1"/>
  <c r="DO26" i="2"/>
  <c r="BE24" i="2" s="1"/>
  <c r="DO23" i="2"/>
  <c r="BE21" i="2" s="1"/>
  <c r="DO20" i="2"/>
  <c r="X38" i="5" l="1"/>
  <c r="BE41" i="5"/>
  <c r="BE29" i="2"/>
  <c r="DO50" i="5"/>
  <c r="BE25" i="5"/>
  <c r="BE25" i="2"/>
  <c r="BE21" i="5"/>
  <c r="BE17" i="5"/>
  <c r="BE13" i="5"/>
  <c r="BE18" i="5"/>
  <c r="BE32" i="5"/>
  <c r="BE37" i="5"/>
  <c r="BE15" i="5"/>
  <c r="BE11" i="5"/>
  <c r="BE16" i="5"/>
  <c r="BE12" i="5"/>
  <c r="BE29" i="5"/>
  <c r="BE41" i="2"/>
  <c r="DO50" i="2"/>
  <c r="BE32" i="2"/>
  <c r="BE11" i="2"/>
  <c r="BE15" i="2"/>
  <c r="BE18" i="2"/>
  <c r="BE13" i="2"/>
  <c r="BE17" i="2"/>
  <c r="BE12" i="2"/>
  <c r="BE16" i="2"/>
  <c r="BE19" i="2"/>
  <c r="BE22" i="2"/>
  <c r="BE38" i="2"/>
  <c r="DO49" i="3"/>
  <c r="DO48" i="3"/>
  <c r="DO42" i="3"/>
  <c r="BE41" i="3" s="1"/>
  <c r="DO39" i="3"/>
  <c r="BE37" i="3" s="1"/>
  <c r="DO34" i="3"/>
  <c r="BE33" i="3" s="1"/>
  <c r="DO31" i="3"/>
  <c r="BE30" i="3" s="1"/>
  <c r="DO26" i="3"/>
  <c r="BE25" i="3" s="1"/>
  <c r="DO23" i="3"/>
  <c r="BE22" i="3" s="1"/>
  <c r="DO20" i="3"/>
  <c r="BE12" i="3" s="1"/>
  <c r="BE38" i="3"/>
  <c r="BE24" i="3" l="1"/>
  <c r="BE29" i="3"/>
  <c r="BE21" i="3"/>
  <c r="BE16" i="3"/>
  <c r="BE11" i="3"/>
  <c r="BE40" i="3"/>
  <c r="DO50" i="3"/>
  <c r="BE17" i="3"/>
  <c r="BE13" i="3"/>
  <c r="BE18" i="3"/>
  <c r="BE32" i="3"/>
  <c r="BE15" i="3"/>
  <c r="BE19" i="3"/>
  <c r="DN19" i="2"/>
  <c r="DN15" i="2"/>
  <c r="DN45" i="5" l="1"/>
  <c r="DN44" i="5"/>
  <c r="DN41" i="5"/>
  <c r="DN40" i="5"/>
  <c r="DN38" i="5"/>
  <c r="DN37" i="5"/>
  <c r="DN33" i="5"/>
  <c r="DN32" i="5"/>
  <c r="DN30" i="5"/>
  <c r="DN29" i="5"/>
  <c r="DN25" i="5"/>
  <c r="DN24" i="5"/>
  <c r="DN22" i="5"/>
  <c r="DN21" i="5"/>
  <c r="DN19" i="5"/>
  <c r="DN18" i="5"/>
  <c r="DN17" i="5"/>
  <c r="DN16" i="5"/>
  <c r="DN15" i="5"/>
  <c r="DN13" i="5"/>
  <c r="DN12" i="5"/>
  <c r="DN11" i="5"/>
  <c r="DN10" i="5"/>
  <c r="DN9" i="5"/>
  <c r="DN49" i="4"/>
  <c r="DN48" i="4"/>
  <c r="DN42" i="4"/>
  <c r="DN39" i="4"/>
  <c r="BD37" i="4" s="1"/>
  <c r="DN34" i="4"/>
  <c r="BD32" i="4" s="1"/>
  <c r="DN31" i="4"/>
  <c r="BD30" i="4" s="1"/>
  <c r="DN26" i="4"/>
  <c r="BD24" i="4" s="1"/>
  <c r="DN23" i="4"/>
  <c r="BD21" i="4" s="1"/>
  <c r="DN20" i="4"/>
  <c r="BD18" i="4" s="1"/>
  <c r="BD38" i="4"/>
  <c r="DN49" i="3"/>
  <c r="DN48" i="3"/>
  <c r="DN42" i="3"/>
  <c r="BD41" i="3" s="1"/>
  <c r="DN39" i="3"/>
  <c r="BD37" i="3" s="1"/>
  <c r="DN34" i="3"/>
  <c r="BD32" i="3" s="1"/>
  <c r="DN31" i="3"/>
  <c r="BD30" i="3" s="1"/>
  <c r="DN26" i="3"/>
  <c r="BD24" i="3" s="1"/>
  <c r="DN23" i="3"/>
  <c r="BD22" i="3" s="1"/>
  <c r="DN20" i="3"/>
  <c r="BD18" i="3" s="1"/>
  <c r="DN49" i="2"/>
  <c r="DN48" i="2"/>
  <c r="DN46" i="2"/>
  <c r="DN42" i="2"/>
  <c r="BD40" i="2" s="1"/>
  <c r="DN39" i="2"/>
  <c r="BD38" i="2" s="1"/>
  <c r="DN34" i="2"/>
  <c r="BD33" i="2" s="1"/>
  <c r="DN26" i="2"/>
  <c r="DN23" i="2"/>
  <c r="BD22" i="2" s="1"/>
  <c r="DN20" i="2"/>
  <c r="BD17" i="2" s="1"/>
  <c r="DN49" i="1"/>
  <c r="DN48" i="1"/>
  <c r="DN46" i="1"/>
  <c r="DN42" i="1"/>
  <c r="BD41" i="1" s="1"/>
  <c r="DN39" i="1"/>
  <c r="BD38" i="1" s="1"/>
  <c r="DN34" i="1"/>
  <c r="BD33" i="1" s="1"/>
  <c r="DN31" i="1"/>
  <c r="BD30" i="1" s="1"/>
  <c r="DN26" i="1"/>
  <c r="BD25" i="1" s="1"/>
  <c r="DN23" i="1"/>
  <c r="BD21" i="1" s="1"/>
  <c r="DN20" i="1"/>
  <c r="BD17" i="1" s="1"/>
  <c r="BD32" i="2" l="1"/>
  <c r="BD40" i="3"/>
  <c r="BD25" i="4"/>
  <c r="DN26" i="5"/>
  <c r="BD25" i="5" s="1"/>
  <c r="BD25" i="3"/>
  <c r="DN46" i="5"/>
  <c r="BD40" i="1"/>
  <c r="BD22" i="1"/>
  <c r="BD21" i="2"/>
  <c r="BD16" i="4"/>
  <c r="BD18" i="1"/>
  <c r="BD13" i="1"/>
  <c r="BD15" i="1"/>
  <c r="BD19" i="1"/>
  <c r="BD13" i="2"/>
  <c r="BD19" i="2"/>
  <c r="BD15" i="2"/>
  <c r="BD16" i="2"/>
  <c r="BD11" i="2"/>
  <c r="BD18" i="2"/>
  <c r="DN50" i="4"/>
  <c r="DN49" i="5"/>
  <c r="DN50" i="3"/>
  <c r="BD38" i="3"/>
  <c r="BD33" i="3"/>
  <c r="BD21" i="3"/>
  <c r="BD19" i="3"/>
  <c r="BD15" i="3"/>
  <c r="BD11" i="3"/>
  <c r="BD16" i="3"/>
  <c r="BD29" i="4"/>
  <c r="BD22" i="4"/>
  <c r="BD11" i="4"/>
  <c r="DN42" i="5"/>
  <c r="BD41" i="5" s="1"/>
  <c r="DN50" i="2"/>
  <c r="BD41" i="2"/>
  <c r="DN48" i="5"/>
  <c r="DN50" i="1"/>
  <c r="BD32" i="1"/>
  <c r="DN31" i="5"/>
  <c r="BD30" i="5" s="1"/>
  <c r="BD24" i="1"/>
  <c r="DN23" i="5"/>
  <c r="BD21" i="5" s="1"/>
  <c r="DN20" i="5"/>
  <c r="BD13" i="5" s="1"/>
  <c r="DN34" i="5"/>
  <c r="BD32" i="5" s="1"/>
  <c r="DN39" i="5"/>
  <c r="BD37" i="5" s="1"/>
  <c r="BD40" i="4"/>
  <c r="BD41" i="4"/>
  <c r="BD12" i="4"/>
  <c r="BD17" i="4"/>
  <c r="BD15" i="4"/>
  <c r="BD19" i="4"/>
  <c r="BD33" i="4"/>
  <c r="BD13" i="4"/>
  <c r="BD29" i="3"/>
  <c r="BD12" i="3"/>
  <c r="BD17" i="3"/>
  <c r="BD13" i="3"/>
  <c r="BD25" i="2"/>
  <c r="BD24" i="2"/>
  <c r="DN31" i="2"/>
  <c r="BD29" i="2" s="1"/>
  <c r="BD37" i="2"/>
  <c r="BD12" i="2"/>
  <c r="BD11" i="1"/>
  <c r="BD16" i="1"/>
  <c r="BD29" i="1"/>
  <c r="BD37" i="1"/>
  <c r="BD12" i="1"/>
  <c r="DM33" i="2"/>
  <c r="DM32" i="2"/>
  <c r="DM30" i="2"/>
  <c r="DM29" i="2"/>
  <c r="BD30" i="2" l="1"/>
  <c r="BD24" i="5"/>
  <c r="DN50" i="5"/>
  <c r="BD40" i="5"/>
  <c r="BD18" i="5"/>
  <c r="BD12" i="5"/>
  <c r="BD17" i="5"/>
  <c r="BD16" i="5"/>
  <c r="BD19" i="5"/>
  <c r="BD29" i="5"/>
  <c r="BD22" i="5"/>
  <c r="BD11" i="5"/>
  <c r="BD15" i="5"/>
  <c r="BD38" i="5"/>
  <c r="BD33" i="5"/>
  <c r="DM33" i="1"/>
  <c r="DM32" i="1"/>
  <c r="DM25" i="2"/>
  <c r="DM24" i="2"/>
  <c r="DM40" i="4" l="1"/>
  <c r="DM45" i="5" l="1"/>
  <c r="DM44" i="5"/>
  <c r="DM41" i="5"/>
  <c r="DM40" i="5"/>
  <c r="DM38" i="5"/>
  <c r="DM37" i="5"/>
  <c r="DM33" i="5"/>
  <c r="DM32" i="5"/>
  <c r="DM30" i="5"/>
  <c r="DM29" i="5"/>
  <c r="DM25" i="5"/>
  <c r="DM24" i="5"/>
  <c r="DM22" i="5"/>
  <c r="DM21" i="5"/>
  <c r="DM19" i="5"/>
  <c r="DM18" i="5"/>
  <c r="DM17" i="5"/>
  <c r="DM16" i="5"/>
  <c r="DM15" i="5"/>
  <c r="DM13" i="5"/>
  <c r="DM12" i="5"/>
  <c r="DM11" i="5"/>
  <c r="DM10" i="5"/>
  <c r="DM9" i="5"/>
  <c r="DM49" i="4"/>
  <c r="DM48" i="4"/>
  <c r="DM42" i="4"/>
  <c r="BC41" i="4" s="1"/>
  <c r="DM39" i="4"/>
  <c r="BC38" i="4" s="1"/>
  <c r="DM34" i="4"/>
  <c r="BC33" i="4" s="1"/>
  <c r="DM31" i="4"/>
  <c r="BC30" i="4" s="1"/>
  <c r="DM26" i="4"/>
  <c r="BC25" i="4" s="1"/>
  <c r="DM23" i="4"/>
  <c r="BC21" i="4" s="1"/>
  <c r="DM20" i="4"/>
  <c r="BC17" i="4" s="1"/>
  <c r="DM49" i="3"/>
  <c r="DM48" i="3"/>
  <c r="DM42" i="3"/>
  <c r="BC41" i="3" s="1"/>
  <c r="DM39" i="3"/>
  <c r="BC38" i="3" s="1"/>
  <c r="DM34" i="3"/>
  <c r="BC33" i="3" s="1"/>
  <c r="DM31" i="3"/>
  <c r="BC30" i="3" s="1"/>
  <c r="DM26" i="3"/>
  <c r="BC25" i="3" s="1"/>
  <c r="DM23" i="3"/>
  <c r="BC22" i="3" s="1"/>
  <c r="DM20" i="3"/>
  <c r="BC17" i="3" s="1"/>
  <c r="DM49" i="2"/>
  <c r="DM48" i="2"/>
  <c r="DM46" i="2"/>
  <c r="DM42" i="2"/>
  <c r="BC40" i="2" s="1"/>
  <c r="DM39" i="2"/>
  <c r="BC38" i="2" s="1"/>
  <c r="DM34" i="2"/>
  <c r="BC33" i="2" s="1"/>
  <c r="DM31" i="2"/>
  <c r="BC30" i="2" s="1"/>
  <c r="DM26" i="2"/>
  <c r="BC25" i="2" s="1"/>
  <c r="DM23" i="2"/>
  <c r="BC21" i="2" s="1"/>
  <c r="DM20" i="2"/>
  <c r="BC16" i="2" s="1"/>
  <c r="DM49" i="1"/>
  <c r="DM48" i="1"/>
  <c r="DM46" i="1"/>
  <c r="DM42" i="1"/>
  <c r="BC41" i="1" s="1"/>
  <c r="DM39" i="1"/>
  <c r="BC37" i="1" s="1"/>
  <c r="DM34" i="1"/>
  <c r="BC33" i="1" s="1"/>
  <c r="DM31" i="1"/>
  <c r="BC30" i="1" s="1"/>
  <c r="DM26" i="1"/>
  <c r="BC25" i="1" s="1"/>
  <c r="DM23" i="1"/>
  <c r="BC21" i="1" s="1"/>
  <c r="DM20" i="1"/>
  <c r="BC17" i="1" s="1"/>
  <c r="BC37" i="2" l="1"/>
  <c r="BC22" i="4"/>
  <c r="BC24" i="4"/>
  <c r="BC32" i="1"/>
  <c r="BC32" i="2"/>
  <c r="BC29" i="4"/>
  <c r="BC32" i="3"/>
  <c r="DM31" i="5"/>
  <c r="BC29" i="1"/>
  <c r="BC24" i="2"/>
  <c r="DM26" i="5"/>
  <c r="BC25" i="5" s="1"/>
  <c r="BC18" i="3"/>
  <c r="BC13" i="3"/>
  <c r="BC12" i="2"/>
  <c r="BC17" i="2"/>
  <c r="DM23" i="5"/>
  <c r="BC22" i="5" s="1"/>
  <c r="BC37" i="4"/>
  <c r="DM50" i="3"/>
  <c r="BC40" i="3"/>
  <c r="BC37" i="3"/>
  <c r="BC41" i="2"/>
  <c r="DM48" i="5"/>
  <c r="DM49" i="5"/>
  <c r="BC40" i="1"/>
  <c r="DM46" i="5"/>
  <c r="DM39" i="5"/>
  <c r="DM20" i="5"/>
  <c r="BC11" i="5" s="1"/>
  <c r="DM34" i="5"/>
  <c r="BC33" i="5" s="1"/>
  <c r="DM42" i="5"/>
  <c r="BC41" i="5" s="1"/>
  <c r="BC16" i="4"/>
  <c r="BC11" i="4"/>
  <c r="BC40" i="4"/>
  <c r="DM50" i="4"/>
  <c r="BC12" i="4"/>
  <c r="BC13" i="4"/>
  <c r="BC18" i="4"/>
  <c r="BC32" i="4"/>
  <c r="BC15" i="4"/>
  <c r="BC19" i="4"/>
  <c r="BC29" i="3"/>
  <c r="BC24" i="3"/>
  <c r="BC21" i="3"/>
  <c r="BC15" i="3"/>
  <c r="BC19" i="3"/>
  <c r="BC11" i="3"/>
  <c r="BC16" i="3"/>
  <c r="BC12" i="3"/>
  <c r="DM50" i="2"/>
  <c r="BC29" i="2"/>
  <c r="BC22" i="2"/>
  <c r="BC13" i="2"/>
  <c r="BC18" i="2"/>
  <c r="BC15" i="2"/>
  <c r="BC19" i="2"/>
  <c r="BC11" i="2"/>
  <c r="BC38" i="1"/>
  <c r="DM50" i="1"/>
  <c r="BC24" i="1"/>
  <c r="BC22" i="1"/>
  <c r="BC13" i="1"/>
  <c r="BC18" i="1"/>
  <c r="BC15" i="1"/>
  <c r="BC19" i="1"/>
  <c r="BC11" i="1"/>
  <c r="BC16" i="1"/>
  <c r="BC12" i="1"/>
  <c r="BC32" i="5" l="1"/>
  <c r="BC30" i="5"/>
  <c r="BC29" i="5"/>
  <c r="BC24" i="5"/>
  <c r="BC21" i="5"/>
  <c r="BC19" i="5"/>
  <c r="BC18" i="5"/>
  <c r="BC13" i="5"/>
  <c r="BC17" i="5"/>
  <c r="BC12" i="5"/>
  <c r="BC16" i="5"/>
  <c r="BC15" i="5"/>
  <c r="BC40" i="5"/>
  <c r="DM50" i="5"/>
  <c r="BC37" i="5"/>
  <c r="BC38" i="5"/>
  <c r="DL20" i="4"/>
  <c r="DL34" i="4"/>
  <c r="DL31" i="4"/>
  <c r="DL26" i="4" l="1"/>
  <c r="DL23" i="4"/>
  <c r="DL49" i="4" l="1"/>
  <c r="DL48" i="4"/>
  <c r="DL39" i="4"/>
  <c r="DL50" i="4" l="1"/>
  <c r="DL42" i="4"/>
  <c r="DL30" i="5" l="1"/>
  <c r="DL31" i="1"/>
  <c r="BB30" i="1" s="1"/>
  <c r="BB41" i="4"/>
  <c r="BB40" i="4"/>
  <c r="BB38" i="4"/>
  <c r="BB37" i="4"/>
  <c r="BB33" i="4"/>
  <c r="BB32" i="4"/>
  <c r="BB30" i="4"/>
  <c r="BB29" i="4"/>
  <c r="BB25" i="4"/>
  <c r="BB24" i="4"/>
  <c r="BB22" i="4"/>
  <c r="BB21" i="4"/>
  <c r="BB19" i="4"/>
  <c r="BB18" i="4"/>
  <c r="BB17" i="4"/>
  <c r="BB16" i="4"/>
  <c r="BB15" i="4"/>
  <c r="BB13" i="4"/>
  <c r="BB12" i="4"/>
  <c r="BB11" i="4"/>
  <c r="DL49" i="3"/>
  <c r="DL48" i="3"/>
  <c r="DL42" i="3"/>
  <c r="BB41" i="3" s="1"/>
  <c r="DL39" i="3"/>
  <c r="BB38" i="3" s="1"/>
  <c r="DL34" i="3"/>
  <c r="BB33" i="3" s="1"/>
  <c r="DL31" i="3"/>
  <c r="BB29" i="3" s="1"/>
  <c r="DL26" i="3"/>
  <c r="DL23" i="3"/>
  <c r="BB22" i="3" s="1"/>
  <c r="DL20" i="3"/>
  <c r="BB17" i="3" s="1"/>
  <c r="DL49" i="2"/>
  <c r="DL48" i="2"/>
  <c r="DL46" i="2"/>
  <c r="DL42" i="2"/>
  <c r="BB41" i="2" s="1"/>
  <c r="DL39" i="2"/>
  <c r="BB37" i="2" s="1"/>
  <c r="DL34" i="2"/>
  <c r="BB33" i="2" s="1"/>
  <c r="DL31" i="2"/>
  <c r="BB30" i="2" s="1"/>
  <c r="DL26" i="2"/>
  <c r="BB25" i="2" s="1"/>
  <c r="DL23" i="2"/>
  <c r="BB21" i="2" s="1"/>
  <c r="DL20" i="2"/>
  <c r="BB17" i="2" s="1"/>
  <c r="DL49" i="1"/>
  <c r="DL48" i="1"/>
  <c r="DL46" i="1"/>
  <c r="DL42" i="1"/>
  <c r="BB41" i="1" s="1"/>
  <c r="DL39" i="1"/>
  <c r="BB38" i="1" s="1"/>
  <c r="DL34" i="1"/>
  <c r="BB32" i="1" s="1"/>
  <c r="DL26" i="1"/>
  <c r="BB25" i="1" s="1"/>
  <c r="DL23" i="1"/>
  <c r="BB21" i="1" s="1"/>
  <c r="DL20" i="1"/>
  <c r="BB18" i="1" s="1"/>
  <c r="DL45" i="5"/>
  <c r="DL44" i="5"/>
  <c r="DL41" i="5"/>
  <c r="DL40" i="5"/>
  <c r="DL38" i="5"/>
  <c r="DL37" i="5"/>
  <c r="DL33" i="5"/>
  <c r="DL32" i="5"/>
  <c r="DL29" i="5"/>
  <c r="DL25" i="5"/>
  <c r="DL24" i="5"/>
  <c r="DL22" i="5"/>
  <c r="DL21" i="5"/>
  <c r="DL19" i="5"/>
  <c r="DL18" i="5"/>
  <c r="DL17" i="5"/>
  <c r="DL16" i="5"/>
  <c r="DL15" i="5"/>
  <c r="DL13" i="5"/>
  <c r="DL12" i="5"/>
  <c r="DL11" i="5"/>
  <c r="DL10" i="5"/>
  <c r="DL9" i="5"/>
  <c r="BB22" i="2" l="1"/>
  <c r="BB19" i="1"/>
  <c r="BB13" i="1"/>
  <c r="BB22" i="1"/>
  <c r="BB24" i="2"/>
  <c r="BB25" i="3"/>
  <c r="BB24" i="3"/>
  <c r="BB32" i="3"/>
  <c r="BB30" i="3"/>
  <c r="BB24" i="1"/>
  <c r="BB40" i="1"/>
  <c r="DL50" i="1"/>
  <c r="BB37" i="1"/>
  <c r="DL46" i="5"/>
  <c r="BB40" i="2"/>
  <c r="BB38" i="2"/>
  <c r="BB37" i="3"/>
  <c r="BB32" i="2"/>
  <c r="BB16" i="3"/>
  <c r="BB18" i="3"/>
  <c r="BB13" i="3"/>
  <c r="BB21" i="3"/>
  <c r="BB13" i="2"/>
  <c r="BB15" i="2"/>
  <c r="BB16" i="2"/>
  <c r="BB11" i="2"/>
  <c r="BB18" i="2"/>
  <c r="BB19" i="2"/>
  <c r="BB40" i="3"/>
  <c r="DL50" i="3"/>
  <c r="BB11" i="3"/>
  <c r="BB15" i="3"/>
  <c r="BB19" i="3"/>
  <c r="BB12" i="3"/>
  <c r="DL39" i="5"/>
  <c r="BB38" i="5" s="1"/>
  <c r="DL50" i="2"/>
  <c r="BB12" i="2"/>
  <c r="BB29" i="2"/>
  <c r="DL34" i="5"/>
  <c r="BB33" i="5" s="1"/>
  <c r="BB29" i="1"/>
  <c r="BB11" i="1"/>
  <c r="BB16" i="1"/>
  <c r="BB12" i="1"/>
  <c r="DL31" i="5"/>
  <c r="BB30" i="5" s="1"/>
  <c r="BB15" i="1"/>
  <c r="BB33" i="1"/>
  <c r="BB17" i="1"/>
  <c r="DL49" i="5"/>
  <c r="DL20" i="5"/>
  <c r="BB15" i="5" s="1"/>
  <c r="DL23" i="5"/>
  <c r="BB22" i="5" s="1"/>
  <c r="DL42" i="5"/>
  <c r="BB41" i="5" s="1"/>
  <c r="DL26" i="5"/>
  <c r="BB24" i="5" s="1"/>
  <c r="DL48" i="5"/>
  <c r="CN49" i="4"/>
  <c r="CN48" i="4"/>
  <c r="CP49" i="4"/>
  <c r="CP48" i="4"/>
  <c r="CP50" i="4" s="1"/>
  <c r="CN50" i="4" l="1"/>
  <c r="BB37" i="5"/>
  <c r="BB16" i="5"/>
  <c r="BB25" i="5"/>
  <c r="BB40" i="5"/>
  <c r="DL50" i="5"/>
  <c r="BB32" i="5"/>
  <c r="BB29" i="5"/>
  <c r="BB21" i="5"/>
  <c r="BB18" i="5"/>
  <c r="BB12" i="5"/>
  <c r="BB19" i="5"/>
  <c r="BB13" i="5"/>
  <c r="BB11" i="5"/>
  <c r="BB17" i="5"/>
  <c r="CL49" i="4"/>
  <c r="CL48" i="4"/>
  <c r="CL50" i="4" s="1"/>
  <c r="CT49" i="4"/>
  <c r="CR49" i="4"/>
  <c r="CT48" i="4"/>
  <c r="CR48" i="4"/>
  <c r="CO49" i="4"/>
  <c r="CO48" i="4"/>
  <c r="CO50" i="4" s="1"/>
  <c r="CQ49" i="4"/>
  <c r="CQ48" i="4"/>
  <c r="CR49" i="3"/>
  <c r="CQ49" i="3"/>
  <c r="CP49" i="3"/>
  <c r="CO49" i="3"/>
  <c r="CN49" i="3"/>
  <c r="CL49" i="3"/>
  <c r="CR48" i="3"/>
  <c r="CR50" i="3" s="1"/>
  <c r="CQ48" i="3"/>
  <c r="CP48" i="3"/>
  <c r="CP50" i="3" s="1"/>
  <c r="CO48" i="3"/>
  <c r="CO50" i="3" s="1"/>
  <c r="CN48" i="3"/>
  <c r="CN50" i="3" s="1"/>
  <c r="CL48" i="3"/>
  <c r="CL50" i="3" s="1"/>
  <c r="CL49" i="2"/>
  <c r="CL48" i="2"/>
  <c r="CO49" i="2"/>
  <c r="CO48" i="2"/>
  <c r="CR49" i="2"/>
  <c r="CQ49" i="2"/>
  <c r="CR48" i="2"/>
  <c r="CQ48" i="2"/>
  <c r="CQ50" i="2" s="1"/>
  <c r="CO49" i="1"/>
  <c r="CO48" i="1"/>
  <c r="CR49" i="1"/>
  <c r="CQ49" i="1"/>
  <c r="CR48" i="1"/>
  <c r="CQ48" i="1"/>
  <c r="CT45" i="5"/>
  <c r="CS45" i="5"/>
  <c r="CR45" i="5"/>
  <c r="CQ45" i="5"/>
  <c r="CO45" i="5"/>
  <c r="CT44" i="5"/>
  <c r="CS44" i="5"/>
  <c r="CR44" i="5"/>
  <c r="CQ44" i="5"/>
  <c r="CO44" i="5"/>
  <c r="CT46" i="2"/>
  <c r="CS46" i="2"/>
  <c r="CR46" i="2"/>
  <c r="CQ46" i="2"/>
  <c r="CO46" i="2"/>
  <c r="CT46" i="1"/>
  <c r="CS46" i="1"/>
  <c r="CR46" i="1"/>
  <c r="CQ46" i="1"/>
  <c r="CO46" i="1"/>
  <c r="CL45" i="5"/>
  <c r="CK45" i="5"/>
  <c r="CJ45" i="5"/>
  <c r="CI45" i="5"/>
  <c r="CL44" i="5"/>
  <c r="CK44" i="5"/>
  <c r="CJ44" i="5"/>
  <c r="CI44" i="5"/>
  <c r="CK46" i="2"/>
  <c r="CJ46" i="2"/>
  <c r="CI46" i="2"/>
  <c r="CL46" i="2"/>
  <c r="CL46" i="1"/>
  <c r="CK46" i="1"/>
  <c r="CJ46" i="1"/>
  <c r="CI46" i="1"/>
  <c r="CQ50" i="3" l="1"/>
  <c r="CQ50" i="1"/>
  <c r="CQ50" i="4"/>
  <c r="CR50" i="2"/>
  <c r="CR50" i="1"/>
  <c r="CK46" i="5"/>
  <c r="CL46" i="5"/>
  <c r="CL50" i="2"/>
  <c r="CJ46" i="5"/>
  <c r="CO50" i="1"/>
  <c r="CR50" i="4"/>
  <c r="CT50" i="4"/>
  <c r="CO50" i="2"/>
  <c r="CI46" i="5"/>
  <c r="CS46" i="5"/>
  <c r="CQ46" i="5"/>
  <c r="CO46" i="5"/>
  <c r="CT46" i="5"/>
  <c r="CR46" i="5"/>
  <c r="CL33" i="5"/>
  <c r="CK33" i="5"/>
  <c r="CJ33" i="5"/>
  <c r="CI33" i="5"/>
  <c r="CL32" i="5"/>
  <c r="CK32" i="5"/>
  <c r="CJ32" i="5"/>
  <c r="CI32" i="5"/>
  <c r="CL34" i="4"/>
  <c r="CK34" i="4"/>
  <c r="CJ34" i="4"/>
  <c r="CI34" i="4"/>
  <c r="CL34" i="3"/>
  <c r="CK34" i="3"/>
  <c r="CJ34" i="3"/>
  <c r="CI34" i="3"/>
  <c r="CL34" i="2"/>
  <c r="CK34" i="2"/>
  <c r="CJ34" i="2"/>
  <c r="CI34" i="2"/>
  <c r="CL34" i="1"/>
  <c r="CK34" i="1"/>
  <c r="CJ34" i="1"/>
  <c r="CI34" i="1"/>
  <c r="AB32" i="1" l="1"/>
  <c r="AB33" i="1"/>
  <c r="Y33" i="1"/>
  <c r="Y32" i="1"/>
  <c r="Z32" i="1"/>
  <c r="Z33" i="1"/>
  <c r="AA32" i="1"/>
  <c r="AA33" i="1"/>
  <c r="AA33" i="4"/>
  <c r="AA32" i="4"/>
  <c r="AB33" i="4"/>
  <c r="AB32" i="4"/>
  <c r="Y33" i="4"/>
  <c r="Y32" i="4"/>
  <c r="Z33" i="4"/>
  <c r="Z32" i="4"/>
  <c r="AB33" i="3"/>
  <c r="AB32" i="3"/>
  <c r="Y33" i="3"/>
  <c r="Y32" i="3"/>
  <c r="Z33" i="3"/>
  <c r="Z32" i="3"/>
  <c r="AA33" i="3"/>
  <c r="AA32" i="3"/>
  <c r="AA33" i="2"/>
  <c r="AA32" i="2"/>
  <c r="AB33" i="2"/>
  <c r="AB32" i="2"/>
  <c r="Y33" i="2"/>
  <c r="Y32" i="2"/>
  <c r="Z33" i="2"/>
  <c r="Z32" i="2"/>
  <c r="CL34" i="5"/>
  <c r="AB32" i="5" s="1"/>
  <c r="CJ34" i="5"/>
  <c r="Z32" i="5" s="1"/>
  <c r="CK34" i="5"/>
  <c r="AA33" i="5" s="1"/>
  <c r="CI34" i="5"/>
  <c r="Y32" i="5" s="1"/>
  <c r="DK45" i="5"/>
  <c r="DK44" i="5"/>
  <c r="DK41" i="5"/>
  <c r="DK40" i="5"/>
  <c r="DK38" i="5"/>
  <c r="DK37" i="5"/>
  <c r="DK33" i="5"/>
  <c r="DK32" i="5"/>
  <c r="DK30" i="5"/>
  <c r="DK29" i="5"/>
  <c r="DK25" i="5"/>
  <c r="DK24" i="5"/>
  <c r="DK22" i="5"/>
  <c r="DK21" i="5"/>
  <c r="DK19" i="5"/>
  <c r="DK18" i="5"/>
  <c r="DK17" i="5"/>
  <c r="DK16" i="5"/>
  <c r="DK15" i="5"/>
  <c r="DK13" i="5"/>
  <c r="DK12" i="5"/>
  <c r="DK11" i="5"/>
  <c r="DK10" i="5"/>
  <c r="DK9" i="5"/>
  <c r="DK49" i="4"/>
  <c r="DK48" i="4"/>
  <c r="DK42" i="4"/>
  <c r="BA41" i="4" s="1"/>
  <c r="DK39" i="4"/>
  <c r="BA38" i="4" s="1"/>
  <c r="DK34" i="4"/>
  <c r="BA33" i="4" s="1"/>
  <c r="DK31" i="4"/>
  <c r="BA29" i="4" s="1"/>
  <c r="DK26" i="4"/>
  <c r="BA25" i="4" s="1"/>
  <c r="DK23" i="4"/>
  <c r="BA21" i="4" s="1"/>
  <c r="DK20" i="4"/>
  <c r="BA19" i="4" s="1"/>
  <c r="BA37" i="4"/>
  <c r="BA22" i="4"/>
  <c r="DK49" i="3"/>
  <c r="DK48" i="3"/>
  <c r="DK42" i="3"/>
  <c r="BA41" i="3" s="1"/>
  <c r="DK39" i="3"/>
  <c r="BA37" i="3" s="1"/>
  <c r="DK34" i="3"/>
  <c r="BA33" i="3" s="1"/>
  <c r="DK31" i="3"/>
  <c r="BA29" i="3" s="1"/>
  <c r="DK26" i="3"/>
  <c r="BA25" i="3" s="1"/>
  <c r="DK23" i="3"/>
  <c r="BA21" i="3" s="1"/>
  <c r="DK20" i="3"/>
  <c r="BA19" i="3" s="1"/>
  <c r="DK49" i="2"/>
  <c r="DK48" i="2"/>
  <c r="DK42" i="2"/>
  <c r="BA41" i="2" s="1"/>
  <c r="DK39" i="2"/>
  <c r="BA37" i="2" s="1"/>
  <c r="DK34" i="2"/>
  <c r="BA33" i="2" s="1"/>
  <c r="DK31" i="2"/>
  <c r="BA29" i="2" s="1"/>
  <c r="DK26" i="2"/>
  <c r="BA24" i="2" s="1"/>
  <c r="DK23" i="2"/>
  <c r="BA21" i="2" s="1"/>
  <c r="DK20" i="2"/>
  <c r="BA19" i="2" s="1"/>
  <c r="BA40" i="3" l="1"/>
  <c r="BA22" i="3"/>
  <c r="BA38" i="2"/>
  <c r="BA38" i="3"/>
  <c r="BA24" i="3"/>
  <c r="DK50" i="3"/>
  <c r="BA32" i="4"/>
  <c r="BA30" i="3"/>
  <c r="BA32" i="3"/>
  <c r="BA24" i="4"/>
  <c r="BA30" i="4"/>
  <c r="Z33" i="5"/>
  <c r="AB33" i="5"/>
  <c r="DK48" i="5"/>
  <c r="Y33" i="5"/>
  <c r="AA32" i="5"/>
  <c r="DK49" i="5"/>
  <c r="BA25" i="2"/>
  <c r="DK26" i="5"/>
  <c r="BA25" i="5" s="1"/>
  <c r="BA40" i="4"/>
  <c r="DK50" i="4"/>
  <c r="BA32" i="2"/>
  <c r="BA40" i="2"/>
  <c r="DK50" i="2"/>
  <c r="BA22" i="2"/>
  <c r="BA18" i="2"/>
  <c r="BA13" i="2"/>
  <c r="BA11" i="2"/>
  <c r="BA16" i="2"/>
  <c r="BA18" i="3"/>
  <c r="BA11" i="3"/>
  <c r="DK34" i="5"/>
  <c r="BA32" i="5" s="1"/>
  <c r="DK31" i="5"/>
  <c r="BA29" i="5" s="1"/>
  <c r="DK42" i="5"/>
  <c r="BA40" i="5" s="1"/>
  <c r="DK46" i="5"/>
  <c r="DK23" i="5"/>
  <c r="BA22" i="5" s="1"/>
  <c r="DK20" i="5"/>
  <c r="BA16" i="5" s="1"/>
  <c r="BA11" i="4"/>
  <c r="BA13" i="3"/>
  <c r="BA12" i="2"/>
  <c r="BA15" i="2"/>
  <c r="BA17" i="2"/>
  <c r="DK39" i="5"/>
  <c r="BA16" i="4"/>
  <c r="BA12" i="3"/>
  <c r="BA16" i="3"/>
  <c r="BA15" i="3"/>
  <c r="BA17" i="3"/>
  <c r="BA13" i="4"/>
  <c r="BA18" i="4"/>
  <c r="BA12" i="4"/>
  <c r="BA15" i="4"/>
  <c r="BA17" i="4"/>
  <c r="BA30" i="2"/>
  <c r="DK46" i="2"/>
  <c r="DK49" i="1"/>
  <c r="DK48" i="1"/>
  <c r="DK42" i="1"/>
  <c r="BA40" i="1" s="1"/>
  <c r="DK39" i="1"/>
  <c r="BA37" i="1" s="1"/>
  <c r="DK34" i="1"/>
  <c r="BA32" i="1" s="1"/>
  <c r="DK31" i="1"/>
  <c r="BA29" i="1" s="1"/>
  <c r="DK26" i="1"/>
  <c r="BA25" i="1" s="1"/>
  <c r="DK23" i="1"/>
  <c r="BA21" i="1" s="1"/>
  <c r="DK20" i="1"/>
  <c r="BA19" i="1" s="1"/>
  <c r="BA41" i="1" l="1"/>
  <c r="BA24" i="1"/>
  <c r="BA33" i="1"/>
  <c r="BA38" i="1"/>
  <c r="BA33" i="5"/>
  <c r="DK50" i="5"/>
  <c r="BA41" i="5"/>
  <c r="BA18" i="5"/>
  <c r="BA24" i="5"/>
  <c r="BA21" i="5"/>
  <c r="BA30" i="5"/>
  <c r="BA12" i="5"/>
  <c r="BA17" i="5"/>
  <c r="BA15" i="5"/>
  <c r="BA19" i="5"/>
  <c r="DK50" i="1"/>
  <c r="BA11" i="5"/>
  <c r="BA11" i="1"/>
  <c r="BA12" i="1"/>
  <c r="BA13" i="5"/>
  <c r="BA13" i="1"/>
  <c r="BA15" i="1"/>
  <c r="BA16" i="1"/>
  <c r="BA17" i="1"/>
  <c r="BA18" i="1"/>
  <c r="BA37" i="5"/>
  <c r="BA38" i="5"/>
  <c r="BA30" i="1"/>
  <c r="BA22" i="1"/>
  <c r="DK46" i="1"/>
  <c r="CQ34" i="2"/>
  <c r="DD33" i="5"/>
  <c r="DC33" i="5"/>
  <c r="DB33" i="5"/>
  <c r="DA33" i="5"/>
  <c r="CZ33" i="5"/>
  <c r="CY33" i="5"/>
  <c r="CX33" i="5"/>
  <c r="CW33" i="5"/>
  <c r="CV33" i="5"/>
  <c r="CU33" i="5"/>
  <c r="CT33" i="5"/>
  <c r="CS33" i="5"/>
  <c r="CR33" i="5"/>
  <c r="CQ33" i="5"/>
  <c r="CP33" i="5"/>
  <c r="CO33" i="5"/>
  <c r="DD32" i="5"/>
  <c r="DC32" i="5"/>
  <c r="DB32" i="5"/>
  <c r="DA32" i="5"/>
  <c r="CZ32" i="5"/>
  <c r="CY32" i="5"/>
  <c r="CX32" i="5"/>
  <c r="CW32" i="5"/>
  <c r="CV32" i="5"/>
  <c r="CU32" i="5"/>
  <c r="CT32" i="5"/>
  <c r="CS32" i="5"/>
  <c r="CR32" i="5"/>
  <c r="CQ32" i="5"/>
  <c r="CP32" i="5"/>
  <c r="CO32" i="5"/>
  <c r="DD34" i="4"/>
  <c r="AT32" i="4" s="1"/>
  <c r="DC34" i="4"/>
  <c r="AS32" i="4" s="1"/>
  <c r="DB34" i="4"/>
  <c r="AR33" i="4" s="1"/>
  <c r="DA34" i="4"/>
  <c r="AQ33" i="4" s="1"/>
  <c r="CZ34" i="4"/>
  <c r="AP33" i="4" s="1"/>
  <c r="CY34" i="4"/>
  <c r="AO33" i="4" s="1"/>
  <c r="CX34" i="4"/>
  <c r="AN33" i="4" s="1"/>
  <c r="CW34" i="4"/>
  <c r="AM33" i="4" s="1"/>
  <c r="CV34" i="4"/>
  <c r="AL33" i="4" s="1"/>
  <c r="CU34" i="4"/>
  <c r="AK33" i="4" s="1"/>
  <c r="CT34" i="4"/>
  <c r="AJ32" i="4" s="1"/>
  <c r="CS34" i="4"/>
  <c r="AI33" i="4" s="1"/>
  <c r="CR34" i="4"/>
  <c r="AH33" i="4" s="1"/>
  <c r="CQ34" i="4"/>
  <c r="AG33" i="4" s="1"/>
  <c r="CP34" i="4"/>
  <c r="AF33" i="4" s="1"/>
  <c r="CO34" i="4"/>
  <c r="AE32" i="4" s="1"/>
  <c r="DD34" i="3"/>
  <c r="AT33" i="3" s="1"/>
  <c r="DC34" i="3"/>
  <c r="AS33" i="3" s="1"/>
  <c r="DB34" i="3"/>
  <c r="AR32" i="3" s="1"/>
  <c r="DA34" i="3"/>
  <c r="AQ33" i="3" s="1"/>
  <c r="CZ34" i="3"/>
  <c r="AP33" i="3" s="1"/>
  <c r="CY34" i="3"/>
  <c r="AO32" i="3" s="1"/>
  <c r="CX34" i="3"/>
  <c r="AN33" i="3" s="1"/>
  <c r="CW34" i="3"/>
  <c r="AM32" i="3" s="1"/>
  <c r="CV34" i="3"/>
  <c r="AL33" i="3" s="1"/>
  <c r="CU34" i="3"/>
  <c r="AK32" i="3" s="1"/>
  <c r="CT34" i="3"/>
  <c r="AJ33" i="3" s="1"/>
  <c r="CS34" i="3"/>
  <c r="AI32" i="3" s="1"/>
  <c r="CR34" i="3"/>
  <c r="AH33" i="3" s="1"/>
  <c r="CQ34" i="3"/>
  <c r="AG32" i="3" s="1"/>
  <c r="CP34" i="3"/>
  <c r="AF32" i="3" s="1"/>
  <c r="CO34" i="3"/>
  <c r="AE33" i="3" s="1"/>
  <c r="AS32" i="3" l="1"/>
  <c r="AR32" i="4"/>
  <c r="AG33" i="3"/>
  <c r="AT33" i="4"/>
  <c r="AE32" i="3"/>
  <c r="AH32" i="3"/>
  <c r="AP32" i="3"/>
  <c r="CT34" i="5"/>
  <c r="AJ32" i="5" s="1"/>
  <c r="CV34" i="5"/>
  <c r="AL33" i="5" s="1"/>
  <c r="DB34" i="5"/>
  <c r="AR33" i="5" s="1"/>
  <c r="DC34" i="5"/>
  <c r="AS33" i="5" s="1"/>
  <c r="CR34" i="5"/>
  <c r="AH33" i="5" s="1"/>
  <c r="CX34" i="5"/>
  <c r="AN32" i="5" s="1"/>
  <c r="DD34" i="5"/>
  <c r="AT32" i="5" s="1"/>
  <c r="AS33" i="4"/>
  <c r="CO34" i="5"/>
  <c r="AE32" i="5" s="1"/>
  <c r="CU34" i="5"/>
  <c r="AK32" i="5" s="1"/>
  <c r="DA34" i="5"/>
  <c r="AQ33" i="5" s="1"/>
  <c r="CY34" i="5"/>
  <c r="AO33" i="5" s="1"/>
  <c r="CQ34" i="5"/>
  <c r="AG33" i="5" s="1"/>
  <c r="AI32" i="4"/>
  <c r="CZ34" i="5"/>
  <c r="AP32" i="5" s="1"/>
  <c r="AF33" i="3"/>
  <c r="AR33" i="3"/>
  <c r="CW34" i="5"/>
  <c r="AM32" i="5" s="1"/>
  <c r="AE33" i="4"/>
  <c r="AF32" i="4"/>
  <c r="CP34" i="5"/>
  <c r="AF32" i="5" s="1"/>
  <c r="AG32" i="4"/>
  <c r="AH32" i="4"/>
  <c r="CS34" i="5"/>
  <c r="AI32" i="5" s="1"/>
  <c r="AI33" i="3"/>
  <c r="AJ33" i="4"/>
  <c r="AJ32" i="3"/>
  <c r="AK32" i="4"/>
  <c r="AL32" i="4"/>
  <c r="AM32" i="4"/>
  <c r="AN32" i="4"/>
  <c r="AO32" i="4"/>
  <c r="AP32" i="4"/>
  <c r="AQ32" i="4"/>
  <c r="AK33" i="3"/>
  <c r="AL32" i="3"/>
  <c r="AM33" i="3"/>
  <c r="AN32" i="3"/>
  <c r="AO33" i="3"/>
  <c r="AQ32" i="3"/>
  <c r="AT32" i="3"/>
  <c r="CY34" i="2"/>
  <c r="DD34" i="2"/>
  <c r="AT33" i="2" s="1"/>
  <c r="DC34" i="2"/>
  <c r="AS33" i="2" s="1"/>
  <c r="DB34" i="2"/>
  <c r="AR32" i="2" s="1"/>
  <c r="DA34" i="2"/>
  <c r="AQ32" i="2" s="1"/>
  <c r="CZ34" i="2"/>
  <c r="AP33" i="2" s="1"/>
  <c r="CX34" i="2"/>
  <c r="AN33" i="2" s="1"/>
  <c r="CW34" i="2"/>
  <c r="AM33" i="2" s="1"/>
  <c r="CV34" i="2"/>
  <c r="AL32" i="2" s="1"/>
  <c r="CU34" i="2"/>
  <c r="AK33" i="2" s="1"/>
  <c r="CT34" i="2"/>
  <c r="AJ33" i="2" s="1"/>
  <c r="CS34" i="2"/>
  <c r="AI33" i="2" s="1"/>
  <c r="CR34" i="2"/>
  <c r="AH32" i="2" s="1"/>
  <c r="CP34" i="2"/>
  <c r="AF33" i="2" s="1"/>
  <c r="CO34" i="2"/>
  <c r="AE32" i="2" s="1"/>
  <c r="AG33" i="2"/>
  <c r="AG32" i="2"/>
  <c r="CT34" i="1"/>
  <c r="AJ33" i="1" s="1"/>
  <c r="CS34" i="1"/>
  <c r="AI32" i="1" s="1"/>
  <c r="CR34" i="1"/>
  <c r="AH33" i="1" s="1"/>
  <c r="CQ34" i="1"/>
  <c r="AG32" i="1" s="1"/>
  <c r="CP34" i="1"/>
  <c r="AF33" i="1" s="1"/>
  <c r="CO34" i="1"/>
  <c r="AE32" i="1" s="1"/>
  <c r="AE33" i="1"/>
  <c r="DD34" i="1"/>
  <c r="AT33" i="1" s="1"/>
  <c r="DC34" i="1"/>
  <c r="AS33" i="1" s="1"/>
  <c r="DB34" i="1"/>
  <c r="AR33" i="1" s="1"/>
  <c r="DA34" i="1"/>
  <c r="AQ32" i="1" s="1"/>
  <c r="CZ34" i="1"/>
  <c r="AP33" i="1" s="1"/>
  <c r="CY34" i="1"/>
  <c r="AO33" i="1" s="1"/>
  <c r="CX34" i="1"/>
  <c r="AN33" i="1" s="1"/>
  <c r="CW34" i="1"/>
  <c r="AM32" i="1" s="1"/>
  <c r="CV34" i="1"/>
  <c r="AL33" i="1" s="1"/>
  <c r="CU34" i="1"/>
  <c r="AK33" i="1" s="1"/>
  <c r="CI37" i="1"/>
  <c r="CJ37" i="1"/>
  <c r="CK37" i="1"/>
  <c r="CL37" i="1"/>
  <c r="CM37" i="1"/>
  <c r="CS37" i="1"/>
  <c r="CT37" i="1"/>
  <c r="CU37" i="1"/>
  <c r="CI38" i="1"/>
  <c r="CJ38" i="1"/>
  <c r="CK38" i="1"/>
  <c r="CL38" i="1"/>
  <c r="CM38" i="1"/>
  <c r="CS38" i="1"/>
  <c r="CT38" i="1"/>
  <c r="CU38" i="1"/>
  <c r="BO39" i="1"/>
  <c r="E37" i="1" s="1"/>
  <c r="BP39" i="1"/>
  <c r="F38" i="1" s="1"/>
  <c r="BQ39" i="1"/>
  <c r="G37" i="1" s="1"/>
  <c r="BR39" i="1"/>
  <c r="H38" i="1" s="1"/>
  <c r="BS39" i="1"/>
  <c r="I37" i="1" s="1"/>
  <c r="CN39" i="1"/>
  <c r="AD37" i="1" s="1"/>
  <c r="CO39" i="1"/>
  <c r="AE38" i="1" s="1"/>
  <c r="CP39" i="1"/>
  <c r="AF37" i="1" s="1"/>
  <c r="CQ39" i="1"/>
  <c r="AG38" i="1" s="1"/>
  <c r="CR39" i="1"/>
  <c r="AH37" i="1" s="1"/>
  <c r="CV39" i="1"/>
  <c r="AL37" i="1" s="1"/>
  <c r="CW39" i="1"/>
  <c r="AM38" i="1" s="1"/>
  <c r="CX39" i="1"/>
  <c r="AN37" i="1" s="1"/>
  <c r="CY39" i="1"/>
  <c r="AO38" i="1" s="1"/>
  <c r="CZ39" i="1"/>
  <c r="AP37" i="1" s="1"/>
  <c r="DA39" i="1"/>
  <c r="AQ38" i="1" s="1"/>
  <c r="DB39" i="1"/>
  <c r="AR37" i="1" s="1"/>
  <c r="DC39" i="1"/>
  <c r="AS38" i="1" s="1"/>
  <c r="DD39" i="1"/>
  <c r="AT37" i="1" s="1"/>
  <c r="DE39" i="1"/>
  <c r="AU38" i="1" s="1"/>
  <c r="DF39" i="1"/>
  <c r="AV37" i="1" s="1"/>
  <c r="DG39" i="1"/>
  <c r="AW38" i="1" s="1"/>
  <c r="DH39" i="1"/>
  <c r="AX37" i="1" s="1"/>
  <c r="DI39" i="1"/>
  <c r="AY38" i="1" s="1"/>
  <c r="DJ39" i="1"/>
  <c r="AZ37" i="1" s="1"/>
  <c r="CI40" i="1"/>
  <c r="CJ40" i="1"/>
  <c r="CK40" i="1"/>
  <c r="CL40" i="1"/>
  <c r="CM40" i="1"/>
  <c r="CS40" i="1"/>
  <c r="CT40" i="1"/>
  <c r="CU40" i="1"/>
  <c r="DB40" i="1"/>
  <c r="DC40" i="1"/>
  <c r="DJ26" i="1"/>
  <c r="AE33" i="2" l="1"/>
  <c r="CL39" i="1"/>
  <c r="CK39" i="1"/>
  <c r="AT32" i="2"/>
  <c r="AQ33" i="2"/>
  <c r="AM32" i="2"/>
  <c r="AR33" i="2"/>
  <c r="AH32" i="1"/>
  <c r="CT39" i="1"/>
  <c r="AJ38" i="1" s="1"/>
  <c r="CS39" i="1"/>
  <c r="AI38" i="1" s="1"/>
  <c r="CU39" i="1"/>
  <c r="AK37" i="1" s="1"/>
  <c r="CJ39" i="1"/>
  <c r="Z38" i="1" s="1"/>
  <c r="AI33" i="1"/>
  <c r="AF32" i="1"/>
  <c r="CM39" i="1"/>
  <c r="AC38" i="1" s="1"/>
  <c r="AH32" i="5"/>
  <c r="AR32" i="5"/>
  <c r="AL32" i="5"/>
  <c r="AJ33" i="5"/>
  <c r="AQ32" i="5"/>
  <c r="AE33" i="5"/>
  <c r="AN33" i="5"/>
  <c r="AK33" i="5"/>
  <c r="AS32" i="5"/>
  <c r="AT33" i="5"/>
  <c r="CI48" i="1"/>
  <c r="AG33" i="1"/>
  <c r="AI32" i="2"/>
  <c r="AS32" i="2"/>
  <c r="AL33" i="2"/>
  <c r="AJ32" i="2"/>
  <c r="AP32" i="2"/>
  <c r="AJ32" i="1"/>
  <c r="AF32" i="2"/>
  <c r="AH33" i="2"/>
  <c r="AO32" i="5"/>
  <c r="AG32" i="5"/>
  <c r="CL48" i="1"/>
  <c r="CT48" i="1"/>
  <c r="CK48" i="1"/>
  <c r="CI39" i="1"/>
  <c r="Y38" i="1" s="1"/>
  <c r="CS48" i="1"/>
  <c r="CJ48" i="1"/>
  <c r="AP33" i="5"/>
  <c r="AK32" i="2"/>
  <c r="AF33" i="5"/>
  <c r="AM33" i="5"/>
  <c r="AI33" i="5"/>
  <c r="AS32" i="1"/>
  <c r="AT32" i="1"/>
  <c r="AN32" i="2"/>
  <c r="AO33" i="2"/>
  <c r="AO32" i="2"/>
  <c r="AK32" i="1"/>
  <c r="AL32" i="1"/>
  <c r="AM33" i="1"/>
  <c r="AN32" i="1"/>
  <c r="AO32" i="1"/>
  <c r="AP32" i="1"/>
  <c r="AQ33" i="1"/>
  <c r="AR32" i="1"/>
  <c r="AB38" i="1"/>
  <c r="AB37" i="1"/>
  <c r="AA38" i="1"/>
  <c r="AA37" i="1"/>
  <c r="AZ38" i="1"/>
  <c r="AX38" i="1"/>
  <c r="AV38" i="1"/>
  <c r="AT38" i="1"/>
  <c r="AR38" i="1"/>
  <c r="AP38" i="1"/>
  <c r="AN38" i="1"/>
  <c r="AL38" i="1"/>
  <c r="AH38" i="1"/>
  <c r="AF38" i="1"/>
  <c r="AD38" i="1"/>
  <c r="I38" i="1"/>
  <c r="G38" i="1"/>
  <c r="E38" i="1"/>
  <c r="AY37" i="1"/>
  <c r="AW37" i="1"/>
  <c r="AU37" i="1"/>
  <c r="AS37" i="1"/>
  <c r="AQ37" i="1"/>
  <c r="AO37" i="1"/>
  <c r="AM37" i="1"/>
  <c r="AG37" i="1"/>
  <c r="AE37" i="1"/>
  <c r="H37" i="1"/>
  <c r="F37" i="1"/>
  <c r="DJ31" i="3"/>
  <c r="DJ49" i="4"/>
  <c r="DE31" i="4"/>
  <c r="AU29" i="4" s="1"/>
  <c r="DE26" i="4"/>
  <c r="DI33" i="5"/>
  <c r="DH33" i="5"/>
  <c r="DG33" i="5"/>
  <c r="DF33" i="5"/>
  <c r="DE33" i="5"/>
  <c r="DI32" i="5"/>
  <c r="DH32" i="5"/>
  <c r="DG32" i="5"/>
  <c r="DF32" i="5"/>
  <c r="DE32" i="5"/>
  <c r="DJ33" i="5"/>
  <c r="DJ32" i="5"/>
  <c r="DJ34" i="4"/>
  <c r="AZ32" i="4" s="1"/>
  <c r="DI34" i="4"/>
  <c r="AY33" i="4" s="1"/>
  <c r="DH34" i="4"/>
  <c r="AX33" i="4" s="1"/>
  <c r="DG34" i="4"/>
  <c r="AW33" i="4" s="1"/>
  <c r="DF34" i="4"/>
  <c r="AV33" i="4" s="1"/>
  <c r="DE34" i="4"/>
  <c r="AU33" i="4" s="1"/>
  <c r="DJ34" i="3"/>
  <c r="AZ32" i="3" s="1"/>
  <c r="DI34" i="3"/>
  <c r="AY33" i="3" s="1"/>
  <c r="DH34" i="3"/>
  <c r="AX33" i="3" s="1"/>
  <c r="DG34" i="3"/>
  <c r="AW32" i="3" s="1"/>
  <c r="DF34" i="3"/>
  <c r="AV33" i="3" s="1"/>
  <c r="DE34" i="3"/>
  <c r="AU32" i="3" s="1"/>
  <c r="AJ37" i="1" l="1"/>
  <c r="AI37" i="1"/>
  <c r="Z37" i="1"/>
  <c r="AK38" i="1"/>
  <c r="AZ33" i="4"/>
  <c r="AC37" i="1"/>
  <c r="AY32" i="3"/>
  <c r="Y37" i="1"/>
  <c r="AY32" i="4"/>
  <c r="AZ33" i="3"/>
  <c r="DF34" i="5"/>
  <c r="AV33" i="5" s="1"/>
  <c r="DE34" i="5"/>
  <c r="AU32" i="5" s="1"/>
  <c r="AX32" i="4"/>
  <c r="DG34" i="5"/>
  <c r="AW32" i="5" s="1"/>
  <c r="DI34" i="5"/>
  <c r="AY32" i="5" s="1"/>
  <c r="DH34" i="5"/>
  <c r="AX33" i="5" s="1"/>
  <c r="DJ34" i="5"/>
  <c r="AZ33" i="5" s="1"/>
  <c r="AU32" i="4"/>
  <c r="AV32" i="4"/>
  <c r="AW32" i="4"/>
  <c r="AU33" i="3"/>
  <c r="AV32" i="3"/>
  <c r="AW33" i="3"/>
  <c r="AX32" i="3"/>
  <c r="DF34" i="2"/>
  <c r="AV33" i="2" s="1"/>
  <c r="DE34" i="2"/>
  <c r="AU32" i="2" s="1"/>
  <c r="DG34" i="2"/>
  <c r="AW33" i="2" s="1"/>
  <c r="DH34" i="2"/>
  <c r="AX33" i="2" s="1"/>
  <c r="DI34" i="2"/>
  <c r="AY33" i="2" s="1"/>
  <c r="DJ34" i="2"/>
  <c r="AZ32" i="2" s="1"/>
  <c r="AV32" i="5" l="1"/>
  <c r="AW33" i="5"/>
  <c r="AV32" i="2"/>
  <c r="AU33" i="5"/>
  <c r="AX32" i="2"/>
  <c r="AW32" i="2"/>
  <c r="AZ32" i="5"/>
  <c r="AY33" i="5"/>
  <c r="AX32" i="5"/>
  <c r="AU33" i="2"/>
  <c r="AZ33" i="2"/>
  <c r="AY32" i="2"/>
  <c r="DE34" i="1"/>
  <c r="AU32" i="1" s="1"/>
  <c r="DF34" i="1"/>
  <c r="AV33" i="1" s="1"/>
  <c r="DG34" i="1"/>
  <c r="AW32" i="1" s="1"/>
  <c r="DH34" i="1"/>
  <c r="AX33" i="1" s="1"/>
  <c r="DI34" i="1"/>
  <c r="AY33" i="1" s="1"/>
  <c r="DJ34" i="1"/>
  <c r="AZ33" i="1" s="1"/>
  <c r="AX32" i="1" l="1"/>
  <c r="AZ32" i="1"/>
  <c r="AV32" i="1"/>
  <c r="AY32" i="1"/>
  <c r="AW33" i="1"/>
  <c r="AU33" i="1"/>
  <c r="BP41" i="5"/>
  <c r="BP40" i="5"/>
  <c r="BO41" i="5"/>
  <c r="BO40" i="5"/>
  <c r="BR41" i="5"/>
  <c r="BQ41" i="5"/>
  <c r="BR40" i="5"/>
  <c r="BQ40" i="5"/>
  <c r="BR38" i="5"/>
  <c r="BQ38" i="5"/>
  <c r="BP38" i="5"/>
  <c r="BO38" i="5"/>
  <c r="BR37" i="5"/>
  <c r="BQ37" i="5"/>
  <c r="BP37" i="5"/>
  <c r="BO37" i="5"/>
  <c r="BO39" i="5" l="1"/>
  <c r="E38" i="5" s="1"/>
  <c r="BQ39" i="5"/>
  <c r="BR39" i="5"/>
  <c r="H38" i="5" s="1"/>
  <c r="BP39" i="5"/>
  <c r="F38" i="5" s="1"/>
  <c r="BQ42" i="5"/>
  <c r="G40" i="5" s="1"/>
  <c r="BR42" i="5"/>
  <c r="H41" i="5" s="1"/>
  <c r="BP42" i="5"/>
  <c r="F41" i="5" s="1"/>
  <c r="BO42" i="5"/>
  <c r="E40" i="5" s="1"/>
  <c r="BP30" i="5"/>
  <c r="BR29" i="5"/>
  <c r="BQ29" i="5"/>
  <c r="BP29" i="5"/>
  <c r="BR22" i="5"/>
  <c r="BQ22" i="5"/>
  <c r="BP22" i="5"/>
  <c r="BO22" i="5"/>
  <c r="BR21" i="5"/>
  <c r="BQ21" i="5"/>
  <c r="BQ23" i="5" s="1"/>
  <c r="BP21" i="5"/>
  <c r="BO21" i="5"/>
  <c r="CB18" i="5"/>
  <c r="CA18" i="5"/>
  <c r="BZ18" i="5"/>
  <c r="BY18" i="5"/>
  <c r="CB16" i="5"/>
  <c r="CA16" i="5"/>
  <c r="BZ16" i="5"/>
  <c r="BY16" i="5"/>
  <c r="CB14" i="5"/>
  <c r="CA14" i="5"/>
  <c r="BZ14" i="5"/>
  <c r="BY14" i="5"/>
  <c r="CB13" i="5"/>
  <c r="CA13" i="5"/>
  <c r="BZ13" i="5"/>
  <c r="BY13" i="5"/>
  <c r="CB12" i="5"/>
  <c r="CA12" i="5"/>
  <c r="BZ12" i="5"/>
  <c r="BY12" i="5"/>
  <c r="CB11" i="5"/>
  <c r="CA11" i="5"/>
  <c r="BZ11" i="5"/>
  <c r="BY11" i="5"/>
  <c r="DD45" i="5"/>
  <c r="DC45" i="5"/>
  <c r="DB45" i="5"/>
  <c r="DA45" i="5"/>
  <c r="CZ45" i="5"/>
  <c r="CY45" i="5"/>
  <c r="CX45" i="5"/>
  <c r="CW45" i="5"/>
  <c r="CV45" i="5"/>
  <c r="DD44" i="5"/>
  <c r="DC44" i="5"/>
  <c r="DB44" i="5"/>
  <c r="DA44" i="5"/>
  <c r="CZ44" i="5"/>
  <c r="CY44" i="5"/>
  <c r="CX44" i="5"/>
  <c r="CW44" i="5"/>
  <c r="CV44" i="5"/>
  <c r="CH18" i="5"/>
  <c r="CH16" i="5"/>
  <c r="CH14" i="5"/>
  <c r="CH13" i="5"/>
  <c r="CH12" i="5"/>
  <c r="CH11" i="5"/>
  <c r="CK22" i="5"/>
  <c r="CJ22" i="5"/>
  <c r="CI22" i="5"/>
  <c r="CK21" i="5"/>
  <c r="CJ21" i="5"/>
  <c r="CI21" i="5"/>
  <c r="CR41" i="5"/>
  <c r="CQ41" i="5"/>
  <c r="CP41" i="5"/>
  <c r="CO41" i="5"/>
  <c r="CN41" i="5"/>
  <c r="CR40" i="5"/>
  <c r="CQ40" i="5"/>
  <c r="CP40" i="5"/>
  <c r="CO40" i="5"/>
  <c r="CN40" i="5"/>
  <c r="CR38" i="5"/>
  <c r="CQ38" i="5"/>
  <c r="CP38" i="5"/>
  <c r="CO38" i="5"/>
  <c r="CN38" i="5"/>
  <c r="CR37" i="5"/>
  <c r="CQ37" i="5"/>
  <c r="CP37" i="5"/>
  <c r="CO37" i="5"/>
  <c r="CN37" i="5"/>
  <c r="CT30" i="5"/>
  <c r="CR30" i="5"/>
  <c r="CQ30" i="5"/>
  <c r="CP30" i="5"/>
  <c r="CO30" i="5"/>
  <c r="CN30" i="5"/>
  <c r="CT29" i="5"/>
  <c r="CR29" i="5"/>
  <c r="CQ29" i="5"/>
  <c r="CP29" i="5"/>
  <c r="CO29" i="5"/>
  <c r="CN29" i="5"/>
  <c r="CT22" i="5"/>
  <c r="CS22" i="5"/>
  <c r="CR22" i="5"/>
  <c r="CQ22" i="5"/>
  <c r="CP22" i="5"/>
  <c r="CO22" i="5"/>
  <c r="CN22" i="5"/>
  <c r="CM22" i="5"/>
  <c r="CL22" i="5"/>
  <c r="CT21" i="5"/>
  <c r="CS21" i="5"/>
  <c r="CR21" i="5"/>
  <c r="CQ21" i="5"/>
  <c r="CP21" i="5"/>
  <c r="CO21" i="5"/>
  <c r="CN21" i="5"/>
  <c r="CM21" i="5"/>
  <c r="CL21" i="5"/>
  <c r="CT18" i="5"/>
  <c r="CR18" i="5"/>
  <c r="CQ18" i="5"/>
  <c r="CP18" i="5"/>
  <c r="CO18" i="5"/>
  <c r="CN18" i="5"/>
  <c r="CM18" i="5"/>
  <c r="CL18" i="5"/>
  <c r="CT16" i="5"/>
  <c r="CR16" i="5"/>
  <c r="CQ16" i="5"/>
  <c r="CP16" i="5"/>
  <c r="CO16" i="5"/>
  <c r="CN16" i="5"/>
  <c r="CL16" i="5"/>
  <c r="CT14" i="5"/>
  <c r="CR14" i="5"/>
  <c r="CQ14" i="5"/>
  <c r="CP14" i="5"/>
  <c r="CO14" i="5"/>
  <c r="CN14" i="5"/>
  <c r="CL14" i="5"/>
  <c r="CT13" i="5"/>
  <c r="CR13" i="5"/>
  <c r="CQ13" i="5"/>
  <c r="CP13" i="5"/>
  <c r="CO13" i="5"/>
  <c r="CN13" i="5"/>
  <c r="CL13" i="5"/>
  <c r="CT12" i="5"/>
  <c r="CR12" i="5"/>
  <c r="CQ12" i="5"/>
  <c r="CP12" i="5"/>
  <c r="CO12" i="5"/>
  <c r="CN12" i="5"/>
  <c r="CL12" i="5"/>
  <c r="CT11" i="5"/>
  <c r="CR11" i="5"/>
  <c r="CQ11" i="5"/>
  <c r="CP11" i="5"/>
  <c r="CO11" i="5"/>
  <c r="CN11" i="5"/>
  <c r="CL11" i="5"/>
  <c r="CT10" i="5"/>
  <c r="CR10" i="5"/>
  <c r="CQ10" i="5"/>
  <c r="CP10" i="5"/>
  <c r="CO10" i="5"/>
  <c r="CN10" i="5"/>
  <c r="CM10" i="5"/>
  <c r="CL10" i="5"/>
  <c r="CT9" i="5"/>
  <c r="DD41" i="5"/>
  <c r="DA41" i="5"/>
  <c r="CZ41" i="5"/>
  <c r="CY41" i="5"/>
  <c r="CX41" i="5"/>
  <c r="CW41" i="5"/>
  <c r="CV41" i="5"/>
  <c r="DD40" i="5"/>
  <c r="DA40" i="5"/>
  <c r="CZ40" i="5"/>
  <c r="CY40" i="5"/>
  <c r="CX40" i="5"/>
  <c r="CW40" i="5"/>
  <c r="CV40" i="5"/>
  <c r="DD38" i="5"/>
  <c r="DC38" i="5"/>
  <c r="DB38" i="5"/>
  <c r="CZ38" i="5"/>
  <c r="CX38" i="5"/>
  <c r="CW38" i="5"/>
  <c r="CV38" i="5"/>
  <c r="DD37" i="5"/>
  <c r="DC37" i="5"/>
  <c r="DB37" i="5"/>
  <c r="CZ37" i="5"/>
  <c r="CX37" i="5"/>
  <c r="CW37" i="5"/>
  <c r="CV37" i="5"/>
  <c r="DD30" i="5"/>
  <c r="DC30" i="5"/>
  <c r="DB30" i="5"/>
  <c r="CZ30" i="5"/>
  <c r="CY30" i="5"/>
  <c r="CX30" i="5"/>
  <c r="CW30" i="5"/>
  <c r="CV30" i="5"/>
  <c r="DD29" i="5"/>
  <c r="DC29" i="5"/>
  <c r="DB29" i="5"/>
  <c r="CZ29" i="5"/>
  <c r="CY29" i="5"/>
  <c r="CX29" i="5"/>
  <c r="CW29" i="5"/>
  <c r="CV29" i="5"/>
  <c r="DD25" i="5"/>
  <c r="DC25" i="5"/>
  <c r="DB25" i="5"/>
  <c r="DA25" i="5"/>
  <c r="CZ25" i="5"/>
  <c r="CY25" i="5"/>
  <c r="CX25" i="5"/>
  <c r="DD24" i="5"/>
  <c r="DC24" i="5"/>
  <c r="DB24" i="5"/>
  <c r="DA24" i="5"/>
  <c r="CZ24" i="5"/>
  <c r="CY24" i="5"/>
  <c r="CX24" i="5"/>
  <c r="DD22" i="5"/>
  <c r="DC22" i="5"/>
  <c r="DB22" i="5"/>
  <c r="DA22" i="5"/>
  <c r="CZ22" i="5"/>
  <c r="CY22" i="5"/>
  <c r="CX22" i="5"/>
  <c r="CW22" i="5"/>
  <c r="CV22" i="5"/>
  <c r="CU22" i="5"/>
  <c r="DD21" i="5"/>
  <c r="DC21" i="5"/>
  <c r="DB21" i="5"/>
  <c r="DA21" i="5"/>
  <c r="CZ21" i="5"/>
  <c r="CY21" i="5"/>
  <c r="CX21" i="5"/>
  <c r="CW21" i="5"/>
  <c r="CV21" i="5"/>
  <c r="CU21" i="5"/>
  <c r="DD18" i="5"/>
  <c r="DC18" i="5"/>
  <c r="CZ18" i="5"/>
  <c r="CY18" i="5"/>
  <c r="CX18" i="5"/>
  <c r="CW18" i="5"/>
  <c r="CV18" i="5"/>
  <c r="DD16" i="5"/>
  <c r="DC16" i="5"/>
  <c r="CZ16" i="5"/>
  <c r="CY16" i="5"/>
  <c r="CX16" i="5"/>
  <c r="CW16" i="5"/>
  <c r="CV16" i="5"/>
  <c r="DD14" i="5"/>
  <c r="DC14" i="5"/>
  <c r="CZ14" i="5"/>
  <c r="CY14" i="5"/>
  <c r="CX14" i="5"/>
  <c r="CW14" i="5"/>
  <c r="CV14" i="5"/>
  <c r="DD13" i="5"/>
  <c r="DC13" i="5"/>
  <c r="CZ13" i="5"/>
  <c r="CY13" i="5"/>
  <c r="CX13" i="5"/>
  <c r="CW13" i="5"/>
  <c r="CV13" i="5"/>
  <c r="DD12" i="5"/>
  <c r="DC12" i="5"/>
  <c r="CZ12" i="5"/>
  <c r="CY12" i="5"/>
  <c r="CX12" i="5"/>
  <c r="CW12" i="5"/>
  <c r="CV12" i="5"/>
  <c r="DD11" i="5"/>
  <c r="DC11" i="5"/>
  <c r="CZ11" i="5"/>
  <c r="CY11" i="5"/>
  <c r="CX11" i="5"/>
  <c r="CW11" i="5"/>
  <c r="CV11" i="5"/>
  <c r="DD10" i="5"/>
  <c r="DC10" i="5"/>
  <c r="CZ10" i="5"/>
  <c r="CY10" i="5"/>
  <c r="CX10" i="5"/>
  <c r="CW10" i="5"/>
  <c r="CV10" i="5"/>
  <c r="DD9" i="5"/>
  <c r="DC9" i="5"/>
  <c r="DB9" i="5"/>
  <c r="DA9" i="5"/>
  <c r="CZ9" i="5"/>
  <c r="CY9" i="5"/>
  <c r="CX9" i="5"/>
  <c r="CW9" i="5"/>
  <c r="CV9" i="5"/>
  <c r="DH41" i="5"/>
  <c r="DG41" i="5"/>
  <c r="DF41" i="5"/>
  <c r="DE41" i="5"/>
  <c r="DH40" i="5"/>
  <c r="DG40" i="5"/>
  <c r="DG42" i="5" s="1"/>
  <c r="DF40" i="5"/>
  <c r="DE40" i="5"/>
  <c r="DI38" i="5"/>
  <c r="DH38" i="5"/>
  <c r="DG38" i="5"/>
  <c r="DF38" i="5"/>
  <c r="DE38" i="5"/>
  <c r="DI37" i="5"/>
  <c r="DH37" i="5"/>
  <c r="DG37" i="5"/>
  <c r="DF37" i="5"/>
  <c r="DE37" i="5"/>
  <c r="DI30" i="5"/>
  <c r="DH30" i="5"/>
  <c r="DG30" i="5"/>
  <c r="DF30" i="5"/>
  <c r="DE30" i="5"/>
  <c r="DI29" i="5"/>
  <c r="DH29" i="5"/>
  <c r="DG29" i="5"/>
  <c r="DF29" i="5"/>
  <c r="DE29" i="5"/>
  <c r="DI25" i="5"/>
  <c r="DH25" i="5"/>
  <c r="DG25" i="5"/>
  <c r="DF25" i="5"/>
  <c r="DE25" i="5"/>
  <c r="DI24" i="5"/>
  <c r="DH24" i="5"/>
  <c r="DG24" i="5"/>
  <c r="DF24" i="5"/>
  <c r="DE24" i="5"/>
  <c r="DI22" i="5"/>
  <c r="DH22" i="5"/>
  <c r="DG22" i="5"/>
  <c r="DF22" i="5"/>
  <c r="DE22" i="5"/>
  <c r="DI21" i="5"/>
  <c r="DH21" i="5"/>
  <c r="DG21" i="5"/>
  <c r="DF21" i="5"/>
  <c r="DE21" i="5"/>
  <c r="DJ41" i="5"/>
  <c r="DJ40" i="5"/>
  <c r="DJ38" i="5"/>
  <c r="DJ37" i="5"/>
  <c r="DJ30" i="5"/>
  <c r="DJ29" i="5"/>
  <c r="DJ25" i="5"/>
  <c r="DJ24" i="5"/>
  <c r="DJ22" i="5"/>
  <c r="DJ21" i="5"/>
  <c r="DE18" i="5"/>
  <c r="DE16" i="5"/>
  <c r="DE14" i="5"/>
  <c r="DE13" i="5"/>
  <c r="DE12" i="5"/>
  <c r="DE11" i="5"/>
  <c r="DE10" i="5"/>
  <c r="DI19" i="5"/>
  <c r="DH19" i="5"/>
  <c r="DG19" i="5"/>
  <c r="DI18" i="5"/>
  <c r="DH18" i="5"/>
  <c r="DG18" i="5"/>
  <c r="DI17" i="5"/>
  <c r="DH17" i="5"/>
  <c r="DG17" i="5"/>
  <c r="DI16" i="5"/>
  <c r="DH16" i="5"/>
  <c r="DG16" i="5"/>
  <c r="DI15" i="5"/>
  <c r="DH15" i="5"/>
  <c r="DG15" i="5"/>
  <c r="DI13" i="5"/>
  <c r="DH13" i="5"/>
  <c r="DG13" i="5"/>
  <c r="DI12" i="5"/>
  <c r="DH12" i="5"/>
  <c r="DG12" i="5"/>
  <c r="DI11" i="5"/>
  <c r="DH11" i="5"/>
  <c r="DG11" i="5"/>
  <c r="DF11" i="5"/>
  <c r="DI10" i="5"/>
  <c r="DH10" i="5"/>
  <c r="DG10" i="5"/>
  <c r="DI9" i="5"/>
  <c r="DH9" i="5"/>
  <c r="DG9" i="5"/>
  <c r="DF9" i="5"/>
  <c r="DE9" i="5"/>
  <c r="DJ19" i="5"/>
  <c r="DJ18" i="5"/>
  <c r="DJ17" i="5"/>
  <c r="DJ16" i="5"/>
  <c r="DJ15" i="5"/>
  <c r="DJ13" i="5"/>
  <c r="DJ12" i="5"/>
  <c r="DJ11" i="5"/>
  <c r="DJ10" i="5"/>
  <c r="DJ9" i="5"/>
  <c r="G38" i="5"/>
  <c r="G37" i="5"/>
  <c r="E37" i="5"/>
  <c r="G41" i="5" l="1"/>
  <c r="BO23" i="5"/>
  <c r="E22" i="5" s="1"/>
  <c r="CB20" i="5"/>
  <c r="R14" i="5" s="1"/>
  <c r="DE42" i="5"/>
  <c r="AU40" i="5" s="1"/>
  <c r="CA20" i="5"/>
  <c r="Q16" i="5" s="1"/>
  <c r="BY20" i="5"/>
  <c r="O13" i="5" s="1"/>
  <c r="F37" i="5"/>
  <c r="H37" i="5"/>
  <c r="BZ20" i="5"/>
  <c r="P18" i="5" s="1"/>
  <c r="H40" i="5"/>
  <c r="BP23" i="5"/>
  <c r="F22" i="5" s="1"/>
  <c r="CU23" i="5"/>
  <c r="AK22" i="5" s="1"/>
  <c r="CY23" i="5"/>
  <c r="AO22" i="5" s="1"/>
  <c r="DC23" i="5"/>
  <c r="AS21" i="5" s="1"/>
  <c r="CR48" i="5"/>
  <c r="CQ49" i="5"/>
  <c r="BR23" i="5"/>
  <c r="H22" i="5" s="1"/>
  <c r="CX23" i="5"/>
  <c r="AN22" i="5" s="1"/>
  <c r="DB23" i="5"/>
  <c r="AR22" i="5" s="1"/>
  <c r="CQ48" i="5"/>
  <c r="CV23" i="5"/>
  <c r="AL22" i="5" s="1"/>
  <c r="CZ23" i="5"/>
  <c r="AP21" i="5" s="1"/>
  <c r="DD23" i="5"/>
  <c r="AT22" i="5" s="1"/>
  <c r="CO48" i="5"/>
  <c r="CR49" i="5"/>
  <c r="CW23" i="5"/>
  <c r="AM21" i="5" s="1"/>
  <c r="DA23" i="5"/>
  <c r="AQ22" i="5" s="1"/>
  <c r="CO49" i="5"/>
  <c r="DJ26" i="5"/>
  <c r="F40" i="5"/>
  <c r="CV20" i="5"/>
  <c r="AL18" i="5" s="1"/>
  <c r="CX20" i="5"/>
  <c r="AN16" i="5" s="1"/>
  <c r="CZ20" i="5"/>
  <c r="DD20" i="5"/>
  <c r="CN20" i="5"/>
  <c r="AD13" i="5" s="1"/>
  <c r="CP20" i="5"/>
  <c r="AF18" i="5" s="1"/>
  <c r="CR20" i="5"/>
  <c r="AH11" i="5" s="1"/>
  <c r="CL23" i="5"/>
  <c r="AB21" i="5" s="1"/>
  <c r="CN23" i="5"/>
  <c r="AD21" i="5" s="1"/>
  <c r="CP23" i="5"/>
  <c r="AF21" i="5" s="1"/>
  <c r="CR23" i="5"/>
  <c r="AH21" i="5" s="1"/>
  <c r="CT23" i="5"/>
  <c r="AJ21" i="5" s="1"/>
  <c r="CN39" i="5"/>
  <c r="AD38" i="5" s="1"/>
  <c r="CP39" i="5"/>
  <c r="AF38" i="5" s="1"/>
  <c r="CN42" i="5"/>
  <c r="CP42" i="5"/>
  <c r="AF40" i="5" s="1"/>
  <c r="CR42" i="5"/>
  <c r="CI23" i="5"/>
  <c r="Y22" i="5" s="1"/>
  <c r="CK23" i="5"/>
  <c r="CH20" i="5"/>
  <c r="X14" i="5" s="1"/>
  <c r="E41" i="5"/>
  <c r="DH20" i="5"/>
  <c r="AX19" i="5" s="1"/>
  <c r="DE20" i="5"/>
  <c r="AU16" i="5" s="1"/>
  <c r="DE23" i="5"/>
  <c r="AU21" i="5" s="1"/>
  <c r="DG23" i="5"/>
  <c r="AW22" i="5" s="1"/>
  <c r="DI23" i="5"/>
  <c r="AY21" i="5" s="1"/>
  <c r="DE26" i="5"/>
  <c r="AU24" i="5" s="1"/>
  <c r="DG26" i="5"/>
  <c r="AW24" i="5" s="1"/>
  <c r="DI26" i="5"/>
  <c r="AY24" i="5" s="1"/>
  <c r="DE31" i="5"/>
  <c r="AU29" i="5" s="1"/>
  <c r="DG31" i="5"/>
  <c r="AW30" i="5" s="1"/>
  <c r="DI31" i="5"/>
  <c r="AY29" i="5" s="1"/>
  <c r="DE39" i="5"/>
  <c r="AU38" i="5" s="1"/>
  <c r="DG39" i="5"/>
  <c r="AW37" i="5" s="1"/>
  <c r="DI39" i="5"/>
  <c r="AY37" i="5" s="1"/>
  <c r="CW20" i="5"/>
  <c r="AM18" i="5" s="1"/>
  <c r="CY20" i="5"/>
  <c r="AO16" i="5" s="1"/>
  <c r="DC20" i="5"/>
  <c r="AS14" i="5" s="1"/>
  <c r="CL20" i="5"/>
  <c r="AB13" i="5" s="1"/>
  <c r="DG20" i="5"/>
  <c r="AW16" i="5" s="1"/>
  <c r="DI20" i="5"/>
  <c r="AY19" i="5" s="1"/>
  <c r="CT20" i="5"/>
  <c r="AJ11" i="5" s="1"/>
  <c r="CY26" i="5"/>
  <c r="AO25" i="5" s="1"/>
  <c r="DA26" i="5"/>
  <c r="AQ24" i="5" s="1"/>
  <c r="DC26" i="5"/>
  <c r="CW31" i="5"/>
  <c r="AM30" i="5" s="1"/>
  <c r="CY31" i="5"/>
  <c r="AO30" i="5" s="1"/>
  <c r="DC31" i="5"/>
  <c r="CW39" i="5"/>
  <c r="AM38" i="5" s="1"/>
  <c r="DC39" i="5"/>
  <c r="CW42" i="5"/>
  <c r="AM40" i="5" s="1"/>
  <c r="CY42" i="5"/>
  <c r="AO41" i="5" s="1"/>
  <c r="DA42" i="5"/>
  <c r="AQ41" i="5" s="1"/>
  <c r="CO20" i="5"/>
  <c r="CQ20" i="5"/>
  <c r="CM23" i="5"/>
  <c r="AC22" i="5" s="1"/>
  <c r="CO23" i="5"/>
  <c r="AE21" i="5" s="1"/>
  <c r="CQ23" i="5"/>
  <c r="AG21" i="5" s="1"/>
  <c r="CS23" i="5"/>
  <c r="AI21" i="5" s="1"/>
  <c r="CO31" i="5"/>
  <c r="AE30" i="5" s="1"/>
  <c r="CQ31" i="5"/>
  <c r="AG29" i="5" s="1"/>
  <c r="CO39" i="5"/>
  <c r="AE37" i="5" s="1"/>
  <c r="CQ39" i="5"/>
  <c r="AG37" i="5" s="1"/>
  <c r="CO42" i="5"/>
  <c r="CQ42" i="5"/>
  <c r="AG40" i="5" s="1"/>
  <c r="CJ23" i="5"/>
  <c r="Z22" i="5" s="1"/>
  <c r="CX26" i="5"/>
  <c r="AN24" i="5" s="1"/>
  <c r="CZ26" i="5"/>
  <c r="DB26" i="5"/>
  <c r="DD26" i="5"/>
  <c r="CV31" i="5"/>
  <c r="AL29" i="5" s="1"/>
  <c r="CX31" i="5"/>
  <c r="AN30" i="5" s="1"/>
  <c r="CZ31" i="5"/>
  <c r="DB31" i="5"/>
  <c r="DD31" i="5"/>
  <c r="CV39" i="5"/>
  <c r="CX39" i="5"/>
  <c r="AN37" i="5" s="1"/>
  <c r="CZ39" i="5"/>
  <c r="DB39" i="5"/>
  <c r="DD39" i="5"/>
  <c r="CV42" i="5"/>
  <c r="AL40" i="5" s="1"/>
  <c r="CX42" i="5"/>
  <c r="CZ42" i="5"/>
  <c r="AP41" i="5" s="1"/>
  <c r="DD42" i="5"/>
  <c r="AT41" i="5" s="1"/>
  <c r="DF23" i="5"/>
  <c r="AV22" i="5" s="1"/>
  <c r="DH23" i="5"/>
  <c r="AX21" i="5" s="1"/>
  <c r="DF26" i="5"/>
  <c r="AV25" i="5" s="1"/>
  <c r="DH26" i="5"/>
  <c r="DF31" i="5"/>
  <c r="AV29" i="5" s="1"/>
  <c r="DH31" i="5"/>
  <c r="AX29" i="5" s="1"/>
  <c r="DF39" i="5"/>
  <c r="AV38" i="5" s="1"/>
  <c r="DH39" i="5"/>
  <c r="DF42" i="5"/>
  <c r="AV40" i="5" s="1"/>
  <c r="DH42" i="5"/>
  <c r="AX40" i="5" s="1"/>
  <c r="CW48" i="5"/>
  <c r="CW49" i="5"/>
  <c r="CV48" i="5"/>
  <c r="CX48" i="5"/>
  <c r="CZ48" i="5"/>
  <c r="DD48" i="5"/>
  <c r="CV49" i="5"/>
  <c r="CX49" i="5"/>
  <c r="CZ49" i="5"/>
  <c r="DD49" i="5"/>
  <c r="BP31" i="5"/>
  <c r="F29" i="5" s="1"/>
  <c r="G22" i="5"/>
  <c r="G21" i="5"/>
  <c r="R13" i="5"/>
  <c r="CW46" i="5"/>
  <c r="CY46" i="5"/>
  <c r="DA46" i="5"/>
  <c r="DC46" i="5"/>
  <c r="CV46" i="5"/>
  <c r="CX46" i="5"/>
  <c r="CZ46" i="5"/>
  <c r="DB46" i="5"/>
  <c r="DD46" i="5"/>
  <c r="CN31" i="5"/>
  <c r="AD29" i="5" s="1"/>
  <c r="CP31" i="5"/>
  <c r="AF29" i="5" s="1"/>
  <c r="CR31" i="5"/>
  <c r="AH29" i="5" s="1"/>
  <c r="CT31" i="5"/>
  <c r="AJ29" i="5" s="1"/>
  <c r="CR39" i="5"/>
  <c r="AH38" i="5" s="1"/>
  <c r="AW41" i="5"/>
  <c r="AW40" i="5"/>
  <c r="DJ42" i="5"/>
  <c r="AU25" i="4"/>
  <c r="AU24" i="4"/>
  <c r="BR42" i="4"/>
  <c r="BQ42" i="4"/>
  <c r="CR42" i="4"/>
  <c r="CQ42" i="4"/>
  <c r="CP42" i="4"/>
  <c r="CO42" i="4"/>
  <c r="CN42" i="4"/>
  <c r="CL42" i="4"/>
  <c r="DH42" i="4"/>
  <c r="AX41" i="4" s="1"/>
  <c r="DG42" i="4"/>
  <c r="AW40" i="4" s="1"/>
  <c r="DF42" i="4"/>
  <c r="AV41" i="4" s="1"/>
  <c r="DE42" i="4"/>
  <c r="AU40" i="4" s="1"/>
  <c r="DD42" i="4"/>
  <c r="AT41" i="4" s="1"/>
  <c r="DA42" i="4"/>
  <c r="AQ40" i="4" s="1"/>
  <c r="CZ42" i="4"/>
  <c r="AP41" i="4" s="1"/>
  <c r="CY42" i="4"/>
  <c r="CX42" i="4"/>
  <c r="CW42" i="4"/>
  <c r="CV42" i="4"/>
  <c r="CT42" i="4"/>
  <c r="BR39" i="4"/>
  <c r="BQ39" i="4"/>
  <c r="BP39" i="4"/>
  <c r="BO39" i="4"/>
  <c r="CR39" i="4"/>
  <c r="CQ39" i="4"/>
  <c r="CP39" i="4"/>
  <c r="CO39" i="4"/>
  <c r="CN39" i="4"/>
  <c r="CL39" i="4"/>
  <c r="DI39" i="4"/>
  <c r="AY38" i="4" s="1"/>
  <c r="DH39" i="4"/>
  <c r="AX38" i="4" s="1"/>
  <c r="DG39" i="4"/>
  <c r="AW38" i="4" s="1"/>
  <c r="DF39" i="4"/>
  <c r="AV38" i="4" s="1"/>
  <c r="DE39" i="4"/>
  <c r="DD39" i="4"/>
  <c r="AT38" i="4" s="1"/>
  <c r="DC39" i="4"/>
  <c r="AS37" i="4" s="1"/>
  <c r="DB39" i="4"/>
  <c r="AR38" i="4" s="1"/>
  <c r="DA39" i="4"/>
  <c r="AQ37" i="4" s="1"/>
  <c r="CZ39" i="4"/>
  <c r="AP38" i="4" s="1"/>
  <c r="CX39" i="4"/>
  <c r="CW39" i="4"/>
  <c r="CV39" i="4"/>
  <c r="CT39" i="4"/>
  <c r="BR31" i="4"/>
  <c r="BQ31" i="4"/>
  <c r="BP31" i="4"/>
  <c r="CR31" i="4"/>
  <c r="CQ31" i="4"/>
  <c r="CP31" i="4"/>
  <c r="CO31" i="4"/>
  <c r="CN31" i="4"/>
  <c r="DI31" i="4"/>
  <c r="AY30" i="4" s="1"/>
  <c r="DH31" i="4"/>
  <c r="AX30" i="4" s="1"/>
  <c r="DG31" i="4"/>
  <c r="AW30" i="4" s="1"/>
  <c r="DF31" i="4"/>
  <c r="AV30" i="4" s="1"/>
  <c r="DD31" i="4"/>
  <c r="AT30" i="4" s="1"/>
  <c r="DC31" i="4"/>
  <c r="AS29" i="4" s="1"/>
  <c r="DB31" i="4"/>
  <c r="AR30" i="4" s="1"/>
  <c r="CZ31" i="4"/>
  <c r="AP30" i="4" s="1"/>
  <c r="CY31" i="4"/>
  <c r="CX31" i="4"/>
  <c r="CW31" i="4"/>
  <c r="CV31" i="4"/>
  <c r="CT31" i="4"/>
  <c r="CL26" i="4"/>
  <c r="DI26" i="4"/>
  <c r="AY25" i="4" s="1"/>
  <c r="DH26" i="4"/>
  <c r="AX25" i="4" s="1"/>
  <c r="DG26" i="4"/>
  <c r="AW25" i="4" s="1"/>
  <c r="DF26" i="4"/>
  <c r="AV25" i="4" s="1"/>
  <c r="DD26" i="4"/>
  <c r="AT25" i="4" s="1"/>
  <c r="DC26" i="4"/>
  <c r="AS24" i="4" s="1"/>
  <c r="DB26" i="4"/>
  <c r="AR25" i="4" s="1"/>
  <c r="DA26" i="4"/>
  <c r="AQ24" i="4" s="1"/>
  <c r="CZ26" i="4"/>
  <c r="AP25" i="4" s="1"/>
  <c r="CY26" i="4"/>
  <c r="AO25" i="4" s="1"/>
  <c r="CX26" i="4"/>
  <c r="AN25" i="4" s="1"/>
  <c r="CU26" i="4"/>
  <c r="AK25" i="4" s="1"/>
  <c r="CR23" i="4"/>
  <c r="CQ23" i="4"/>
  <c r="CP23" i="4"/>
  <c r="CO23" i="4"/>
  <c r="CN23" i="4"/>
  <c r="CM23" i="4"/>
  <c r="CL23" i="4"/>
  <c r="CK23" i="4"/>
  <c r="CJ23" i="4"/>
  <c r="CI23" i="4"/>
  <c r="DD23" i="4"/>
  <c r="AT22" i="4" s="1"/>
  <c r="DC23" i="4"/>
  <c r="AS21" i="4" s="1"/>
  <c r="DB23" i="4"/>
  <c r="AR22" i="4" s="1"/>
  <c r="DA23" i="4"/>
  <c r="AQ21" i="4" s="1"/>
  <c r="CZ23" i="4"/>
  <c r="AP22" i="4" s="1"/>
  <c r="CY23" i="4"/>
  <c r="CX23" i="4"/>
  <c r="CW23" i="4"/>
  <c r="CV23" i="4"/>
  <c r="CU23" i="4"/>
  <c r="CT23" i="4"/>
  <c r="CS23" i="4"/>
  <c r="CB20" i="4"/>
  <c r="CA20" i="4"/>
  <c r="BZ20" i="4"/>
  <c r="BY20" i="4"/>
  <c r="CR20" i="4"/>
  <c r="AH14" i="4" s="1"/>
  <c r="CQ20" i="4"/>
  <c r="CP20" i="4"/>
  <c r="AF14" i="4" s="1"/>
  <c r="CO20" i="4"/>
  <c r="CN20" i="4"/>
  <c r="CL20" i="4"/>
  <c r="CH20" i="4"/>
  <c r="DE20" i="4"/>
  <c r="AU18" i="4" s="1"/>
  <c r="DD20" i="4"/>
  <c r="AT18" i="4" s="1"/>
  <c r="DC20" i="4"/>
  <c r="AS16" i="4" s="1"/>
  <c r="DB20" i="4"/>
  <c r="AR18" i="4" s="1"/>
  <c r="DA20" i="4"/>
  <c r="AQ16" i="4" s="1"/>
  <c r="CZ20" i="4"/>
  <c r="AP18" i="4" s="1"/>
  <c r="CY20" i="4"/>
  <c r="CX20" i="4"/>
  <c r="AN13" i="4" s="1"/>
  <c r="CW20" i="4"/>
  <c r="CV20" i="4"/>
  <c r="AL13" i="4" s="1"/>
  <c r="CT20" i="4"/>
  <c r="AJ13" i="4" s="1"/>
  <c r="DI20" i="4"/>
  <c r="AY19" i="4" s="1"/>
  <c r="DH20" i="4"/>
  <c r="AX19" i="4" s="1"/>
  <c r="DG20" i="4"/>
  <c r="AW19" i="4" s="1"/>
  <c r="DJ20" i="4"/>
  <c r="AZ19" i="4" s="1"/>
  <c r="DH49" i="4"/>
  <c r="DG49" i="4"/>
  <c r="DF49" i="4"/>
  <c r="DE49" i="4"/>
  <c r="DD49" i="4"/>
  <c r="DA49" i="4"/>
  <c r="CZ49" i="4"/>
  <c r="CX49" i="4"/>
  <c r="CW49" i="4"/>
  <c r="CV49" i="4"/>
  <c r="DD48" i="4"/>
  <c r="DA48" i="4"/>
  <c r="CZ48" i="4"/>
  <c r="CZ50" i="4" s="1"/>
  <c r="CX48" i="4"/>
  <c r="CW48" i="4"/>
  <c r="CV48" i="4"/>
  <c r="CV50" i="4" s="1"/>
  <c r="CU45" i="4"/>
  <c r="CU44" i="4"/>
  <c r="DE44" i="4"/>
  <c r="DE46" i="4" s="1"/>
  <c r="DF44" i="4"/>
  <c r="DG44" i="4"/>
  <c r="DH44" i="4"/>
  <c r="DJ44" i="4"/>
  <c r="E24" i="4"/>
  <c r="E25" i="4"/>
  <c r="DI44" i="4"/>
  <c r="DI46" i="4" s="1"/>
  <c r="DJ42" i="4"/>
  <c r="AZ41" i="4" s="1"/>
  <c r="DI41" i="4"/>
  <c r="DI41" i="5" s="1"/>
  <c r="DC41" i="4"/>
  <c r="DB41" i="4"/>
  <c r="CU41" i="4"/>
  <c r="CS41" i="4"/>
  <c r="CM41" i="4"/>
  <c r="CK41" i="4"/>
  <c r="CJ41" i="4"/>
  <c r="CI41" i="4"/>
  <c r="F41" i="4"/>
  <c r="E41" i="4"/>
  <c r="DI40" i="4"/>
  <c r="DI40" i="5" s="1"/>
  <c r="DC40" i="4"/>
  <c r="DB40" i="4"/>
  <c r="CU40" i="4"/>
  <c r="CS40" i="4"/>
  <c r="CM40" i="4"/>
  <c r="CK40" i="4"/>
  <c r="CJ40" i="4"/>
  <c r="CI40" i="4"/>
  <c r="F40" i="4"/>
  <c r="E40" i="4"/>
  <c r="DJ39" i="4"/>
  <c r="AZ38" i="4" s="1"/>
  <c r="CY38" i="4"/>
  <c r="CU38" i="4"/>
  <c r="CS38" i="4"/>
  <c r="CS49" i="4" s="1"/>
  <c r="CM38" i="4"/>
  <c r="CK38" i="4"/>
  <c r="CK49" i="4" s="1"/>
  <c r="CJ38" i="4"/>
  <c r="CJ49" i="4" s="1"/>
  <c r="CI38" i="4"/>
  <c r="CY37" i="4"/>
  <c r="CU37" i="4"/>
  <c r="CS37" i="4"/>
  <c r="CM37" i="4"/>
  <c r="CK37" i="4"/>
  <c r="CJ37" i="4"/>
  <c r="CI37" i="4"/>
  <c r="DJ31" i="4"/>
  <c r="AZ30" i="4" s="1"/>
  <c r="DA30" i="4"/>
  <c r="CU30" i="4"/>
  <c r="CS30" i="4"/>
  <c r="CM30" i="4"/>
  <c r="CL30" i="4"/>
  <c r="CK30" i="4"/>
  <c r="CJ30" i="4"/>
  <c r="CI30" i="4"/>
  <c r="DA29" i="4"/>
  <c r="CU29" i="4"/>
  <c r="CS29" i="4"/>
  <c r="CM29" i="4"/>
  <c r="CL29" i="4"/>
  <c r="CK29" i="4"/>
  <c r="CJ29" i="4"/>
  <c r="CI29" i="4"/>
  <c r="DJ26" i="4"/>
  <c r="AZ25" i="4" s="1"/>
  <c r="CW25" i="4"/>
  <c r="CV25" i="4"/>
  <c r="CT25" i="4"/>
  <c r="CS25" i="4"/>
  <c r="CR25" i="4"/>
  <c r="CQ25" i="4"/>
  <c r="CP25" i="4"/>
  <c r="CO25" i="4"/>
  <c r="CN25" i="4"/>
  <c r="CM25" i="4"/>
  <c r="CK25" i="4"/>
  <c r="CJ25" i="4"/>
  <c r="CI25" i="4"/>
  <c r="H25" i="4"/>
  <c r="G25" i="4"/>
  <c r="F25" i="4"/>
  <c r="CW24" i="4"/>
  <c r="CV24" i="4"/>
  <c r="CT24" i="4"/>
  <c r="CS24" i="4"/>
  <c r="CR24" i="4"/>
  <c r="CQ24" i="4"/>
  <c r="CP24" i="4"/>
  <c r="CO24" i="4"/>
  <c r="CN24" i="4"/>
  <c r="CM24" i="4"/>
  <c r="CK24" i="4"/>
  <c r="CJ24" i="4"/>
  <c r="CI24" i="4"/>
  <c r="H24" i="4"/>
  <c r="G24" i="4"/>
  <c r="F24" i="4"/>
  <c r="DJ23" i="4"/>
  <c r="DI23" i="4"/>
  <c r="DH23" i="4"/>
  <c r="DG23" i="4"/>
  <c r="DF23" i="4"/>
  <c r="DE23" i="4"/>
  <c r="BR23" i="4"/>
  <c r="BQ23" i="4"/>
  <c r="BP23" i="4"/>
  <c r="BO23" i="4"/>
  <c r="DF18" i="4"/>
  <c r="CU18" i="4"/>
  <c r="CS18" i="4"/>
  <c r="CK18" i="4"/>
  <c r="CJ18" i="4"/>
  <c r="CI18" i="4"/>
  <c r="DF19" i="4"/>
  <c r="DF12" i="4"/>
  <c r="CU12" i="4"/>
  <c r="CS12" i="4"/>
  <c r="CM12" i="4"/>
  <c r="CK12" i="4"/>
  <c r="CJ12" i="4"/>
  <c r="CI12" i="4"/>
  <c r="DF17" i="4"/>
  <c r="DF15" i="4"/>
  <c r="CU14" i="4"/>
  <c r="CS14" i="4"/>
  <c r="CM14" i="4"/>
  <c r="CK14" i="4"/>
  <c r="CJ14" i="4"/>
  <c r="CI14" i="4"/>
  <c r="DF13" i="4"/>
  <c r="CU13" i="4"/>
  <c r="CS13" i="4"/>
  <c r="CM13" i="4"/>
  <c r="CK13" i="4"/>
  <c r="CJ13" i="4"/>
  <c r="CI13" i="4"/>
  <c r="DF16" i="4"/>
  <c r="CU16" i="4"/>
  <c r="CS16" i="4"/>
  <c r="CM16" i="4"/>
  <c r="CK16" i="4"/>
  <c r="CJ16" i="4"/>
  <c r="CI16" i="4"/>
  <c r="CU11" i="4"/>
  <c r="CS11" i="4"/>
  <c r="CM11" i="4"/>
  <c r="CK11" i="4"/>
  <c r="CJ11" i="4"/>
  <c r="CI11" i="4"/>
  <c r="DF10" i="4"/>
  <c r="DF10" i="5" s="1"/>
  <c r="CU10" i="4"/>
  <c r="CS10" i="4"/>
  <c r="CR9" i="4"/>
  <c r="CQ9" i="4"/>
  <c r="CP9" i="4"/>
  <c r="CO9" i="4"/>
  <c r="CN9" i="4"/>
  <c r="CL9" i="4"/>
  <c r="DD49" i="3"/>
  <c r="DC49" i="3"/>
  <c r="CZ49" i="3"/>
  <c r="CX49" i="3"/>
  <c r="CW49" i="3"/>
  <c r="CV49" i="3"/>
  <c r="DD48" i="3"/>
  <c r="DC48" i="3"/>
  <c r="CZ48" i="3"/>
  <c r="CZ50" i="3" s="1"/>
  <c r="CX48" i="3"/>
  <c r="CX50" i="3" s="1"/>
  <c r="CW48" i="3"/>
  <c r="CV48" i="3"/>
  <c r="CV50" i="3" s="1"/>
  <c r="BQ42" i="3"/>
  <c r="BR42" i="3"/>
  <c r="BP42" i="3"/>
  <c r="BO42" i="3"/>
  <c r="E41" i="3" s="1"/>
  <c r="CR42" i="3"/>
  <c r="AH41" i="3" s="1"/>
  <c r="CQ42" i="3"/>
  <c r="AG40" i="3" s="1"/>
  <c r="CP42" i="3"/>
  <c r="AF41" i="3" s="1"/>
  <c r="CO42" i="3"/>
  <c r="AE40" i="3" s="1"/>
  <c r="CN42" i="3"/>
  <c r="AD41" i="3" s="1"/>
  <c r="CL42" i="3"/>
  <c r="AB41" i="3" s="1"/>
  <c r="DI42" i="3"/>
  <c r="AY41" i="3" s="1"/>
  <c r="DH42" i="3"/>
  <c r="AX40" i="3" s="1"/>
  <c r="DG42" i="3"/>
  <c r="AW41" i="3" s="1"/>
  <c r="DF42" i="3"/>
  <c r="AV40" i="3" s="1"/>
  <c r="DE42" i="3"/>
  <c r="AU41" i="3" s="1"/>
  <c r="DD42" i="3"/>
  <c r="AT40" i="3" s="1"/>
  <c r="DC42" i="3"/>
  <c r="AS41" i="3" s="1"/>
  <c r="DA42" i="3"/>
  <c r="AQ41" i="3" s="1"/>
  <c r="CZ42" i="3"/>
  <c r="AP40" i="3" s="1"/>
  <c r="CY42" i="3"/>
  <c r="AO41" i="3" s="1"/>
  <c r="CX42" i="3"/>
  <c r="AN40" i="3" s="1"/>
  <c r="CW42" i="3"/>
  <c r="AM41" i="3" s="1"/>
  <c r="CV42" i="3"/>
  <c r="AL40" i="3" s="1"/>
  <c r="BR39" i="3"/>
  <c r="BQ39" i="3"/>
  <c r="BP39" i="3"/>
  <c r="BO39" i="3"/>
  <c r="E38" i="3" s="1"/>
  <c r="CR39" i="3"/>
  <c r="AH38" i="3" s="1"/>
  <c r="CQ39" i="3"/>
  <c r="AG37" i="3" s="1"/>
  <c r="CP39" i="3"/>
  <c r="AF38" i="3" s="1"/>
  <c r="CO39" i="3"/>
  <c r="AE37" i="3" s="1"/>
  <c r="CN39" i="3"/>
  <c r="AD38" i="3" s="1"/>
  <c r="CL39" i="3"/>
  <c r="AB38" i="3" s="1"/>
  <c r="DI39" i="3"/>
  <c r="AY38" i="3" s="1"/>
  <c r="DH39" i="3"/>
  <c r="AX37" i="3" s="1"/>
  <c r="DG39" i="3"/>
  <c r="AW37" i="3" s="1"/>
  <c r="DF39" i="3"/>
  <c r="AV37" i="3" s="1"/>
  <c r="DE39" i="3"/>
  <c r="AU38" i="3" s="1"/>
  <c r="DD39" i="3"/>
  <c r="AT37" i="3" s="1"/>
  <c r="DC39" i="3"/>
  <c r="AS38" i="3" s="1"/>
  <c r="DB39" i="3"/>
  <c r="AR37" i="3" s="1"/>
  <c r="CZ39" i="3"/>
  <c r="AP37" i="3" s="1"/>
  <c r="CX39" i="3"/>
  <c r="AN37" i="3" s="1"/>
  <c r="CW39" i="3"/>
  <c r="AM38" i="3" s="1"/>
  <c r="CV39" i="3"/>
  <c r="AL37" i="3" s="1"/>
  <c r="BR31" i="3"/>
  <c r="H30" i="3" s="1"/>
  <c r="BQ31" i="3"/>
  <c r="BP31" i="3"/>
  <c r="CR31" i="3"/>
  <c r="AH30" i="3" s="1"/>
  <c r="CQ31" i="3"/>
  <c r="AG29" i="3" s="1"/>
  <c r="CP31" i="3"/>
  <c r="AF30" i="3" s="1"/>
  <c r="CO31" i="3"/>
  <c r="AE29" i="3" s="1"/>
  <c r="CN31" i="3"/>
  <c r="AD30" i="3" s="1"/>
  <c r="DI31" i="3"/>
  <c r="AY30" i="3" s="1"/>
  <c r="DH31" i="3"/>
  <c r="AX30" i="3" s="1"/>
  <c r="DG31" i="3"/>
  <c r="AW29" i="3" s="1"/>
  <c r="DF31" i="3"/>
  <c r="AV30" i="3" s="1"/>
  <c r="DE31" i="3"/>
  <c r="AU30" i="3" s="1"/>
  <c r="DD31" i="3"/>
  <c r="AT29" i="3" s="1"/>
  <c r="DC31" i="3"/>
  <c r="AS30" i="3" s="1"/>
  <c r="DB31" i="3"/>
  <c r="AR29" i="3" s="1"/>
  <c r="CZ31" i="3"/>
  <c r="AP29" i="3" s="1"/>
  <c r="CY31" i="3"/>
  <c r="AO30" i="3" s="1"/>
  <c r="CX31" i="3"/>
  <c r="AN29" i="3" s="1"/>
  <c r="CW31" i="3"/>
  <c r="AM30" i="3" s="1"/>
  <c r="CV31" i="3"/>
  <c r="AL29" i="3" s="1"/>
  <c r="CT31" i="3"/>
  <c r="AJ29" i="3" s="1"/>
  <c r="DI26" i="3"/>
  <c r="AY24" i="3" s="1"/>
  <c r="DH26" i="3"/>
  <c r="AX24" i="3" s="1"/>
  <c r="DG26" i="3"/>
  <c r="AW24" i="3" s="1"/>
  <c r="DF26" i="3"/>
  <c r="AV25" i="3" s="1"/>
  <c r="DE26" i="3"/>
  <c r="AU25" i="3" s="1"/>
  <c r="DD26" i="3"/>
  <c r="AT24" i="3" s="1"/>
  <c r="DC26" i="3"/>
  <c r="AS25" i="3" s="1"/>
  <c r="DB26" i="3"/>
  <c r="AR24" i="3" s="1"/>
  <c r="DA26" i="3"/>
  <c r="AQ25" i="3" s="1"/>
  <c r="CZ26" i="3"/>
  <c r="AP24" i="3" s="1"/>
  <c r="CY26" i="3"/>
  <c r="AO25" i="3" s="1"/>
  <c r="CX26" i="3"/>
  <c r="AN24" i="3" s="1"/>
  <c r="BR23" i="3"/>
  <c r="BQ23" i="3"/>
  <c r="G21" i="3" s="1"/>
  <c r="BP23" i="3"/>
  <c r="BO23" i="3"/>
  <c r="CR23" i="3"/>
  <c r="AH22" i="3" s="1"/>
  <c r="CQ23" i="3"/>
  <c r="AG21" i="3" s="1"/>
  <c r="CP23" i="3"/>
  <c r="AF22" i="3" s="1"/>
  <c r="CO23" i="3"/>
  <c r="AE21" i="3" s="1"/>
  <c r="CN23" i="3"/>
  <c r="AD22" i="3" s="1"/>
  <c r="CM23" i="3"/>
  <c r="AC21" i="3" s="1"/>
  <c r="CL23" i="3"/>
  <c r="AB22" i="3" s="1"/>
  <c r="CK23" i="3"/>
  <c r="AA21" i="3" s="1"/>
  <c r="CJ23" i="3"/>
  <c r="Z22" i="3" s="1"/>
  <c r="CI23" i="3"/>
  <c r="Y21" i="3" s="1"/>
  <c r="DI23" i="3"/>
  <c r="AY21" i="3" s="1"/>
  <c r="DH23" i="3"/>
  <c r="AX22" i="3" s="1"/>
  <c r="DG23" i="3"/>
  <c r="AW22" i="3" s="1"/>
  <c r="DF23" i="3"/>
  <c r="AV22" i="3" s="1"/>
  <c r="DE23" i="3"/>
  <c r="AU22" i="3" s="1"/>
  <c r="DD23" i="3"/>
  <c r="AT22" i="3" s="1"/>
  <c r="DC23" i="3"/>
  <c r="AS22" i="3" s="1"/>
  <c r="DB23" i="3"/>
  <c r="AR21" i="3" s="1"/>
  <c r="DA23" i="3"/>
  <c r="AQ22" i="3" s="1"/>
  <c r="CZ23" i="3"/>
  <c r="AP22" i="3" s="1"/>
  <c r="CY23" i="3"/>
  <c r="AO22" i="3" s="1"/>
  <c r="CX23" i="3"/>
  <c r="AN21" i="3" s="1"/>
  <c r="CW23" i="3"/>
  <c r="AM22" i="3" s="1"/>
  <c r="CV23" i="3"/>
  <c r="AL22" i="3" s="1"/>
  <c r="CU23" i="3"/>
  <c r="AK22" i="3" s="1"/>
  <c r="CT23" i="3"/>
  <c r="AJ21" i="3" s="1"/>
  <c r="CS23" i="3"/>
  <c r="AI21" i="3" s="1"/>
  <c r="CB20" i="3"/>
  <c r="CA20" i="3"/>
  <c r="Q16" i="3" s="1"/>
  <c r="BZ20" i="3"/>
  <c r="BY20" i="3"/>
  <c r="CH20" i="3"/>
  <c r="CQ20" i="3"/>
  <c r="AG16" i="3" s="1"/>
  <c r="CP20" i="3"/>
  <c r="CO20" i="3"/>
  <c r="AE18" i="3" s="1"/>
  <c r="CN20" i="3"/>
  <c r="CL20" i="3"/>
  <c r="DD20" i="3"/>
  <c r="AT16" i="3" s="1"/>
  <c r="DC20" i="3"/>
  <c r="AS18" i="3" s="1"/>
  <c r="DB20" i="3"/>
  <c r="AR16" i="3" s="1"/>
  <c r="CZ20" i="3"/>
  <c r="AP16" i="3" s="1"/>
  <c r="CY20" i="3"/>
  <c r="AO18" i="3" s="1"/>
  <c r="CX20" i="3"/>
  <c r="AN16" i="3" s="1"/>
  <c r="CW20" i="3"/>
  <c r="AM18" i="3" s="1"/>
  <c r="CV20" i="3"/>
  <c r="AL16" i="3" s="1"/>
  <c r="CT20" i="3"/>
  <c r="AJ16" i="3" s="1"/>
  <c r="CR20" i="3"/>
  <c r="DE20" i="3"/>
  <c r="AU18" i="3" s="1"/>
  <c r="DJ20" i="3"/>
  <c r="AZ19" i="3" s="1"/>
  <c r="DH49" i="3"/>
  <c r="DG49" i="3"/>
  <c r="DF49" i="3"/>
  <c r="DE49" i="3"/>
  <c r="DH48" i="3"/>
  <c r="DG48" i="3"/>
  <c r="DF48" i="3"/>
  <c r="DE48" i="3"/>
  <c r="DI49" i="3"/>
  <c r="DI48" i="3"/>
  <c r="DJ49" i="3"/>
  <c r="DJ48" i="3"/>
  <c r="AX38" i="3" l="1"/>
  <c r="AV41" i="3"/>
  <c r="CM48" i="4"/>
  <c r="AY40" i="3"/>
  <c r="AV24" i="3"/>
  <c r="AX25" i="3"/>
  <c r="AY37" i="3"/>
  <c r="AW25" i="3"/>
  <c r="AU21" i="3"/>
  <c r="AY22" i="3"/>
  <c r="AU29" i="3"/>
  <c r="DJ48" i="4"/>
  <c r="DJ46" i="4"/>
  <c r="CI48" i="4"/>
  <c r="DH48" i="4"/>
  <c r="DH46" i="4"/>
  <c r="DG50" i="3"/>
  <c r="AY29" i="3"/>
  <c r="CW26" i="4"/>
  <c r="AM25" i="4" s="1"/>
  <c r="DG48" i="4"/>
  <c r="DG50" i="4" s="1"/>
  <c r="DG46" i="4"/>
  <c r="DF48" i="4"/>
  <c r="DF50" i="4" s="1"/>
  <c r="DF46" i="4"/>
  <c r="CS26" i="4"/>
  <c r="AI25" i="4" s="1"/>
  <c r="CU46" i="4"/>
  <c r="AU37" i="3"/>
  <c r="AW30" i="3"/>
  <c r="Q13" i="5"/>
  <c r="DE50" i="3"/>
  <c r="AY25" i="3"/>
  <c r="R11" i="5"/>
  <c r="R16" i="5"/>
  <c r="R18" i="5"/>
  <c r="CV26" i="4"/>
  <c r="AL25" i="4" s="1"/>
  <c r="CS31" i="4"/>
  <c r="AI30" i="4" s="1"/>
  <c r="AU41" i="5"/>
  <c r="R12" i="5"/>
  <c r="Q18" i="5"/>
  <c r="E21" i="5"/>
  <c r="DH50" i="3"/>
  <c r="AX41" i="3"/>
  <c r="CJ48" i="4"/>
  <c r="CJ50" i="4" s="1"/>
  <c r="CI49" i="4"/>
  <c r="Q11" i="5"/>
  <c r="AU40" i="3"/>
  <c r="AW21" i="3"/>
  <c r="CJ31" i="4"/>
  <c r="Z30" i="4" s="1"/>
  <c r="Q12" i="5"/>
  <c r="CL31" i="4"/>
  <c r="AB30" i="4" s="1"/>
  <c r="Q14" i="5"/>
  <c r="AU24" i="3"/>
  <c r="DF50" i="3"/>
  <c r="AW38" i="3"/>
  <c r="CT26" i="4"/>
  <c r="AJ25" i="4" s="1"/>
  <c r="CQ50" i="5"/>
  <c r="AK21" i="5"/>
  <c r="O14" i="5"/>
  <c r="O11" i="5"/>
  <c r="O16" i="5"/>
  <c r="O12" i="5"/>
  <c r="O18" i="5"/>
  <c r="P13" i="5"/>
  <c r="P14" i="5"/>
  <c r="AN21" i="5"/>
  <c r="F21" i="5"/>
  <c r="CS39" i="4"/>
  <c r="AI38" i="4" s="1"/>
  <c r="CS48" i="4"/>
  <c r="CS50" i="4" s="1"/>
  <c r="CU49" i="4"/>
  <c r="CM42" i="4"/>
  <c r="AC41" i="4" s="1"/>
  <c r="CW50" i="4"/>
  <c r="DD50" i="4"/>
  <c r="P11" i="5"/>
  <c r="P16" i="5"/>
  <c r="CK48" i="4"/>
  <c r="CK50" i="4" s="1"/>
  <c r="CY39" i="4"/>
  <c r="AO38" i="4" s="1"/>
  <c r="CM49" i="4"/>
  <c r="CM50" i="4" s="1"/>
  <c r="DH50" i="4"/>
  <c r="CX50" i="4"/>
  <c r="AM29" i="5"/>
  <c r="P12" i="5"/>
  <c r="H21" i="5"/>
  <c r="AO21" i="5"/>
  <c r="AW40" i="3"/>
  <c r="AU37" i="5"/>
  <c r="CW50" i="3"/>
  <c r="DD50" i="3"/>
  <c r="AV38" i="3"/>
  <c r="AW21" i="5"/>
  <c r="AL21" i="5"/>
  <c r="AR21" i="5"/>
  <c r="AY38" i="5"/>
  <c r="AU25" i="5"/>
  <c r="CR50" i="5"/>
  <c r="AQ40" i="5"/>
  <c r="AM22" i="5"/>
  <c r="X13" i="5"/>
  <c r="AS22" i="5"/>
  <c r="AP22" i="5"/>
  <c r="AM13" i="5"/>
  <c r="AQ21" i="5"/>
  <c r="AX16" i="5"/>
  <c r="AE22" i="5"/>
  <c r="AG38" i="5"/>
  <c r="AW11" i="5"/>
  <c r="AU30" i="5"/>
  <c r="AN14" i="5"/>
  <c r="AF22" i="5"/>
  <c r="X18" i="5"/>
  <c r="AT21" i="5"/>
  <c r="AW38" i="5"/>
  <c r="AY22" i="5"/>
  <c r="CO50" i="5"/>
  <c r="AU38" i="4"/>
  <c r="AU37" i="4"/>
  <c r="AY11" i="5"/>
  <c r="AU14" i="5"/>
  <c r="AN38" i="5"/>
  <c r="AO29" i="5"/>
  <c r="AG30" i="5"/>
  <c r="AX11" i="5"/>
  <c r="AN25" i="5"/>
  <c r="AM41" i="5"/>
  <c r="AF12" i="5"/>
  <c r="AF13" i="5"/>
  <c r="AF37" i="5"/>
  <c r="AF16" i="5"/>
  <c r="AI22" i="5"/>
  <c r="Y21" i="5"/>
  <c r="X12" i="5"/>
  <c r="AX30" i="5"/>
  <c r="AU11" i="5"/>
  <c r="AX41" i="5"/>
  <c r="AX22" i="5"/>
  <c r="AT40" i="5"/>
  <c r="AN29" i="5"/>
  <c r="AN12" i="5"/>
  <c r="AN18" i="5"/>
  <c r="AO13" i="5"/>
  <c r="AF14" i="5"/>
  <c r="AF41" i="5"/>
  <c r="AE38" i="5"/>
  <c r="AJ22" i="5"/>
  <c r="AC21" i="5"/>
  <c r="AF11" i="5"/>
  <c r="X11" i="5"/>
  <c r="X16" i="5"/>
  <c r="AG22" i="5"/>
  <c r="AB22" i="5"/>
  <c r="AY16" i="5"/>
  <c r="AW29" i="5"/>
  <c r="AY25" i="5"/>
  <c r="AO11" i="5"/>
  <c r="AD16" i="5"/>
  <c r="AU13" i="3"/>
  <c r="AO11" i="3"/>
  <c r="AM13" i="3"/>
  <c r="AS13" i="3"/>
  <c r="AO16" i="3"/>
  <c r="AK21" i="3"/>
  <c r="AO21" i="3"/>
  <c r="AS21" i="3"/>
  <c r="AT25" i="3"/>
  <c r="AS37" i="3"/>
  <c r="AE11" i="3"/>
  <c r="AE13" i="3"/>
  <c r="AE16" i="3"/>
  <c r="Z21" i="3"/>
  <c r="AH21" i="3"/>
  <c r="AD29" i="3"/>
  <c r="AB37" i="3"/>
  <c r="AE41" i="3"/>
  <c r="Q14" i="3"/>
  <c r="E40" i="3"/>
  <c r="AU11" i="3"/>
  <c r="AU16" i="3"/>
  <c r="AM11" i="3"/>
  <c r="AS11" i="3"/>
  <c r="AO13" i="3"/>
  <c r="AM16" i="3"/>
  <c r="AS16" i="3"/>
  <c r="AM21" i="3"/>
  <c r="AQ21" i="3"/>
  <c r="AP25" i="3"/>
  <c r="AM29" i="3"/>
  <c r="AN41" i="3"/>
  <c r="AG12" i="3"/>
  <c r="AG14" i="3"/>
  <c r="AG18" i="3"/>
  <c r="AD21" i="3"/>
  <c r="AI22" i="3"/>
  <c r="AH29" i="3"/>
  <c r="AF37" i="3"/>
  <c r="Q12" i="3"/>
  <c r="Q18" i="3"/>
  <c r="AZ11" i="3"/>
  <c r="AZ13" i="3"/>
  <c r="AZ16" i="3"/>
  <c r="AZ18" i="3"/>
  <c r="AH18" i="3"/>
  <c r="AH16" i="3"/>
  <c r="AH14" i="3"/>
  <c r="AH13" i="3"/>
  <c r="AH12" i="3"/>
  <c r="AH11" i="3"/>
  <c r="AB18" i="3"/>
  <c r="AB16" i="3"/>
  <c r="AB14" i="3"/>
  <c r="AB13" i="3"/>
  <c r="AB12" i="3"/>
  <c r="AB11" i="3"/>
  <c r="AD18" i="3"/>
  <c r="AD16" i="3"/>
  <c r="AD14" i="3"/>
  <c r="AD13" i="3"/>
  <c r="AD12" i="3"/>
  <c r="AD11" i="3"/>
  <c r="AF18" i="3"/>
  <c r="AF16" i="3"/>
  <c r="AF14" i="3"/>
  <c r="AF13" i="3"/>
  <c r="AF12" i="3"/>
  <c r="AF11" i="3"/>
  <c r="X16" i="3"/>
  <c r="X13" i="3"/>
  <c r="X12" i="3"/>
  <c r="X11" i="3"/>
  <c r="P18" i="3"/>
  <c r="P16" i="3"/>
  <c r="P14" i="3"/>
  <c r="P13" i="3"/>
  <c r="P12" i="3"/>
  <c r="P11" i="3"/>
  <c r="R18" i="3"/>
  <c r="R16" i="3"/>
  <c r="R14" i="3"/>
  <c r="R13" i="3"/>
  <c r="R12" i="3"/>
  <c r="R11" i="3"/>
  <c r="E22" i="3"/>
  <c r="E21" i="3"/>
  <c r="F30" i="3"/>
  <c r="F29" i="3"/>
  <c r="G38" i="3"/>
  <c r="G37" i="3"/>
  <c r="F41" i="3"/>
  <c r="F40" i="3"/>
  <c r="G41" i="3"/>
  <c r="G40" i="3"/>
  <c r="AJ12" i="3"/>
  <c r="AL12" i="3"/>
  <c r="AN12" i="3"/>
  <c r="AP12" i="3"/>
  <c r="AR12" i="3"/>
  <c r="AT12" i="3"/>
  <c r="AJ14" i="3"/>
  <c r="AL14" i="3"/>
  <c r="AN14" i="3"/>
  <c r="AP14" i="3"/>
  <c r="AR14" i="3"/>
  <c r="AT14" i="3"/>
  <c r="AJ18" i="3"/>
  <c r="AL18" i="3"/>
  <c r="AN18" i="3"/>
  <c r="AP18" i="3"/>
  <c r="AR18" i="3"/>
  <c r="AT18" i="3"/>
  <c r="AJ22" i="3"/>
  <c r="AN22" i="3"/>
  <c r="AR22" i="3"/>
  <c r="AO24" i="3"/>
  <c r="AS24" i="3"/>
  <c r="AJ30" i="3"/>
  <c r="AN30" i="3"/>
  <c r="AR30" i="3"/>
  <c r="AL38" i="3"/>
  <c r="AP38" i="3"/>
  <c r="AT38" i="3"/>
  <c r="AM40" i="3"/>
  <c r="AQ40" i="3"/>
  <c r="AA22" i="3"/>
  <c r="AE22" i="3"/>
  <c r="AE30" i="3"/>
  <c r="AG38" i="3"/>
  <c r="AD40" i="3"/>
  <c r="AH40" i="3"/>
  <c r="X18" i="3"/>
  <c r="G22" i="3"/>
  <c r="E37" i="3"/>
  <c r="AT14" i="5"/>
  <c r="AT16" i="5"/>
  <c r="AT11" i="5"/>
  <c r="AT13" i="5"/>
  <c r="AP13" i="5"/>
  <c r="AP16" i="5"/>
  <c r="AP11" i="5"/>
  <c r="AL16" i="5"/>
  <c r="AL13" i="5"/>
  <c r="AL11" i="5"/>
  <c r="AL14" i="5"/>
  <c r="AZ12" i="3"/>
  <c r="AZ15" i="3"/>
  <c r="AZ17" i="3"/>
  <c r="AV21" i="3"/>
  <c r="AX21" i="3"/>
  <c r="AV29" i="3"/>
  <c r="AX29" i="3"/>
  <c r="AU12" i="3"/>
  <c r="AU14" i="3"/>
  <c r="O18" i="3"/>
  <c r="O16" i="3"/>
  <c r="O14" i="3"/>
  <c r="O13" i="3"/>
  <c r="O12" i="3"/>
  <c r="O11" i="3"/>
  <c r="F22" i="3"/>
  <c r="F21" i="3"/>
  <c r="H22" i="3"/>
  <c r="H21" i="3"/>
  <c r="G29" i="3"/>
  <c r="G30" i="3"/>
  <c r="F38" i="3"/>
  <c r="F37" i="3"/>
  <c r="H38" i="3"/>
  <c r="H37" i="3"/>
  <c r="H41" i="3"/>
  <c r="H40" i="3"/>
  <c r="AJ11" i="3"/>
  <c r="AL11" i="3"/>
  <c r="AN11" i="3"/>
  <c r="AP11" i="3"/>
  <c r="AR11" i="3"/>
  <c r="AT11" i="3"/>
  <c r="AM12" i="3"/>
  <c r="AO12" i="3"/>
  <c r="AS12" i="3"/>
  <c r="AJ13" i="3"/>
  <c r="AL13" i="3"/>
  <c r="AN13" i="3"/>
  <c r="AP13" i="3"/>
  <c r="AR13" i="3"/>
  <c r="AT13" i="3"/>
  <c r="AM14" i="3"/>
  <c r="AO14" i="3"/>
  <c r="AS14" i="3"/>
  <c r="AL21" i="3"/>
  <c r="AP21" i="3"/>
  <c r="AT21" i="3"/>
  <c r="AQ24" i="3"/>
  <c r="AN25" i="3"/>
  <c r="AR25" i="3"/>
  <c r="AO29" i="3"/>
  <c r="AS29" i="3"/>
  <c r="AL30" i="3"/>
  <c r="AP30" i="3"/>
  <c r="AT30" i="3"/>
  <c r="AM37" i="3"/>
  <c r="AN38" i="3"/>
  <c r="AR38" i="3"/>
  <c r="AO40" i="3"/>
  <c r="AS40" i="3"/>
  <c r="AL41" i="3"/>
  <c r="AP41" i="3"/>
  <c r="AT41" i="3"/>
  <c r="AG11" i="3"/>
  <c r="AE12" i="3"/>
  <c r="AG13" i="3"/>
  <c r="AE14" i="3"/>
  <c r="AB21" i="3"/>
  <c r="AF21" i="3"/>
  <c r="Y22" i="3"/>
  <c r="AC22" i="3"/>
  <c r="AG22" i="3"/>
  <c r="AF29" i="3"/>
  <c r="AG30" i="3"/>
  <c r="AD37" i="3"/>
  <c r="AH37" i="3"/>
  <c r="AE38" i="3"/>
  <c r="AB40" i="3"/>
  <c r="AF40" i="3"/>
  <c r="AG41" i="3"/>
  <c r="X14" i="3"/>
  <c r="Q11" i="3"/>
  <c r="Q13" i="3"/>
  <c r="H29" i="3"/>
  <c r="AL12" i="5"/>
  <c r="AJ12" i="5"/>
  <c r="AJ16" i="5"/>
  <c r="AJ14" i="5"/>
  <c r="AJ18" i="5"/>
  <c r="AJ13" i="5"/>
  <c r="AW19" i="5"/>
  <c r="AW17" i="5"/>
  <c r="AW15" i="5"/>
  <c r="AW12" i="5"/>
  <c r="AW18" i="5"/>
  <c r="AW13" i="5"/>
  <c r="AS12" i="5"/>
  <c r="AS18" i="5"/>
  <c r="DC50" i="3"/>
  <c r="AX37" i="5"/>
  <c r="AX38" i="5"/>
  <c r="AX24" i="5"/>
  <c r="AX25" i="5"/>
  <c r="AN41" i="5"/>
  <c r="AN40" i="5"/>
  <c r="AL38" i="5"/>
  <c r="AL37" i="5"/>
  <c r="AO18" i="5"/>
  <c r="AO14" i="5"/>
  <c r="AO12" i="5"/>
  <c r="AU18" i="5"/>
  <c r="AU12" i="5"/>
  <c r="AU13" i="5"/>
  <c r="AA21" i="5"/>
  <c r="AA22" i="5"/>
  <c r="AH40" i="5"/>
  <c r="AH41" i="5"/>
  <c r="AD40" i="5"/>
  <c r="AD41" i="5"/>
  <c r="AH13" i="5"/>
  <c r="AH12" i="5"/>
  <c r="AT18" i="5"/>
  <c r="AT12" i="5"/>
  <c r="AX13" i="5"/>
  <c r="AX18" i="5"/>
  <c r="AY13" i="5"/>
  <c r="AY18" i="5"/>
  <c r="AV41" i="5"/>
  <c r="AV37" i="5"/>
  <c r="AV30" i="5"/>
  <c r="AV24" i="5"/>
  <c r="AV21" i="5"/>
  <c r="AY30" i="5"/>
  <c r="AW25" i="5"/>
  <c r="AU22" i="5"/>
  <c r="AP40" i="5"/>
  <c r="AL41" i="5"/>
  <c r="AL30" i="5"/>
  <c r="AN11" i="5"/>
  <c r="AN13" i="5"/>
  <c r="AM37" i="5"/>
  <c r="AM11" i="5"/>
  <c r="AM16" i="5"/>
  <c r="AH14" i="5"/>
  <c r="AH22" i="5"/>
  <c r="AD22" i="5"/>
  <c r="AH16" i="5"/>
  <c r="AD37" i="5"/>
  <c r="AH18" i="5"/>
  <c r="Z21" i="5"/>
  <c r="AP18" i="5"/>
  <c r="AP14" i="5"/>
  <c r="AP12" i="5"/>
  <c r="AX12" i="5"/>
  <c r="AX15" i="5"/>
  <c r="AX17" i="5"/>
  <c r="AY12" i="5"/>
  <c r="AY15" i="5"/>
  <c r="AY17" i="5"/>
  <c r="AO40" i="5"/>
  <c r="AO24" i="5"/>
  <c r="AM12" i="5"/>
  <c r="AM14" i="5"/>
  <c r="AB16" i="5"/>
  <c r="AE29" i="5"/>
  <c r="AS16" i="5"/>
  <c r="AS13" i="5"/>
  <c r="AS11" i="5"/>
  <c r="CJ20" i="4"/>
  <c r="Z11" i="4" s="1"/>
  <c r="CM20" i="4"/>
  <c r="AC18" i="4" s="1"/>
  <c r="CU20" i="4"/>
  <c r="AK11" i="4" s="1"/>
  <c r="DF17" i="5"/>
  <c r="F22" i="4"/>
  <c r="F21" i="4"/>
  <c r="CI20" i="4"/>
  <c r="Y13" i="4" s="1"/>
  <c r="CK20" i="4"/>
  <c r="AA13" i="4" s="1"/>
  <c r="CS20" i="4"/>
  <c r="AI13" i="4" s="1"/>
  <c r="DF15" i="5"/>
  <c r="DF12" i="5"/>
  <c r="DF20" i="4"/>
  <c r="AV11" i="4" s="1"/>
  <c r="E22" i="4"/>
  <c r="E21" i="4"/>
  <c r="G22" i="4"/>
  <c r="G21" i="4"/>
  <c r="AU22" i="4"/>
  <c r="AU21" i="4"/>
  <c r="AW22" i="4"/>
  <c r="AW21" i="4"/>
  <c r="AY22" i="4"/>
  <c r="AY21" i="4"/>
  <c r="CJ26" i="4"/>
  <c r="Z24" i="4" s="1"/>
  <c r="CM26" i="4"/>
  <c r="AC24" i="4" s="1"/>
  <c r="CO26" i="4"/>
  <c r="AE24" i="4" s="1"/>
  <c r="CQ26" i="4"/>
  <c r="AG24" i="4" s="1"/>
  <c r="H22" i="4"/>
  <c r="H21" i="4"/>
  <c r="AV22" i="4"/>
  <c r="AV21" i="4"/>
  <c r="AX22" i="4"/>
  <c r="AX21" i="4"/>
  <c r="AZ22" i="4"/>
  <c r="AZ21" i="4"/>
  <c r="CI26" i="4"/>
  <c r="Y24" i="4" s="1"/>
  <c r="CK26" i="4"/>
  <c r="AA24" i="4" s="1"/>
  <c r="CN26" i="4"/>
  <c r="AD24" i="4" s="1"/>
  <c r="CP26" i="4"/>
  <c r="AF24" i="4" s="1"/>
  <c r="CR26" i="4"/>
  <c r="AH24" i="4" s="1"/>
  <c r="DI42" i="5"/>
  <c r="AY40" i="5" s="1"/>
  <c r="DB48" i="4"/>
  <c r="CY49" i="4"/>
  <c r="DC49" i="4"/>
  <c r="DI49" i="4"/>
  <c r="AM18" i="4"/>
  <c r="AM16" i="4"/>
  <c r="AO18" i="4"/>
  <c r="AO16" i="4"/>
  <c r="AO14" i="4"/>
  <c r="AE16" i="4"/>
  <c r="AE13" i="4"/>
  <c r="AE11" i="4"/>
  <c r="AE18" i="4"/>
  <c r="AE14" i="4"/>
  <c r="AE12" i="4"/>
  <c r="AG18" i="4"/>
  <c r="AG16" i="4"/>
  <c r="O18" i="4"/>
  <c r="O16" i="4"/>
  <c r="O14" i="4"/>
  <c r="O13" i="4"/>
  <c r="O12" i="4"/>
  <c r="O11" i="4"/>
  <c r="Q18" i="4"/>
  <c r="Q16" i="4"/>
  <c r="Q14" i="4"/>
  <c r="Q13" i="4"/>
  <c r="Q12" i="4"/>
  <c r="Q11" i="4"/>
  <c r="AI22" i="4"/>
  <c r="AI21" i="4"/>
  <c r="AK22" i="4"/>
  <c r="AK21" i="4"/>
  <c r="AM22" i="4"/>
  <c r="AM21" i="4"/>
  <c r="AO22" i="4"/>
  <c r="AO21" i="4"/>
  <c r="Y22" i="4"/>
  <c r="Y21" i="4"/>
  <c r="AA21" i="4"/>
  <c r="AA22" i="4"/>
  <c r="AC21" i="4"/>
  <c r="AC22" i="4"/>
  <c r="AE21" i="4"/>
  <c r="AE22" i="4"/>
  <c r="AG22" i="4"/>
  <c r="AG21" i="4"/>
  <c r="CU31" i="4"/>
  <c r="AK29" i="4" s="1"/>
  <c r="AM30" i="4"/>
  <c r="AM29" i="4"/>
  <c r="AO30" i="4"/>
  <c r="AO29" i="4"/>
  <c r="DA31" i="4"/>
  <c r="AQ29" i="4" s="1"/>
  <c r="AD30" i="4"/>
  <c r="AD29" i="4"/>
  <c r="AF30" i="4"/>
  <c r="AF29" i="4"/>
  <c r="AH30" i="4"/>
  <c r="AH29" i="4"/>
  <c r="G30" i="4"/>
  <c r="G29" i="4"/>
  <c r="CU39" i="4"/>
  <c r="AK37" i="4" s="1"/>
  <c r="AM38" i="4"/>
  <c r="AM37" i="4"/>
  <c r="CJ39" i="4"/>
  <c r="Z37" i="4" s="1"/>
  <c r="AB38" i="4"/>
  <c r="AB37" i="4"/>
  <c r="AD38" i="4"/>
  <c r="AD37" i="4"/>
  <c r="AF38" i="4"/>
  <c r="AF37" i="4"/>
  <c r="AH38" i="4"/>
  <c r="AH37" i="4"/>
  <c r="F38" i="4"/>
  <c r="F37" i="4"/>
  <c r="H38" i="4"/>
  <c r="H37" i="4"/>
  <c r="AJ41" i="4"/>
  <c r="AJ40" i="4"/>
  <c r="AL41" i="4"/>
  <c r="AL40" i="4"/>
  <c r="AN41" i="4"/>
  <c r="AN40" i="4"/>
  <c r="DB42" i="4"/>
  <c r="AR41" i="4" s="1"/>
  <c r="CI42" i="4"/>
  <c r="Y40" i="4" s="1"/>
  <c r="CK42" i="4"/>
  <c r="AA40" i="4" s="1"/>
  <c r="AE40" i="4"/>
  <c r="AE41" i="4"/>
  <c r="AG41" i="4"/>
  <c r="AG40" i="4"/>
  <c r="G41" i="4"/>
  <c r="G40" i="4"/>
  <c r="AZ11" i="4"/>
  <c r="AZ13" i="4"/>
  <c r="AZ16" i="4"/>
  <c r="AZ18" i="4"/>
  <c r="AZ24" i="4"/>
  <c r="AZ29" i="4"/>
  <c r="AZ37" i="4"/>
  <c r="AZ40" i="4"/>
  <c r="AW37" i="4"/>
  <c r="AY37" i="4"/>
  <c r="AV40" i="4"/>
  <c r="AX40" i="4"/>
  <c r="AU41" i="4"/>
  <c r="AW41" i="4"/>
  <c r="AX11" i="4"/>
  <c r="AX12" i="4"/>
  <c r="AX13" i="4"/>
  <c r="AX15" i="4"/>
  <c r="AX16" i="4"/>
  <c r="AX17" i="4"/>
  <c r="AX18" i="4"/>
  <c r="AV29" i="4"/>
  <c r="AX29" i="4"/>
  <c r="AU11" i="4"/>
  <c r="AU13" i="4"/>
  <c r="AU16" i="4"/>
  <c r="AU30" i="4"/>
  <c r="AP11" i="4"/>
  <c r="AR11" i="4"/>
  <c r="AT11" i="4"/>
  <c r="AQ12" i="4"/>
  <c r="AS12" i="4"/>
  <c r="AP13" i="4"/>
  <c r="AR13" i="4"/>
  <c r="AT13" i="4"/>
  <c r="AQ14" i="4"/>
  <c r="AS14" i="4"/>
  <c r="AP16" i="4"/>
  <c r="AR16" i="4"/>
  <c r="AT16" i="4"/>
  <c r="AQ18" i="4"/>
  <c r="AS18" i="4"/>
  <c r="AP21" i="4"/>
  <c r="AR21" i="4"/>
  <c r="AT21" i="4"/>
  <c r="AQ22" i="4"/>
  <c r="AS22" i="4"/>
  <c r="AP29" i="4"/>
  <c r="AR29" i="4"/>
  <c r="AT29" i="4"/>
  <c r="AS30" i="4"/>
  <c r="AP37" i="4"/>
  <c r="AR37" i="4"/>
  <c r="AT37" i="4"/>
  <c r="AQ38" i="4"/>
  <c r="AS38" i="4"/>
  <c r="AP40" i="4"/>
  <c r="AT40" i="4"/>
  <c r="AQ41" i="4"/>
  <c r="AF11" i="4"/>
  <c r="AH11" i="4"/>
  <c r="AJ11" i="4"/>
  <c r="AL11" i="4"/>
  <c r="AN11" i="4"/>
  <c r="AF12" i="4"/>
  <c r="AH12" i="4"/>
  <c r="AJ12" i="4"/>
  <c r="AL12" i="4"/>
  <c r="AN12" i="4"/>
  <c r="AF13" i="4"/>
  <c r="AH13" i="4"/>
  <c r="CU48" i="4"/>
  <c r="CY48" i="4"/>
  <c r="DA50" i="4"/>
  <c r="DC48" i="4"/>
  <c r="DE48" i="4"/>
  <c r="DE50" i="4" s="1"/>
  <c r="DI48" i="4"/>
  <c r="DB49" i="4"/>
  <c r="AJ18" i="4"/>
  <c r="AJ16" i="4"/>
  <c r="AJ14" i="4"/>
  <c r="AL18" i="4"/>
  <c r="AL16" i="4"/>
  <c r="AL14" i="4"/>
  <c r="AN18" i="4"/>
  <c r="AN16" i="4"/>
  <c r="AN14" i="4"/>
  <c r="X16" i="4"/>
  <c r="X13" i="4"/>
  <c r="X11" i="4"/>
  <c r="X18" i="4"/>
  <c r="X14" i="4"/>
  <c r="X12" i="4"/>
  <c r="AB18" i="4"/>
  <c r="AB14" i="4"/>
  <c r="AB12" i="4"/>
  <c r="AB16" i="4"/>
  <c r="AB13" i="4"/>
  <c r="AB11" i="4"/>
  <c r="AD18" i="4"/>
  <c r="AD14" i="4"/>
  <c r="AD12" i="4"/>
  <c r="AD16" i="4"/>
  <c r="AD13" i="4"/>
  <c r="AD11" i="4"/>
  <c r="AF18" i="4"/>
  <c r="AF16" i="4"/>
  <c r="AH18" i="4"/>
  <c r="AH16" i="4"/>
  <c r="P18" i="4"/>
  <c r="P16" i="4"/>
  <c r="P14" i="4"/>
  <c r="P13" i="4"/>
  <c r="P12" i="4"/>
  <c r="P11" i="4"/>
  <c r="R18" i="4"/>
  <c r="R16" i="4"/>
  <c r="R14" i="4"/>
  <c r="R13" i="4"/>
  <c r="R12" i="4"/>
  <c r="R11" i="4"/>
  <c r="AJ22" i="4"/>
  <c r="AJ21" i="4"/>
  <c r="AL22" i="4"/>
  <c r="AL21" i="4"/>
  <c r="AN22" i="4"/>
  <c r="AN21" i="4"/>
  <c r="Z22" i="4"/>
  <c r="Z21" i="4"/>
  <c r="AB22" i="4"/>
  <c r="AB21" i="4"/>
  <c r="AD22" i="4"/>
  <c r="AD21" i="4"/>
  <c r="AF22" i="4"/>
  <c r="AF21" i="4"/>
  <c r="AH22" i="4"/>
  <c r="AH21" i="4"/>
  <c r="AB25" i="4"/>
  <c r="AB24" i="4"/>
  <c r="AJ30" i="4"/>
  <c r="AJ29" i="4"/>
  <c r="AL30" i="4"/>
  <c r="AL29" i="4"/>
  <c r="AN30" i="4"/>
  <c r="AN29" i="4"/>
  <c r="CI31" i="4"/>
  <c r="Y29" i="4" s="1"/>
  <c r="CK31" i="4"/>
  <c r="AA29" i="4" s="1"/>
  <c r="CM31" i="4"/>
  <c r="AC29" i="4" s="1"/>
  <c r="AE29" i="4"/>
  <c r="AE30" i="4"/>
  <c r="AG30" i="4"/>
  <c r="AG29" i="4"/>
  <c r="F29" i="4"/>
  <c r="F30" i="4"/>
  <c r="H29" i="4"/>
  <c r="H30" i="4"/>
  <c r="AJ38" i="4"/>
  <c r="AJ37" i="4"/>
  <c r="AL38" i="4"/>
  <c r="AL37" i="4"/>
  <c r="AN38" i="4"/>
  <c r="AN37" i="4"/>
  <c r="CI39" i="4"/>
  <c r="Y37" i="4" s="1"/>
  <c r="CK39" i="4"/>
  <c r="AA38" i="4" s="1"/>
  <c r="CM39" i="4"/>
  <c r="AC38" i="4" s="1"/>
  <c r="AE37" i="4"/>
  <c r="AE38" i="4"/>
  <c r="AG38" i="4"/>
  <c r="AG37" i="4"/>
  <c r="E38" i="4"/>
  <c r="E37" i="4"/>
  <c r="G38" i="4"/>
  <c r="G37" i="4"/>
  <c r="CS42" i="4"/>
  <c r="AI40" i="4" s="1"/>
  <c r="CU42" i="4"/>
  <c r="AK40" i="4" s="1"/>
  <c r="AM41" i="4"/>
  <c r="AM40" i="4"/>
  <c r="AO41" i="4"/>
  <c r="AO40" i="4"/>
  <c r="DC42" i="4"/>
  <c r="AS40" i="4" s="1"/>
  <c r="DI42" i="4"/>
  <c r="AY41" i="4" s="1"/>
  <c r="CJ42" i="4"/>
  <c r="Z40" i="4" s="1"/>
  <c r="AB41" i="4"/>
  <c r="AB40" i="4"/>
  <c r="AD41" i="4"/>
  <c r="AD40" i="4"/>
  <c r="AF41" i="4"/>
  <c r="AF40" i="4"/>
  <c r="AH41" i="4"/>
  <c r="AH40" i="4"/>
  <c r="H41" i="4"/>
  <c r="H40" i="4"/>
  <c r="AZ12" i="4"/>
  <c r="AZ15" i="4"/>
  <c r="AZ17" i="4"/>
  <c r="AV37" i="4"/>
  <c r="AX37" i="4"/>
  <c r="AW11" i="4"/>
  <c r="AY11" i="4"/>
  <c r="AW12" i="4"/>
  <c r="AY12" i="4"/>
  <c r="AW13" i="4"/>
  <c r="AY13" i="4"/>
  <c r="AW15" i="4"/>
  <c r="AY15" i="4"/>
  <c r="AW16" i="4"/>
  <c r="AY16" i="4"/>
  <c r="AW17" i="4"/>
  <c r="AY17" i="4"/>
  <c r="AW18" i="4"/>
  <c r="AY18" i="4"/>
  <c r="AW29" i="4"/>
  <c r="AY29" i="4"/>
  <c r="AU12" i="4"/>
  <c r="AU14" i="4"/>
  <c r="AQ11" i="4"/>
  <c r="AS11" i="4"/>
  <c r="AP12" i="4"/>
  <c r="AR12" i="4"/>
  <c r="AT12" i="4"/>
  <c r="AQ13" i="4"/>
  <c r="AS13" i="4"/>
  <c r="AP14" i="4"/>
  <c r="AR14" i="4"/>
  <c r="AT14" i="4"/>
  <c r="AG11" i="4"/>
  <c r="AM11" i="4"/>
  <c r="AO11" i="4"/>
  <c r="AG12" i="4"/>
  <c r="AM12" i="4"/>
  <c r="AO12" i="4"/>
  <c r="AG13" i="4"/>
  <c r="AM13" i="4"/>
  <c r="AO13" i="4"/>
  <c r="AG14" i="4"/>
  <c r="AM14" i="4"/>
  <c r="F30" i="5"/>
  <c r="AE41" i="5"/>
  <c r="AE40" i="5"/>
  <c r="AS38" i="5"/>
  <c r="AS37" i="5"/>
  <c r="AS30" i="5"/>
  <c r="AS29" i="5"/>
  <c r="AS25" i="5"/>
  <c r="AS24" i="5"/>
  <c r="AG41" i="5"/>
  <c r="AQ25" i="5"/>
  <c r="AV24" i="4"/>
  <c r="AX24" i="4"/>
  <c r="AP24" i="4"/>
  <c r="AR24" i="4"/>
  <c r="AT24" i="4"/>
  <c r="AQ25" i="4"/>
  <c r="AS25" i="4"/>
  <c r="AL24" i="4"/>
  <c r="AN24" i="4"/>
  <c r="AW24" i="4"/>
  <c r="AY24" i="4"/>
  <c r="AK24" i="4"/>
  <c r="AO24" i="4"/>
  <c r="AT38" i="5"/>
  <c r="AT37" i="5"/>
  <c r="AP38" i="5"/>
  <c r="AP37" i="5"/>
  <c r="AR30" i="5"/>
  <c r="AR29" i="5"/>
  <c r="AT25" i="5"/>
  <c r="AT24" i="5"/>
  <c r="AP25" i="5"/>
  <c r="AP24" i="5"/>
  <c r="AR38" i="5"/>
  <c r="AR37" i="5"/>
  <c r="AT30" i="5"/>
  <c r="AT29" i="5"/>
  <c r="AP30" i="5"/>
  <c r="AP29" i="5"/>
  <c r="AR25" i="5"/>
  <c r="AR24" i="5"/>
  <c r="CX50" i="5"/>
  <c r="DD50" i="5"/>
  <c r="CZ50" i="5"/>
  <c r="CV50" i="5"/>
  <c r="CW50" i="5"/>
  <c r="AH30" i="5"/>
  <c r="AH37" i="5"/>
  <c r="AF30" i="5"/>
  <c r="AJ30" i="5"/>
  <c r="AD30" i="5"/>
  <c r="AE16" i="5"/>
  <c r="AE13" i="5"/>
  <c r="AE11" i="5"/>
  <c r="AE18" i="5"/>
  <c r="AE14" i="5"/>
  <c r="AE12" i="5"/>
  <c r="AD18" i="5"/>
  <c r="AD14" i="5"/>
  <c r="AD12" i="5"/>
  <c r="AB18" i="5"/>
  <c r="AB14" i="5"/>
  <c r="AB12" i="5"/>
  <c r="AG16" i="5"/>
  <c r="AG13" i="5"/>
  <c r="AG11" i="5"/>
  <c r="AG18" i="5"/>
  <c r="AG14" i="5"/>
  <c r="AG12" i="5"/>
  <c r="AD11" i="5"/>
  <c r="AB11" i="5"/>
  <c r="AZ41" i="5"/>
  <c r="AZ40" i="5"/>
  <c r="DJ20" i="5"/>
  <c r="DJ31" i="5"/>
  <c r="DJ23" i="5"/>
  <c r="DJ39" i="5"/>
  <c r="DJ50" i="4"/>
  <c r="CU9" i="4"/>
  <c r="CU9" i="5" s="1"/>
  <c r="CM9" i="4"/>
  <c r="CS9" i="4"/>
  <c r="DJ50" i="3"/>
  <c r="DI50" i="3"/>
  <c r="DJ42" i="3"/>
  <c r="DB41" i="3"/>
  <c r="CU41" i="3"/>
  <c r="CT41" i="3"/>
  <c r="CS41" i="3"/>
  <c r="CM41" i="3"/>
  <c r="CK41" i="3"/>
  <c r="CJ41" i="3"/>
  <c r="CI41" i="3"/>
  <c r="DB40" i="3"/>
  <c r="CU40" i="3"/>
  <c r="CT40" i="3"/>
  <c r="CS40" i="3"/>
  <c r="CM40" i="3"/>
  <c r="CK40" i="3"/>
  <c r="CJ40" i="3"/>
  <c r="CI40" i="3"/>
  <c r="DJ39" i="3"/>
  <c r="DA38" i="3"/>
  <c r="CY38" i="3"/>
  <c r="CU38" i="3"/>
  <c r="CT38" i="3"/>
  <c r="CS38" i="3"/>
  <c r="CM38" i="3"/>
  <c r="CK38" i="3"/>
  <c r="CJ38" i="3"/>
  <c r="CI38" i="3"/>
  <c r="DA37" i="3"/>
  <c r="CY37" i="3"/>
  <c r="CY37" i="5" s="1"/>
  <c r="CU37" i="3"/>
  <c r="CT37" i="3"/>
  <c r="CS37" i="3"/>
  <c r="CM37" i="3"/>
  <c r="CK37" i="3"/>
  <c r="CJ37" i="3"/>
  <c r="CI37" i="3"/>
  <c r="DA30" i="3"/>
  <c r="CU30" i="3"/>
  <c r="CS30" i="3"/>
  <c r="CM30" i="3"/>
  <c r="CL30" i="3"/>
  <c r="CK30" i="3"/>
  <c r="CJ30" i="3"/>
  <c r="CI30" i="3"/>
  <c r="DA29" i="3"/>
  <c r="CU29" i="3"/>
  <c r="CS29" i="3"/>
  <c r="CM29" i="3"/>
  <c r="CL29" i="3"/>
  <c r="CK29" i="3"/>
  <c r="CJ29" i="3"/>
  <c r="CI29" i="3"/>
  <c r="DJ26" i="3"/>
  <c r="CW25" i="3"/>
  <c r="CV25" i="3"/>
  <c r="CU25" i="3"/>
  <c r="CT25" i="3"/>
  <c r="CS25" i="3"/>
  <c r="CR25" i="3"/>
  <c r="CQ25" i="3"/>
  <c r="CP25" i="3"/>
  <c r="CO25" i="3"/>
  <c r="CN25" i="3"/>
  <c r="CM25" i="3"/>
  <c r="CL25" i="3"/>
  <c r="CK25" i="3"/>
  <c r="CJ25" i="3"/>
  <c r="CI25" i="3"/>
  <c r="H25" i="3"/>
  <c r="G25" i="3"/>
  <c r="F25" i="3"/>
  <c r="E25" i="3"/>
  <c r="CW24" i="3"/>
  <c r="CV24" i="3"/>
  <c r="CU24" i="3"/>
  <c r="CT24" i="3"/>
  <c r="CS24" i="3"/>
  <c r="CR24" i="3"/>
  <c r="CQ24" i="3"/>
  <c r="CP24" i="3"/>
  <c r="CO24" i="3"/>
  <c r="CN24" i="3"/>
  <c r="CM24" i="3"/>
  <c r="CL24" i="3"/>
  <c r="CK24" i="3"/>
  <c r="CJ24" i="3"/>
  <c r="CI24" i="3"/>
  <c r="H24" i="3"/>
  <c r="G24" i="3"/>
  <c r="F24" i="3"/>
  <c r="E24" i="3"/>
  <c r="DJ23" i="3"/>
  <c r="DI20" i="3"/>
  <c r="DH20" i="3"/>
  <c r="DG20" i="3"/>
  <c r="DF18" i="3"/>
  <c r="DA18" i="3"/>
  <c r="CU18" i="3"/>
  <c r="CS18" i="3"/>
  <c r="CK18" i="3"/>
  <c r="CJ18" i="3"/>
  <c r="CI18" i="3"/>
  <c r="DF19" i="3"/>
  <c r="DA12" i="3"/>
  <c r="CU12" i="3"/>
  <c r="CS12" i="3"/>
  <c r="CM12" i="3"/>
  <c r="CK12" i="3"/>
  <c r="CJ12" i="3"/>
  <c r="CI12" i="3"/>
  <c r="DA14" i="3"/>
  <c r="CU14" i="3"/>
  <c r="CS14" i="3"/>
  <c r="CM14" i="3"/>
  <c r="CK14" i="3"/>
  <c r="CJ14" i="3"/>
  <c r="CI14" i="3"/>
  <c r="DF13" i="3"/>
  <c r="DA13" i="3"/>
  <c r="CU13" i="3"/>
  <c r="CS13" i="3"/>
  <c r="CM13" i="3"/>
  <c r="CK13" i="3"/>
  <c r="CJ13" i="3"/>
  <c r="CI13" i="3"/>
  <c r="DF16" i="3"/>
  <c r="DA16" i="3"/>
  <c r="CU16" i="3"/>
  <c r="CS16" i="3"/>
  <c r="CM16" i="3"/>
  <c r="CK16" i="3"/>
  <c r="CJ16" i="3"/>
  <c r="CI16" i="3"/>
  <c r="DA11" i="3"/>
  <c r="CU11" i="3"/>
  <c r="CS11" i="3"/>
  <c r="CM11" i="3"/>
  <c r="CK11" i="3"/>
  <c r="CJ11" i="3"/>
  <c r="CI11" i="3"/>
  <c r="DA10" i="3"/>
  <c r="DA10" i="5" s="1"/>
  <c r="CU10" i="3"/>
  <c r="CS10" i="3"/>
  <c r="CR9" i="3"/>
  <c r="CQ9" i="3"/>
  <c r="CP9" i="3"/>
  <c r="CO9" i="3"/>
  <c r="CN9" i="3"/>
  <c r="CL9" i="3"/>
  <c r="CM49" i="3" l="1"/>
  <c r="CK49" i="3"/>
  <c r="AO37" i="4"/>
  <c r="AI29" i="4"/>
  <c r="AE25" i="4"/>
  <c r="CT48" i="3"/>
  <c r="AQ30" i="4"/>
  <c r="AM24" i="4"/>
  <c r="AI37" i="4"/>
  <c r="AI24" i="4"/>
  <c r="Z38" i="4"/>
  <c r="Z29" i="4"/>
  <c r="CJ48" i="3"/>
  <c r="CI50" i="4"/>
  <c r="CY50" i="4"/>
  <c r="AB29" i="4"/>
  <c r="CU50" i="4"/>
  <c r="AC25" i="4"/>
  <c r="AA25" i="4"/>
  <c r="DI50" i="4"/>
  <c r="Y41" i="4"/>
  <c r="AJ24" i="4"/>
  <c r="AG25" i="4"/>
  <c r="CM48" i="3"/>
  <c r="CM50" i="3" s="1"/>
  <c r="AC40" i="4"/>
  <c r="AA41" i="4"/>
  <c r="AK38" i="4"/>
  <c r="AA16" i="4"/>
  <c r="AA12" i="4"/>
  <c r="AA14" i="4"/>
  <c r="AC12" i="4"/>
  <c r="AK18" i="4"/>
  <c r="AK13" i="4"/>
  <c r="AK16" i="4"/>
  <c r="AA18" i="4"/>
  <c r="Z13" i="4"/>
  <c r="Z12" i="4"/>
  <c r="Z16" i="4"/>
  <c r="Y14" i="4"/>
  <c r="Z14" i="4"/>
  <c r="Y18" i="4"/>
  <c r="Y12" i="4"/>
  <c r="Z18" i="4"/>
  <c r="AC14" i="4"/>
  <c r="DC50" i="4"/>
  <c r="Z25" i="4"/>
  <c r="CI48" i="3"/>
  <c r="CS48" i="3"/>
  <c r="CI49" i="3"/>
  <c r="CS49" i="3"/>
  <c r="CK48" i="3"/>
  <c r="CK50" i="3" s="1"/>
  <c r="CJ49" i="3"/>
  <c r="CT49" i="3"/>
  <c r="CT50" i="3" s="1"/>
  <c r="AF25" i="4"/>
  <c r="Y16" i="4"/>
  <c r="AA11" i="4"/>
  <c r="AI12" i="4"/>
  <c r="AI14" i="4"/>
  <c r="AC13" i="4"/>
  <c r="AI16" i="4"/>
  <c r="AK12" i="4"/>
  <c r="AK14" i="4"/>
  <c r="AY41" i="5"/>
  <c r="CM20" i="3"/>
  <c r="AC18" i="3" s="1"/>
  <c r="CU20" i="3"/>
  <c r="AK13" i="3" s="1"/>
  <c r="DA16" i="5"/>
  <c r="DA13" i="5"/>
  <c r="DA14" i="5"/>
  <c r="DA18" i="5"/>
  <c r="AW19" i="3"/>
  <c r="AW18" i="3"/>
  <c r="AW17" i="3"/>
  <c r="AW16" i="3"/>
  <c r="AW15" i="3"/>
  <c r="AW13" i="3"/>
  <c r="AW12" i="3"/>
  <c r="AW11" i="3"/>
  <c r="AY19" i="3"/>
  <c r="AY18" i="3"/>
  <c r="AY17" i="3"/>
  <c r="AY16" i="3"/>
  <c r="AY15" i="3"/>
  <c r="AY13" i="3"/>
  <c r="AY12" i="3"/>
  <c r="AY11" i="3"/>
  <c r="CI26" i="3"/>
  <c r="Y24" i="3" s="1"/>
  <c r="CK26" i="3"/>
  <c r="AA24" i="3" s="1"/>
  <c r="CM26" i="3"/>
  <c r="AC24" i="3" s="1"/>
  <c r="CO26" i="3"/>
  <c r="AE24" i="3" s="1"/>
  <c r="CQ26" i="3"/>
  <c r="AG24" i="3" s="1"/>
  <c r="CS26" i="3"/>
  <c r="AI24" i="3" s="1"/>
  <c r="CU26" i="3"/>
  <c r="AK24" i="3" s="1"/>
  <c r="CW26" i="3"/>
  <c r="AM24" i="3" s="1"/>
  <c r="AZ25" i="3"/>
  <c r="AZ24" i="3"/>
  <c r="CJ31" i="3"/>
  <c r="Z30" i="3" s="1"/>
  <c r="Z29" i="3"/>
  <c r="CL31" i="3"/>
  <c r="AB29" i="3" s="1"/>
  <c r="CS31" i="3"/>
  <c r="AI29" i="3" s="1"/>
  <c r="DA31" i="3"/>
  <c r="AQ29" i="3" s="1"/>
  <c r="CI39" i="3"/>
  <c r="Y37" i="3" s="1"/>
  <c r="CK39" i="3"/>
  <c r="AA37" i="3" s="1"/>
  <c r="CS39" i="3"/>
  <c r="AI37" i="3" s="1"/>
  <c r="CU39" i="3"/>
  <c r="AK37" i="3" s="1"/>
  <c r="CU48" i="3"/>
  <c r="DA39" i="3"/>
  <c r="AQ37" i="3" s="1"/>
  <c r="DA48" i="3"/>
  <c r="CY49" i="3"/>
  <c r="AZ38" i="3"/>
  <c r="AZ37" i="3"/>
  <c r="CJ42" i="3"/>
  <c r="Z40" i="3" s="1"/>
  <c r="CM42" i="3"/>
  <c r="AC40" i="3" s="1"/>
  <c r="CT42" i="3"/>
  <c r="AJ40" i="3" s="1"/>
  <c r="DB48" i="3"/>
  <c r="DB42" i="3"/>
  <c r="AR40" i="3" s="1"/>
  <c r="DB49" i="3"/>
  <c r="CJ20" i="3"/>
  <c r="Z12" i="3" s="1"/>
  <c r="CI20" i="3"/>
  <c r="Y16" i="3" s="1"/>
  <c r="CK20" i="3"/>
  <c r="AA13" i="3" s="1"/>
  <c r="CS20" i="3"/>
  <c r="AI16" i="3" s="1"/>
  <c r="DA11" i="5"/>
  <c r="DA20" i="3"/>
  <c r="AQ16" i="3" s="1"/>
  <c r="DA12" i="5"/>
  <c r="AX19" i="3"/>
  <c r="AX18" i="3"/>
  <c r="AX17" i="3"/>
  <c r="AX16" i="3"/>
  <c r="AX15" i="3"/>
  <c r="AX13" i="3"/>
  <c r="AX12" i="3"/>
  <c r="AX11" i="3"/>
  <c r="AZ22" i="3"/>
  <c r="AZ21" i="3"/>
  <c r="CJ26" i="3"/>
  <c r="Z24" i="3" s="1"/>
  <c r="CL26" i="3"/>
  <c r="AB25" i="3" s="1"/>
  <c r="CN26" i="3"/>
  <c r="AD24" i="3" s="1"/>
  <c r="CP26" i="3"/>
  <c r="AF25" i="3" s="1"/>
  <c r="CR26" i="3"/>
  <c r="AH24" i="3" s="1"/>
  <c r="CT26" i="3"/>
  <c r="AJ25" i="3" s="1"/>
  <c r="CV26" i="3"/>
  <c r="AL24" i="3" s="1"/>
  <c r="CI31" i="3"/>
  <c r="Y29" i="3" s="1"/>
  <c r="CK31" i="3"/>
  <c r="AA29" i="3" s="1"/>
  <c r="CM31" i="3"/>
  <c r="AC29" i="3" s="1"/>
  <c r="CU31" i="3"/>
  <c r="AK29" i="3" s="1"/>
  <c r="AZ30" i="3"/>
  <c r="AZ29" i="3"/>
  <c r="CJ39" i="3"/>
  <c r="Z37" i="3" s="1"/>
  <c r="CM39" i="3"/>
  <c r="AC38" i="3" s="1"/>
  <c r="CT39" i="3"/>
  <c r="AJ37" i="3" s="1"/>
  <c r="CY39" i="3"/>
  <c r="AO38" i="3" s="1"/>
  <c r="CY48" i="3"/>
  <c r="CU49" i="3"/>
  <c r="DA49" i="3"/>
  <c r="CI42" i="3"/>
  <c r="Y40" i="3" s="1"/>
  <c r="CK42" i="3"/>
  <c r="AA40" i="3" s="1"/>
  <c r="CS42" i="3"/>
  <c r="AI40" i="3" s="1"/>
  <c r="CU42" i="3"/>
  <c r="AK40" i="3" s="1"/>
  <c r="AZ41" i="3"/>
  <c r="AZ40" i="3"/>
  <c r="CY38" i="5"/>
  <c r="CY49" i="5" s="1"/>
  <c r="DF16" i="5"/>
  <c r="DF18" i="5"/>
  <c r="DF19" i="5"/>
  <c r="DF13" i="5"/>
  <c r="AY40" i="4"/>
  <c r="AH25" i="4"/>
  <c r="AD25" i="4"/>
  <c r="Y25" i="4"/>
  <c r="AV12" i="4"/>
  <c r="AV15" i="4"/>
  <c r="AV16" i="4"/>
  <c r="AI41" i="4"/>
  <c r="CY48" i="5"/>
  <c r="AA37" i="4"/>
  <c r="AK41" i="4"/>
  <c r="Z41" i="4"/>
  <c r="Y38" i="4"/>
  <c r="AC37" i="4"/>
  <c r="AK30" i="4"/>
  <c r="AA30" i="4"/>
  <c r="AS41" i="4"/>
  <c r="DB50" i="4"/>
  <c r="AC30" i="4"/>
  <c r="Y30" i="4"/>
  <c r="AR40" i="4"/>
  <c r="AI11" i="4"/>
  <c r="Y11" i="4"/>
  <c r="AV18" i="4"/>
  <c r="AI18" i="4"/>
  <c r="AV19" i="4"/>
  <c r="AV17" i="4"/>
  <c r="AV13" i="4"/>
  <c r="AC16" i="4"/>
  <c r="AC11" i="4"/>
  <c r="AZ37" i="5"/>
  <c r="AZ38" i="5"/>
  <c r="AZ30" i="5"/>
  <c r="AZ29" i="5"/>
  <c r="AZ25" i="5"/>
  <c r="AZ24" i="5"/>
  <c r="AZ22" i="5"/>
  <c r="AZ21" i="5"/>
  <c r="AZ19" i="5"/>
  <c r="AZ17" i="5"/>
  <c r="AZ15" i="5"/>
  <c r="AZ12" i="5"/>
  <c r="AZ18" i="5"/>
  <c r="AZ16" i="5"/>
  <c r="AZ13" i="5"/>
  <c r="AZ11" i="5"/>
  <c r="CS9" i="3"/>
  <c r="DF20" i="3"/>
  <c r="AV16" i="3" s="1"/>
  <c r="CM9" i="3"/>
  <c r="BR42" i="2"/>
  <c r="BQ42" i="2"/>
  <c r="BP42" i="2"/>
  <c r="BO42" i="2"/>
  <c r="CR42" i="2"/>
  <c r="CQ42" i="2"/>
  <c r="CP42" i="2"/>
  <c r="CO42" i="2"/>
  <c r="CN42" i="2"/>
  <c r="CL42" i="2"/>
  <c r="DI42" i="2"/>
  <c r="AY41" i="2" s="1"/>
  <c r="DH42" i="2"/>
  <c r="AX41" i="2" s="1"/>
  <c r="DG42" i="2"/>
  <c r="AW41" i="2" s="1"/>
  <c r="DF42" i="2"/>
  <c r="AV41" i="2" s="1"/>
  <c r="DE42" i="2"/>
  <c r="AU41" i="2" s="1"/>
  <c r="DD42" i="2"/>
  <c r="AT41" i="2" s="1"/>
  <c r="DC42" i="2"/>
  <c r="AS40" i="2" s="1"/>
  <c r="DA42" i="2"/>
  <c r="AQ40" i="2" s="1"/>
  <c r="CZ42" i="2"/>
  <c r="AP41" i="2" s="1"/>
  <c r="CY42" i="2"/>
  <c r="CX42" i="2"/>
  <c r="CW42" i="2"/>
  <c r="CV42" i="2"/>
  <c r="BR39" i="2"/>
  <c r="BQ39" i="2"/>
  <c r="BP39" i="2"/>
  <c r="BO39" i="2"/>
  <c r="CR39" i="2"/>
  <c r="CQ39" i="2"/>
  <c r="CP39" i="2"/>
  <c r="CO39" i="2"/>
  <c r="CN39" i="2"/>
  <c r="CL39" i="2"/>
  <c r="DI39" i="2"/>
  <c r="AY38" i="2" s="1"/>
  <c r="DH39" i="2"/>
  <c r="AX38" i="2" s="1"/>
  <c r="DG39" i="2"/>
  <c r="AW38" i="2" s="1"/>
  <c r="DF39" i="2"/>
  <c r="DE39" i="2"/>
  <c r="AU38" i="2" s="1"/>
  <c r="DD39" i="2"/>
  <c r="AT38" i="2" s="1"/>
  <c r="DC39" i="2"/>
  <c r="AS37" i="2" s="1"/>
  <c r="DB39" i="2"/>
  <c r="AR38" i="2" s="1"/>
  <c r="CZ39" i="2"/>
  <c r="AP38" i="2" s="1"/>
  <c r="CY39" i="2"/>
  <c r="CX39" i="2"/>
  <c r="CW39" i="2"/>
  <c r="CV39" i="2"/>
  <c r="BP31" i="2"/>
  <c r="CQ31" i="2"/>
  <c r="CP31" i="2"/>
  <c r="CO31" i="2"/>
  <c r="CN31" i="2"/>
  <c r="DI31" i="2"/>
  <c r="DH31" i="2"/>
  <c r="AX30" i="2" s="1"/>
  <c r="DG31" i="2"/>
  <c r="AW30" i="2" s="1"/>
  <c r="DF31" i="2"/>
  <c r="AV30" i="2" s="1"/>
  <c r="DE31" i="2"/>
  <c r="AU29" i="2" s="1"/>
  <c r="DD31" i="2"/>
  <c r="AT30" i="2" s="1"/>
  <c r="DC31" i="2"/>
  <c r="AS29" i="2" s="1"/>
  <c r="DB31" i="2"/>
  <c r="AR30" i="2" s="1"/>
  <c r="CZ31" i="2"/>
  <c r="AP30" i="2" s="1"/>
  <c r="CY31" i="2"/>
  <c r="CX31" i="2"/>
  <c r="CW31" i="2"/>
  <c r="CV31" i="2"/>
  <c r="CT31" i="2"/>
  <c r="CR31" i="2"/>
  <c r="CL26" i="2"/>
  <c r="DI26" i="2"/>
  <c r="AY25" i="2" s="1"/>
  <c r="DH26" i="2"/>
  <c r="AX25" i="2" s="1"/>
  <c r="DG26" i="2"/>
  <c r="AW25" i="2" s="1"/>
  <c r="DF26" i="2"/>
  <c r="AV25" i="2" s="1"/>
  <c r="DE26" i="2"/>
  <c r="AU24" i="2" s="1"/>
  <c r="DD26" i="2"/>
  <c r="AT25" i="2" s="1"/>
  <c r="DC26" i="2"/>
  <c r="AS24" i="2" s="1"/>
  <c r="DB26" i="2"/>
  <c r="AR25" i="2" s="1"/>
  <c r="DA26" i="2"/>
  <c r="AQ24" i="2" s="1"/>
  <c r="CZ26" i="2"/>
  <c r="AP25" i="2" s="1"/>
  <c r="CY26" i="2"/>
  <c r="CX26" i="2"/>
  <c r="BR23" i="2"/>
  <c r="BQ23" i="2"/>
  <c r="BP23" i="2"/>
  <c r="BO23" i="2"/>
  <c r="CR23" i="2"/>
  <c r="CQ23" i="2"/>
  <c r="AG22" i="2" s="1"/>
  <c r="CP23" i="2"/>
  <c r="CO23" i="2"/>
  <c r="CN23" i="2"/>
  <c r="CM23" i="2"/>
  <c r="CL23" i="2"/>
  <c r="CK23" i="2"/>
  <c r="CJ23" i="2"/>
  <c r="CI23" i="2"/>
  <c r="DI23" i="2"/>
  <c r="AY22" i="2" s="1"/>
  <c r="DH23" i="2"/>
  <c r="AX22" i="2" s="1"/>
  <c r="DG23" i="2"/>
  <c r="AW22" i="2" s="1"/>
  <c r="DF23" i="2"/>
  <c r="AV22" i="2" s="1"/>
  <c r="DE23" i="2"/>
  <c r="AU21" i="2" s="1"/>
  <c r="DD23" i="2"/>
  <c r="AT22" i="2" s="1"/>
  <c r="DC23" i="2"/>
  <c r="AS21" i="2" s="1"/>
  <c r="DB23" i="2"/>
  <c r="AR22" i="2" s="1"/>
  <c r="DA23" i="2"/>
  <c r="AQ21" i="2" s="1"/>
  <c r="CZ23" i="2"/>
  <c r="AP22" i="2" s="1"/>
  <c r="CY23" i="2"/>
  <c r="CX23" i="2"/>
  <c r="CW23" i="2"/>
  <c r="CV23" i="2"/>
  <c r="CU23" i="2"/>
  <c r="CT23" i="2"/>
  <c r="CS23" i="2"/>
  <c r="AI22" i="2" s="1"/>
  <c r="BS42" i="1"/>
  <c r="I40" i="1" s="1"/>
  <c r="BR42" i="1"/>
  <c r="H40" i="1" s="1"/>
  <c r="BQ42" i="1"/>
  <c r="G40" i="1" s="1"/>
  <c r="BP42" i="1"/>
  <c r="F40" i="1" s="1"/>
  <c r="BO42" i="1"/>
  <c r="E40" i="1" s="1"/>
  <c r="CR42" i="1"/>
  <c r="AH40" i="1" s="1"/>
  <c r="CQ42" i="1"/>
  <c r="AG40" i="1" s="1"/>
  <c r="CP42" i="1"/>
  <c r="AF40" i="1" s="1"/>
  <c r="CO42" i="1"/>
  <c r="AE40" i="1" s="1"/>
  <c r="CN42" i="1"/>
  <c r="AD40" i="1" s="1"/>
  <c r="DI42" i="1"/>
  <c r="AY40" i="1" s="1"/>
  <c r="DH42" i="1"/>
  <c r="AX40" i="1" s="1"/>
  <c r="DG42" i="1"/>
  <c r="AW40" i="1" s="1"/>
  <c r="DF42" i="1"/>
  <c r="AV40" i="1" s="1"/>
  <c r="DE42" i="1"/>
  <c r="AU40" i="1" s="1"/>
  <c r="DD42" i="1"/>
  <c r="AT40" i="1" s="1"/>
  <c r="DA42" i="1"/>
  <c r="AQ40" i="1" s="1"/>
  <c r="CZ42" i="1"/>
  <c r="AP40" i="1" s="1"/>
  <c r="CY42" i="1"/>
  <c r="AO40" i="1" s="1"/>
  <c r="CX42" i="1"/>
  <c r="AN40" i="1" s="1"/>
  <c r="CW42" i="1"/>
  <c r="AM40" i="1" s="1"/>
  <c r="CV42" i="1"/>
  <c r="AL40" i="1" s="1"/>
  <c r="BS31" i="1"/>
  <c r="BR31" i="1"/>
  <c r="BQ31" i="1"/>
  <c r="BP31" i="1"/>
  <c r="CR31" i="1"/>
  <c r="CQ31" i="1"/>
  <c r="CP31" i="1"/>
  <c r="CO31" i="1"/>
  <c r="CN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T31" i="1"/>
  <c r="CS31" i="1"/>
  <c r="DI26" i="1"/>
  <c r="DH26" i="1"/>
  <c r="DG26" i="1"/>
  <c r="DF26" i="1"/>
  <c r="DE26" i="1"/>
  <c r="DD26" i="1"/>
  <c r="DC26" i="1"/>
  <c r="DB26" i="1"/>
  <c r="DA26" i="1"/>
  <c r="CZ26" i="1"/>
  <c r="CY26" i="1"/>
  <c r="CX26" i="1"/>
  <c r="BS23" i="1"/>
  <c r="BR23" i="1"/>
  <c r="BQ23" i="1"/>
  <c r="BP23" i="1"/>
  <c r="BO23" i="1"/>
  <c r="CR23" i="1"/>
  <c r="CQ23" i="1"/>
  <c r="CP23" i="1"/>
  <c r="CO23" i="1"/>
  <c r="CN23" i="1"/>
  <c r="CM23" i="1"/>
  <c r="CL23" i="1"/>
  <c r="CK23" i="1"/>
  <c r="CJ23" i="1"/>
  <c r="CI23" i="1"/>
  <c r="DI23" i="1"/>
  <c r="DH23" i="1"/>
  <c r="DG23" i="1"/>
  <c r="DF23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DI20" i="2"/>
  <c r="AY19" i="2" s="1"/>
  <c r="CT20" i="2"/>
  <c r="AJ18" i="2" s="1"/>
  <c r="CV20" i="2"/>
  <c r="AL18" i="2" s="1"/>
  <c r="CW20" i="2"/>
  <c r="AM16" i="2" s="1"/>
  <c r="CX20" i="2"/>
  <c r="AN14" i="2" s="1"/>
  <c r="CY20" i="2"/>
  <c r="AO18" i="2" s="1"/>
  <c r="CZ20" i="2"/>
  <c r="AP18" i="2" s="1"/>
  <c r="DA20" i="2"/>
  <c r="AQ16" i="2" s="1"/>
  <c r="DC20" i="2"/>
  <c r="AS16" i="2" s="1"/>
  <c r="DD20" i="2"/>
  <c r="AT18" i="2" s="1"/>
  <c r="DE20" i="2"/>
  <c r="AU18" i="2" s="1"/>
  <c r="DF20" i="2"/>
  <c r="AV19" i="2" s="1"/>
  <c r="DG20" i="2"/>
  <c r="AW19" i="2" s="1"/>
  <c r="DH20" i="2"/>
  <c r="AX19" i="2" s="1"/>
  <c r="CU45" i="2"/>
  <c r="CU44" i="2"/>
  <c r="DD49" i="2"/>
  <c r="DC49" i="2"/>
  <c r="CZ49" i="2"/>
  <c r="CY49" i="2"/>
  <c r="CX49" i="2"/>
  <c r="CW49" i="2"/>
  <c r="CV49" i="2"/>
  <c r="DD48" i="2"/>
  <c r="DC48" i="2"/>
  <c r="DC50" i="2" s="1"/>
  <c r="CZ48" i="2"/>
  <c r="CY48" i="2"/>
  <c r="CX48" i="2"/>
  <c r="CW48" i="2"/>
  <c r="CV48" i="2"/>
  <c r="DD46" i="2"/>
  <c r="DC46" i="2"/>
  <c r="DB46" i="2"/>
  <c r="DA46" i="2"/>
  <c r="CZ46" i="2"/>
  <c r="CY46" i="2"/>
  <c r="CX46" i="2"/>
  <c r="CW46" i="2"/>
  <c r="CV46" i="2"/>
  <c r="DE45" i="2"/>
  <c r="DE45" i="5" s="1"/>
  <c r="DE49" i="5" s="1"/>
  <c r="DE44" i="2"/>
  <c r="DE44" i="5" s="1"/>
  <c r="DF45" i="2"/>
  <c r="DF45" i="5" s="1"/>
  <c r="DF49" i="5" s="1"/>
  <c r="DF44" i="2"/>
  <c r="DG45" i="2"/>
  <c r="DG49" i="2" s="1"/>
  <c r="DG44" i="2"/>
  <c r="DG48" i="2" s="1"/>
  <c r="DH45" i="2"/>
  <c r="DH44" i="2"/>
  <c r="DH48" i="2" s="1"/>
  <c r="DJ45" i="2"/>
  <c r="DJ49" i="2" s="1"/>
  <c r="DJ44" i="2"/>
  <c r="DI45" i="2"/>
  <c r="DI49" i="2" s="1"/>
  <c r="DI44" i="2"/>
  <c r="DI48" i="2" s="1"/>
  <c r="DJ42" i="2"/>
  <c r="AZ40" i="2" s="1"/>
  <c r="DB41" i="2"/>
  <c r="CU41" i="2"/>
  <c r="CT41" i="2"/>
  <c r="CS41" i="2"/>
  <c r="CM41" i="2"/>
  <c r="CK41" i="2"/>
  <c r="CJ41" i="2"/>
  <c r="CI41" i="2"/>
  <c r="DB40" i="2"/>
  <c r="CU40" i="2"/>
  <c r="CT40" i="2"/>
  <c r="CS40" i="2"/>
  <c r="CM40" i="2"/>
  <c r="CK40" i="2"/>
  <c r="CJ40" i="2"/>
  <c r="CI40" i="2"/>
  <c r="DJ39" i="2"/>
  <c r="DA38" i="2"/>
  <c r="CU38" i="2"/>
  <c r="CT38" i="2"/>
  <c r="CS38" i="2"/>
  <c r="CM38" i="2"/>
  <c r="CK38" i="2"/>
  <c r="CJ38" i="2"/>
  <c r="CI38" i="2"/>
  <c r="DA37" i="2"/>
  <c r="CU37" i="2"/>
  <c r="CT37" i="2"/>
  <c r="CS37" i="2"/>
  <c r="CM37" i="2"/>
  <c r="CK37" i="2"/>
  <c r="CJ37" i="2"/>
  <c r="CI37" i="2"/>
  <c r="DJ31" i="2"/>
  <c r="DA30" i="2"/>
  <c r="CU30" i="2"/>
  <c r="CM30" i="2"/>
  <c r="CL30" i="2"/>
  <c r="CK30" i="2"/>
  <c r="CJ30" i="2"/>
  <c r="CI30" i="2"/>
  <c r="BR30" i="2"/>
  <c r="BQ30" i="2"/>
  <c r="DA29" i="2"/>
  <c r="CU29" i="2"/>
  <c r="CM29" i="2"/>
  <c r="CL29" i="2"/>
  <c r="CK29" i="2"/>
  <c r="CJ29" i="2"/>
  <c r="CI29" i="2"/>
  <c r="DJ26" i="2"/>
  <c r="CW25" i="2"/>
  <c r="CV25" i="2"/>
  <c r="CU25" i="2"/>
  <c r="CT25" i="2"/>
  <c r="CS25" i="2"/>
  <c r="CR25" i="2"/>
  <c r="CQ25" i="2"/>
  <c r="CP25" i="2"/>
  <c r="CO25" i="2"/>
  <c r="CN25" i="2"/>
  <c r="CM25" i="2"/>
  <c r="CK25" i="2"/>
  <c r="CJ25" i="2"/>
  <c r="CI25" i="2"/>
  <c r="CW24" i="2"/>
  <c r="CV24" i="2"/>
  <c r="CU24" i="2"/>
  <c r="CT24" i="2"/>
  <c r="CS24" i="2"/>
  <c r="CR24" i="2"/>
  <c r="CQ24" i="2"/>
  <c r="CP24" i="2"/>
  <c r="CO24" i="2"/>
  <c r="CN24" i="2"/>
  <c r="CM24" i="2"/>
  <c r="CK24" i="2"/>
  <c r="CJ24" i="2"/>
  <c r="CI24" i="2"/>
  <c r="DJ23" i="2"/>
  <c r="DJ20" i="2"/>
  <c r="CR20" i="2"/>
  <c r="CQ20" i="2"/>
  <c r="CP20" i="2"/>
  <c r="CO20" i="2"/>
  <c r="CN20" i="2"/>
  <c r="CL20" i="2"/>
  <c r="CB20" i="2"/>
  <c r="CA20" i="2"/>
  <c r="BZ20" i="2"/>
  <c r="BY20" i="2"/>
  <c r="DB18" i="2"/>
  <c r="CU18" i="2"/>
  <c r="CS18" i="2"/>
  <c r="CK18" i="2"/>
  <c r="CJ18" i="2"/>
  <c r="CI18" i="2"/>
  <c r="DB12" i="2"/>
  <c r="CU12" i="2"/>
  <c r="CS12" i="2"/>
  <c r="CM12" i="2"/>
  <c r="CK12" i="2"/>
  <c r="CJ12" i="2"/>
  <c r="CI12" i="2"/>
  <c r="DB14" i="2"/>
  <c r="CU14" i="2"/>
  <c r="CS14" i="2"/>
  <c r="CM14" i="2"/>
  <c r="CK14" i="2"/>
  <c r="CJ14" i="2"/>
  <c r="CI14" i="2"/>
  <c r="DB13" i="2"/>
  <c r="CU13" i="2"/>
  <c r="CS13" i="2"/>
  <c r="CM13" i="2"/>
  <c r="CK13" i="2"/>
  <c r="CJ13" i="2"/>
  <c r="CI13" i="2"/>
  <c r="DB16" i="2"/>
  <c r="CU16" i="2"/>
  <c r="CS16" i="2"/>
  <c r="CM16" i="2"/>
  <c r="CK16" i="2"/>
  <c r="CJ16" i="2"/>
  <c r="CI16" i="2"/>
  <c r="DB11" i="2"/>
  <c r="CU11" i="2"/>
  <c r="CS11" i="2"/>
  <c r="CM11" i="2"/>
  <c r="CK11" i="2"/>
  <c r="CJ11" i="2"/>
  <c r="CI11" i="2"/>
  <c r="DB10" i="2"/>
  <c r="DB10" i="5" s="1"/>
  <c r="CU10" i="2"/>
  <c r="CU10" i="5" s="1"/>
  <c r="CS10" i="2"/>
  <c r="CS10" i="5" s="1"/>
  <c r="CR9" i="2"/>
  <c r="CR9" i="5" s="1"/>
  <c r="CQ9" i="2"/>
  <c r="CQ9" i="5" s="1"/>
  <c r="CP9" i="2"/>
  <c r="CP9" i="5" s="1"/>
  <c r="CO9" i="2"/>
  <c r="CO9" i="5" s="1"/>
  <c r="CN9" i="2"/>
  <c r="CN9" i="5" s="1"/>
  <c r="CL9" i="2"/>
  <c r="CL9" i="5" s="1"/>
  <c r="Z16" i="3" l="1"/>
  <c r="AK30" i="3"/>
  <c r="Y25" i="3"/>
  <c r="CJ50" i="3"/>
  <c r="AQ38" i="3"/>
  <c r="AK38" i="3"/>
  <c r="AG25" i="3"/>
  <c r="DJ46" i="2"/>
  <c r="CK48" i="2"/>
  <c r="CI49" i="2"/>
  <c r="AC25" i="3"/>
  <c r="AQ30" i="3"/>
  <c r="AK41" i="3"/>
  <c r="AB30" i="3"/>
  <c r="AA38" i="3"/>
  <c r="AK25" i="3"/>
  <c r="CS49" i="2"/>
  <c r="CK42" i="2"/>
  <c r="AA40" i="2" s="1"/>
  <c r="Z41" i="3"/>
  <c r="CI48" i="2"/>
  <c r="CW50" i="2"/>
  <c r="AK18" i="3"/>
  <c r="AK11" i="3"/>
  <c r="CS48" i="2"/>
  <c r="CK49" i="2"/>
  <c r="CY50" i="2"/>
  <c r="AO37" i="3"/>
  <c r="AK16" i="3"/>
  <c r="AK12" i="3"/>
  <c r="AK14" i="3"/>
  <c r="CY50" i="3"/>
  <c r="AC12" i="3"/>
  <c r="CS50" i="3"/>
  <c r="AC16" i="3"/>
  <c r="CI50" i="3"/>
  <c r="CX50" i="2"/>
  <c r="DD50" i="2"/>
  <c r="DJ48" i="2"/>
  <c r="DJ50" i="2" s="1"/>
  <c r="CJ48" i="2"/>
  <c r="CT48" i="2"/>
  <c r="CJ49" i="2"/>
  <c r="CT49" i="2"/>
  <c r="CV50" i="2"/>
  <c r="CZ50" i="2"/>
  <c r="AV38" i="2"/>
  <c r="AV37" i="2"/>
  <c r="AR41" i="3"/>
  <c r="CU46" i="2"/>
  <c r="AY30" i="2"/>
  <c r="AY29" i="2"/>
  <c r="CY50" i="5"/>
  <c r="DF46" i="2"/>
  <c r="DF48" i="2"/>
  <c r="CJ11" i="5"/>
  <c r="CU11" i="5"/>
  <c r="CU20" i="2"/>
  <c r="AK11" i="2" s="1"/>
  <c r="CI16" i="5"/>
  <c r="CS16" i="5"/>
  <c r="CJ13" i="5"/>
  <c r="CU13" i="5"/>
  <c r="CI14" i="5"/>
  <c r="CS14" i="5"/>
  <c r="DB14" i="5"/>
  <c r="CJ12" i="5"/>
  <c r="CM12" i="5"/>
  <c r="CU12" i="5"/>
  <c r="CI18" i="5"/>
  <c r="CK18" i="5"/>
  <c r="CU18" i="5"/>
  <c r="O18" i="2"/>
  <c r="O16" i="2"/>
  <c r="O14" i="2"/>
  <c r="O13" i="2"/>
  <c r="O12" i="2"/>
  <c r="O11" i="2"/>
  <c r="Q18" i="2"/>
  <c r="Q16" i="2"/>
  <c r="Q14" i="2"/>
  <c r="Q13" i="2"/>
  <c r="Q12" i="2"/>
  <c r="Q11" i="2"/>
  <c r="AB18" i="2"/>
  <c r="AB14" i="2"/>
  <c r="AB12" i="2"/>
  <c r="AB16" i="2"/>
  <c r="AB13" i="2"/>
  <c r="AB11" i="2"/>
  <c r="AE16" i="2"/>
  <c r="AE13" i="2"/>
  <c r="AE11" i="2"/>
  <c r="AE18" i="2"/>
  <c r="AE14" i="2"/>
  <c r="AE12" i="2"/>
  <c r="AG18" i="2"/>
  <c r="AG16" i="2"/>
  <c r="AG14" i="2"/>
  <c r="AG13" i="2"/>
  <c r="AG12" i="2"/>
  <c r="AG11" i="2"/>
  <c r="AZ19" i="2"/>
  <c r="AZ17" i="2"/>
  <c r="AZ15" i="2"/>
  <c r="AZ12" i="2"/>
  <c r="AZ18" i="2"/>
  <c r="AZ16" i="2"/>
  <c r="AZ13" i="2"/>
  <c r="AZ11" i="2"/>
  <c r="CI26" i="2"/>
  <c r="Y24" i="2" s="1"/>
  <c r="CK26" i="2"/>
  <c r="AA24" i="2" s="1"/>
  <c r="CN26" i="2"/>
  <c r="AD24" i="2" s="1"/>
  <c r="CP26" i="2"/>
  <c r="AF24" i="2" s="1"/>
  <c r="CR26" i="2"/>
  <c r="AH24" i="2" s="1"/>
  <c r="CT26" i="2"/>
  <c r="AJ24" i="2" s="1"/>
  <c r="CV26" i="2"/>
  <c r="AL24" i="2" s="1"/>
  <c r="AZ25" i="2"/>
  <c r="AZ24" i="2"/>
  <c r="CJ31" i="2"/>
  <c r="Z29" i="2" s="1"/>
  <c r="CL31" i="2"/>
  <c r="AB29" i="2" s="1"/>
  <c r="CS29" i="5"/>
  <c r="CS31" i="2"/>
  <c r="AI29" i="2" s="1"/>
  <c r="DA29" i="5"/>
  <c r="DA31" i="2"/>
  <c r="AQ29" i="2" s="1"/>
  <c r="BR30" i="5"/>
  <c r="BR31" i="2"/>
  <c r="H29" i="2" s="1"/>
  <c r="CS30" i="5"/>
  <c r="DA30" i="5"/>
  <c r="CI39" i="2"/>
  <c r="Y37" i="2" s="1"/>
  <c r="CK39" i="2"/>
  <c r="AA37" i="2" s="1"/>
  <c r="CS39" i="2"/>
  <c r="AI37" i="2" s="1"/>
  <c r="CU48" i="2"/>
  <c r="CU39" i="2"/>
  <c r="AK37" i="2" s="1"/>
  <c r="CU49" i="2"/>
  <c r="AZ38" i="2"/>
  <c r="AZ37" i="2"/>
  <c r="CJ42" i="2"/>
  <c r="Z40" i="2" s="1"/>
  <c r="CM42" i="2"/>
  <c r="AC40" i="2" s="1"/>
  <c r="CT42" i="2"/>
  <c r="AJ40" i="2" s="1"/>
  <c r="DB42" i="2"/>
  <c r="AR40" i="2" s="1"/>
  <c r="DB48" i="2"/>
  <c r="DB49" i="2"/>
  <c r="DG50" i="2"/>
  <c r="CM11" i="5"/>
  <c r="CK16" i="5"/>
  <c r="DB16" i="5"/>
  <c r="CM13" i="5"/>
  <c r="CK14" i="5"/>
  <c r="CI11" i="5"/>
  <c r="CK11" i="5"/>
  <c r="CS11" i="5"/>
  <c r="CS20" i="2"/>
  <c r="AI16" i="2" s="1"/>
  <c r="DB11" i="5"/>
  <c r="DB20" i="2"/>
  <c r="AR14" i="2" s="1"/>
  <c r="CJ16" i="5"/>
  <c r="CM16" i="5"/>
  <c r="CU16" i="5"/>
  <c r="CI13" i="5"/>
  <c r="CK13" i="5"/>
  <c r="CS13" i="5"/>
  <c r="DB13" i="5"/>
  <c r="CJ14" i="5"/>
  <c r="CM14" i="5"/>
  <c r="CU14" i="5"/>
  <c r="CI12" i="5"/>
  <c r="CK12" i="5"/>
  <c r="CS12" i="5"/>
  <c r="DB12" i="5"/>
  <c r="CJ18" i="5"/>
  <c r="CS18" i="5"/>
  <c r="DB18" i="5"/>
  <c r="P18" i="2"/>
  <c r="P16" i="2"/>
  <c r="P14" i="2"/>
  <c r="P13" i="2"/>
  <c r="P12" i="2"/>
  <c r="P11" i="2"/>
  <c r="R18" i="2"/>
  <c r="R16" i="2"/>
  <c r="R14" i="2"/>
  <c r="R13" i="2"/>
  <c r="R12" i="2"/>
  <c r="R11" i="2"/>
  <c r="AD18" i="2"/>
  <c r="AD14" i="2"/>
  <c r="AD12" i="2"/>
  <c r="AD16" i="2"/>
  <c r="AD13" i="2"/>
  <c r="AD11" i="2"/>
  <c r="AF18" i="2"/>
  <c r="AF16" i="2"/>
  <c r="AF14" i="2"/>
  <c r="AF13" i="2"/>
  <c r="AF12" i="2"/>
  <c r="AF11" i="2"/>
  <c r="AH18" i="2"/>
  <c r="AH16" i="2"/>
  <c r="AH14" i="2"/>
  <c r="AH13" i="2"/>
  <c r="AH12" i="2"/>
  <c r="AH11" i="2"/>
  <c r="AZ22" i="2"/>
  <c r="AZ21" i="2"/>
  <c r="CJ26" i="2"/>
  <c r="Z24" i="2" s="1"/>
  <c r="CM26" i="2"/>
  <c r="AC24" i="2" s="1"/>
  <c r="CO26" i="2"/>
  <c r="AE24" i="2" s="1"/>
  <c r="CQ26" i="2"/>
  <c r="AG24" i="2" s="1"/>
  <c r="CS26" i="2"/>
  <c r="AI24" i="2" s="1"/>
  <c r="CU26" i="2"/>
  <c r="AK24" i="2" s="1"/>
  <c r="CW26" i="2"/>
  <c r="AM24" i="2" s="1"/>
  <c r="AC25" i="2"/>
  <c r="CI31" i="2"/>
  <c r="Y29" i="2" s="1"/>
  <c r="CK31" i="2"/>
  <c r="AA29" i="2" s="1"/>
  <c r="CM31" i="2"/>
  <c r="AC29" i="2" s="1"/>
  <c r="CU31" i="2"/>
  <c r="AK29" i="2" s="1"/>
  <c r="BQ30" i="5"/>
  <c r="BQ31" i="2"/>
  <c r="G29" i="2" s="1"/>
  <c r="AZ30" i="2"/>
  <c r="AZ29" i="2"/>
  <c r="CJ39" i="2"/>
  <c r="Z37" i="2" s="1"/>
  <c r="CM39" i="2"/>
  <c r="AC37" i="2" s="1"/>
  <c r="CT39" i="2"/>
  <c r="AJ37" i="2" s="1"/>
  <c r="DA37" i="5"/>
  <c r="DA48" i="5" s="1"/>
  <c r="DA48" i="2"/>
  <c r="DA39" i="2"/>
  <c r="AQ37" i="2" s="1"/>
  <c r="DA38" i="5"/>
  <c r="DA49" i="5" s="1"/>
  <c r="DA49" i="2"/>
  <c r="CI42" i="2"/>
  <c r="Y40" i="2" s="1"/>
  <c r="DH45" i="5"/>
  <c r="DH49" i="5" s="1"/>
  <c r="DH49" i="2"/>
  <c r="DH50" i="2" s="1"/>
  <c r="DH46" i="2"/>
  <c r="DE46" i="5"/>
  <c r="DE48" i="5"/>
  <c r="DE50" i="5" s="1"/>
  <c r="DE48" i="2"/>
  <c r="AK22" i="2"/>
  <c r="AK21" i="2"/>
  <c r="AM22" i="2"/>
  <c r="AM21" i="2"/>
  <c r="AO22" i="2"/>
  <c r="AO21" i="2"/>
  <c r="Z22" i="2"/>
  <c r="Z21" i="2"/>
  <c r="AB22" i="2"/>
  <c r="AB21" i="2"/>
  <c r="AD22" i="2"/>
  <c r="AD21" i="2"/>
  <c r="AF22" i="2"/>
  <c r="AF21" i="2"/>
  <c r="AH22" i="2"/>
  <c r="AH21" i="2"/>
  <c r="F22" i="2"/>
  <c r="F21" i="2"/>
  <c r="H22" i="2"/>
  <c r="H21" i="2"/>
  <c r="AN25" i="2"/>
  <c r="AN24" i="2"/>
  <c r="AH30" i="2"/>
  <c r="AH29" i="2"/>
  <c r="AJ30" i="2"/>
  <c r="AJ29" i="2"/>
  <c r="AL30" i="2"/>
  <c r="AL29" i="2"/>
  <c r="AN30" i="2"/>
  <c r="AN29" i="2"/>
  <c r="AE29" i="2"/>
  <c r="AE30" i="2"/>
  <c r="AG30" i="2"/>
  <c r="AG29" i="2"/>
  <c r="AM38" i="2"/>
  <c r="AM37" i="2"/>
  <c r="AO38" i="2"/>
  <c r="AO37" i="2"/>
  <c r="AB38" i="2"/>
  <c r="AB37" i="2"/>
  <c r="AD38" i="2"/>
  <c r="AD37" i="2"/>
  <c r="AF38" i="2"/>
  <c r="AF37" i="2"/>
  <c r="AH38" i="2"/>
  <c r="AH37" i="2"/>
  <c r="F38" i="2"/>
  <c r="F37" i="2"/>
  <c r="H38" i="2"/>
  <c r="H37" i="2"/>
  <c r="AL41" i="2"/>
  <c r="AL40" i="2"/>
  <c r="AN41" i="2"/>
  <c r="AN40" i="2"/>
  <c r="AE40" i="2"/>
  <c r="AE41" i="2"/>
  <c r="AG41" i="2"/>
  <c r="AG40" i="2"/>
  <c r="E41" i="2"/>
  <c r="E40" i="2"/>
  <c r="G41" i="2"/>
  <c r="G40" i="2"/>
  <c r="AZ41" i="2"/>
  <c r="AV11" i="2"/>
  <c r="AX11" i="2"/>
  <c r="AV12" i="2"/>
  <c r="AX12" i="2"/>
  <c r="AV13" i="2"/>
  <c r="AX13" i="2"/>
  <c r="AV15" i="2"/>
  <c r="AX15" i="2"/>
  <c r="AV16" i="2"/>
  <c r="AX16" i="2"/>
  <c r="AV17" i="2"/>
  <c r="AX17" i="2"/>
  <c r="AV18" i="2"/>
  <c r="AX18" i="2"/>
  <c r="AV21" i="2"/>
  <c r="AX21" i="2"/>
  <c r="AV24" i="2"/>
  <c r="AX24" i="2"/>
  <c r="AV29" i="2"/>
  <c r="AX29" i="2"/>
  <c r="AX37" i="2"/>
  <c r="AV40" i="2"/>
  <c r="AX40" i="2"/>
  <c r="AU11" i="2"/>
  <c r="AU13" i="2"/>
  <c r="AU16" i="2"/>
  <c r="AU22" i="2"/>
  <c r="AU25" i="2"/>
  <c r="AU30" i="2"/>
  <c r="AU40" i="2"/>
  <c r="AU37" i="2"/>
  <c r="AP11" i="2"/>
  <c r="AT11" i="2"/>
  <c r="AQ12" i="2"/>
  <c r="AS12" i="2"/>
  <c r="AP13" i="2"/>
  <c r="AT13" i="2"/>
  <c r="AQ14" i="2"/>
  <c r="AS14" i="2"/>
  <c r="AP16" i="2"/>
  <c r="AT16" i="2"/>
  <c r="AQ18" i="2"/>
  <c r="AS18" i="2"/>
  <c r="AP21" i="2"/>
  <c r="AR21" i="2"/>
  <c r="AT21" i="2"/>
  <c r="AQ22" i="2"/>
  <c r="AS22" i="2"/>
  <c r="AP24" i="2"/>
  <c r="AR24" i="2"/>
  <c r="AT24" i="2"/>
  <c r="AQ25" i="2"/>
  <c r="AS25" i="2"/>
  <c r="AP29" i="2"/>
  <c r="AR29" i="2"/>
  <c r="AT29" i="2"/>
  <c r="AS30" i="2"/>
  <c r="AP37" i="2"/>
  <c r="AR37" i="2"/>
  <c r="AT37" i="2"/>
  <c r="AS38" i="2"/>
  <c r="AP40" i="2"/>
  <c r="AT40" i="2"/>
  <c r="AQ41" i="2"/>
  <c r="AS41" i="2"/>
  <c r="AJ11" i="2"/>
  <c r="AL11" i="2"/>
  <c r="AN11" i="2"/>
  <c r="AJ12" i="2"/>
  <c r="AL12" i="2"/>
  <c r="AN12" i="2"/>
  <c r="AJ13" i="2"/>
  <c r="AL13" i="2"/>
  <c r="AN13" i="2"/>
  <c r="AJ14" i="2"/>
  <c r="AL14" i="2"/>
  <c r="AJ16" i="2"/>
  <c r="AL16" i="2"/>
  <c r="AO16" i="2"/>
  <c r="AM18" i="2"/>
  <c r="AG21" i="2"/>
  <c r="DG46" i="2"/>
  <c r="DF49" i="2"/>
  <c r="DE46" i="2"/>
  <c r="DE49" i="2"/>
  <c r="AN18" i="2"/>
  <c r="AN16" i="2"/>
  <c r="X16" i="2"/>
  <c r="X13" i="2"/>
  <c r="X11" i="2"/>
  <c r="X18" i="2"/>
  <c r="X14" i="2"/>
  <c r="X12" i="2"/>
  <c r="AJ22" i="2"/>
  <c r="AJ21" i="2"/>
  <c r="AL22" i="2"/>
  <c r="AL21" i="2"/>
  <c r="AN22" i="2"/>
  <c r="AN21" i="2"/>
  <c r="Y21" i="2"/>
  <c r="Y22" i="2"/>
  <c r="AA21" i="2"/>
  <c r="AA22" i="2"/>
  <c r="AC21" i="2"/>
  <c r="AC22" i="2"/>
  <c r="AE21" i="2"/>
  <c r="AE22" i="2"/>
  <c r="E22" i="2"/>
  <c r="E21" i="2"/>
  <c r="G22" i="2"/>
  <c r="G21" i="2"/>
  <c r="AO25" i="2"/>
  <c r="AO24" i="2"/>
  <c r="AB25" i="2"/>
  <c r="AB24" i="2"/>
  <c r="AM30" i="2"/>
  <c r="AM29" i="2"/>
  <c r="AO30" i="2"/>
  <c r="AO29" i="2"/>
  <c r="AD30" i="2"/>
  <c r="AD29" i="2"/>
  <c r="AF30" i="2"/>
  <c r="AF29" i="2"/>
  <c r="F29" i="2"/>
  <c r="F30" i="2"/>
  <c r="AL38" i="2"/>
  <c r="AL37" i="2"/>
  <c r="AN38" i="2"/>
  <c r="AN37" i="2"/>
  <c r="AE37" i="2"/>
  <c r="AE38" i="2"/>
  <c r="AG38" i="2"/>
  <c r="AG37" i="2"/>
  <c r="E38" i="2"/>
  <c r="E37" i="2"/>
  <c r="G38" i="2"/>
  <c r="G37" i="2"/>
  <c r="CS42" i="2"/>
  <c r="AI40" i="2" s="1"/>
  <c r="CU42" i="2"/>
  <c r="AK40" i="2" s="1"/>
  <c r="AM41" i="2"/>
  <c r="AM40" i="2"/>
  <c r="AO41" i="2"/>
  <c r="AO40" i="2"/>
  <c r="AB41" i="2"/>
  <c r="AB40" i="2"/>
  <c r="AD41" i="2"/>
  <c r="AD40" i="2"/>
  <c r="AF41" i="2"/>
  <c r="AF40" i="2"/>
  <c r="AH41" i="2"/>
  <c r="AH40" i="2"/>
  <c r="F41" i="2"/>
  <c r="F40" i="2"/>
  <c r="H41" i="2"/>
  <c r="H40" i="2"/>
  <c r="AW11" i="2"/>
  <c r="AY11" i="2"/>
  <c r="AW12" i="2"/>
  <c r="AY12" i="2"/>
  <c r="AW13" i="2"/>
  <c r="AY13" i="2"/>
  <c r="AW15" i="2"/>
  <c r="AY15" i="2"/>
  <c r="AW16" i="2"/>
  <c r="AY16" i="2"/>
  <c r="AW17" i="2"/>
  <c r="AY17" i="2"/>
  <c r="AW18" i="2"/>
  <c r="AY18" i="2"/>
  <c r="AW21" i="2"/>
  <c r="AY21" i="2"/>
  <c r="AW24" i="2"/>
  <c r="AY24" i="2"/>
  <c r="AW29" i="2"/>
  <c r="AW37" i="2"/>
  <c r="AY37" i="2"/>
  <c r="AW40" i="2"/>
  <c r="AY40" i="2"/>
  <c r="AU12" i="2"/>
  <c r="AU14" i="2"/>
  <c r="AQ11" i="2"/>
  <c r="AS11" i="2"/>
  <c r="AP12" i="2"/>
  <c r="AT12" i="2"/>
  <c r="AQ13" i="2"/>
  <c r="AS13" i="2"/>
  <c r="AP14" i="2"/>
  <c r="AT14" i="2"/>
  <c r="AM11" i="2"/>
  <c r="AO11" i="2"/>
  <c r="AM12" i="2"/>
  <c r="AO12" i="2"/>
  <c r="AM13" i="2"/>
  <c r="AO13" i="2"/>
  <c r="AM14" i="2"/>
  <c r="AO14" i="2"/>
  <c r="AI21" i="2"/>
  <c r="AA41" i="3"/>
  <c r="AI38" i="3"/>
  <c r="Y38" i="3"/>
  <c r="Y18" i="3"/>
  <c r="Y12" i="3"/>
  <c r="AC14" i="3"/>
  <c r="AI41" i="3"/>
  <c r="Y41" i="3"/>
  <c r="AA30" i="3"/>
  <c r="AQ12" i="3"/>
  <c r="AI12" i="3"/>
  <c r="Z14" i="3"/>
  <c r="Z13" i="3"/>
  <c r="AQ11" i="3"/>
  <c r="Y11" i="3"/>
  <c r="Z11" i="3"/>
  <c r="CY39" i="5"/>
  <c r="AO38" i="5" s="1"/>
  <c r="DF20" i="5"/>
  <c r="AV11" i="5" s="1"/>
  <c r="AM25" i="3"/>
  <c r="AI25" i="3"/>
  <c r="AE25" i="3"/>
  <c r="AA25" i="3"/>
  <c r="AA18" i="3"/>
  <c r="AC13" i="3"/>
  <c r="AJ41" i="3"/>
  <c r="AV18" i="3"/>
  <c r="AV13" i="3"/>
  <c r="DA20" i="5"/>
  <c r="AQ11" i="5" s="1"/>
  <c r="AJ38" i="3"/>
  <c r="Z38" i="3"/>
  <c r="CU50" i="3"/>
  <c r="AL25" i="3"/>
  <c r="AH25" i="3"/>
  <c r="AD25" i="3"/>
  <c r="Z25" i="3"/>
  <c r="Z18" i="3"/>
  <c r="AA14" i="3"/>
  <c r="AQ13" i="3"/>
  <c r="AI13" i="3"/>
  <c r="Y13" i="3"/>
  <c r="AA16" i="3"/>
  <c r="AV11" i="3"/>
  <c r="AV17" i="3"/>
  <c r="AV15" i="3"/>
  <c r="AV12" i="3"/>
  <c r="AC37" i="3"/>
  <c r="AC30" i="3"/>
  <c r="Y30" i="3"/>
  <c r="AJ24" i="3"/>
  <c r="AF24" i="3"/>
  <c r="AB24" i="3"/>
  <c r="AA12" i="3"/>
  <c r="AI11" i="3"/>
  <c r="AA11" i="3"/>
  <c r="AC41" i="3"/>
  <c r="DB50" i="3"/>
  <c r="DA50" i="3"/>
  <c r="AI30" i="3"/>
  <c r="AQ18" i="3"/>
  <c r="AI18" i="3"/>
  <c r="AV19" i="3"/>
  <c r="AQ14" i="3"/>
  <c r="AI14" i="3"/>
  <c r="Y14" i="3"/>
  <c r="AC11" i="3"/>
  <c r="DI46" i="2"/>
  <c r="CS9" i="2"/>
  <c r="CS9" i="5" s="1"/>
  <c r="CJ20" i="2"/>
  <c r="Z13" i="2" s="1"/>
  <c r="CM20" i="2"/>
  <c r="AC18" i="2" s="1"/>
  <c r="DI50" i="2"/>
  <c r="CM9" i="2"/>
  <c r="CM9" i="5" s="1"/>
  <c r="CI20" i="2"/>
  <c r="Y16" i="2" s="1"/>
  <c r="CK20" i="2"/>
  <c r="AA18" i="2" s="1"/>
  <c r="CZ49" i="1"/>
  <c r="CY49" i="1"/>
  <c r="CX49" i="1"/>
  <c r="CW49" i="1"/>
  <c r="CV49" i="1"/>
  <c r="CZ48" i="1"/>
  <c r="CY48" i="1"/>
  <c r="CX48" i="1"/>
  <c r="CW48" i="1"/>
  <c r="CV48" i="1"/>
  <c r="CZ46" i="1"/>
  <c r="CY46" i="1"/>
  <c r="CX46" i="1"/>
  <c r="CW46" i="1"/>
  <c r="CV46" i="1"/>
  <c r="CU44" i="1"/>
  <c r="CU45" i="1"/>
  <c r="CU45" i="5" s="1"/>
  <c r="DA49" i="1"/>
  <c r="DA48" i="1"/>
  <c r="DA46" i="1"/>
  <c r="DB46" i="1"/>
  <c r="DC46" i="1"/>
  <c r="DD49" i="1"/>
  <c r="DD48" i="1"/>
  <c r="DD46" i="1"/>
  <c r="CK20" i="1"/>
  <c r="BY20" i="1"/>
  <c r="CK50" i="2" l="1"/>
  <c r="Z30" i="2"/>
  <c r="AA41" i="2"/>
  <c r="AA25" i="2"/>
  <c r="CJ50" i="2"/>
  <c r="Y41" i="2"/>
  <c r="AA38" i="2"/>
  <c r="CI50" i="2"/>
  <c r="CU50" i="2"/>
  <c r="AJ25" i="2"/>
  <c r="AC30" i="2"/>
  <c r="AK14" i="2"/>
  <c r="DE50" i="2"/>
  <c r="DF50" i="2"/>
  <c r="CT50" i="2"/>
  <c r="AJ41" i="2"/>
  <c r="AB30" i="2"/>
  <c r="AK25" i="2"/>
  <c r="AR12" i="2"/>
  <c r="Z41" i="2"/>
  <c r="CS50" i="2"/>
  <c r="AI12" i="2"/>
  <c r="AI13" i="2"/>
  <c r="AK16" i="2"/>
  <c r="AI18" i="2"/>
  <c r="AR41" i="2"/>
  <c r="AK38" i="2"/>
  <c r="Z38" i="2"/>
  <c r="AR13" i="2"/>
  <c r="AR18" i="2"/>
  <c r="AC41" i="2"/>
  <c r="AF25" i="2"/>
  <c r="CI20" i="5"/>
  <c r="Y18" i="5" s="1"/>
  <c r="AV17" i="5"/>
  <c r="CM20" i="5"/>
  <c r="AC16" i="5" s="1"/>
  <c r="AJ38" i="2"/>
  <c r="AG25" i="2"/>
  <c r="AK18" i="2"/>
  <c r="AK12" i="2"/>
  <c r="AV18" i="5"/>
  <c r="AQ13" i="5"/>
  <c r="DA31" i="5"/>
  <c r="AQ29" i="5" s="1"/>
  <c r="DA39" i="5"/>
  <c r="AQ38" i="5" s="1"/>
  <c r="CS20" i="5"/>
  <c r="AI13" i="5" s="1"/>
  <c r="CW50" i="1"/>
  <c r="CY50" i="1"/>
  <c r="CV50" i="1"/>
  <c r="CX50" i="1"/>
  <c r="CZ50" i="1"/>
  <c r="AV13" i="5"/>
  <c r="AC38" i="2"/>
  <c r="Y30" i="2"/>
  <c r="G30" i="2"/>
  <c r="AM25" i="2"/>
  <c r="AI25" i="2"/>
  <c r="AE25" i="2"/>
  <c r="Z25" i="2"/>
  <c r="AR11" i="2"/>
  <c r="DB50" i="2"/>
  <c r="H30" i="2"/>
  <c r="AQ38" i="2"/>
  <c r="DA50" i="2"/>
  <c r="AI38" i="2"/>
  <c r="Y38" i="2"/>
  <c r="AI30" i="2"/>
  <c r="AL25" i="2"/>
  <c r="AH25" i="2"/>
  <c r="AD25" i="2"/>
  <c r="Y25" i="2"/>
  <c r="AK13" i="2"/>
  <c r="AK41" i="2"/>
  <c r="AK30" i="2"/>
  <c r="AA30" i="2"/>
  <c r="BQ31" i="5"/>
  <c r="G29" i="5" s="1"/>
  <c r="Z18" i="2"/>
  <c r="AA12" i="2"/>
  <c r="Y12" i="2"/>
  <c r="AC14" i="2"/>
  <c r="Z14" i="2"/>
  <c r="AA13" i="2"/>
  <c r="Y13" i="2"/>
  <c r="AC16" i="2"/>
  <c r="Z16" i="2"/>
  <c r="DB20" i="5"/>
  <c r="AR18" i="5" s="1"/>
  <c r="AI11" i="2"/>
  <c r="AA11" i="2"/>
  <c r="Y11" i="2"/>
  <c r="AA14" i="2"/>
  <c r="AC13" i="2"/>
  <c r="AR16" i="2"/>
  <c r="AA16" i="2"/>
  <c r="AC11" i="2"/>
  <c r="Z11" i="2"/>
  <c r="AI41" i="2"/>
  <c r="CK20" i="5"/>
  <c r="AQ30" i="2"/>
  <c r="BR31" i="5"/>
  <c r="H29" i="5" s="1"/>
  <c r="CS31" i="5"/>
  <c r="Y18" i="2"/>
  <c r="AC12" i="2"/>
  <c r="Z12" i="2"/>
  <c r="AI14" i="2"/>
  <c r="Y14" i="2"/>
  <c r="CU20" i="5"/>
  <c r="CJ20" i="5"/>
  <c r="AQ14" i="5"/>
  <c r="AQ18" i="5"/>
  <c r="AV16" i="5"/>
  <c r="AV19" i="5"/>
  <c r="AV12" i="5"/>
  <c r="AQ12" i="5"/>
  <c r="AQ16" i="5"/>
  <c r="AV15" i="5"/>
  <c r="AO37" i="5"/>
  <c r="DA50" i="5"/>
  <c r="DD50" i="1"/>
  <c r="CU46" i="1"/>
  <c r="CU44" i="5"/>
  <c r="CU46" i="5" s="1"/>
  <c r="AA18" i="1"/>
  <c r="AA14" i="1"/>
  <c r="AA12" i="1"/>
  <c r="AA13" i="1"/>
  <c r="AA16" i="1"/>
  <c r="AA11" i="1"/>
  <c r="O18" i="1"/>
  <c r="O16" i="1"/>
  <c r="O14" i="1"/>
  <c r="O13" i="1"/>
  <c r="O12" i="1"/>
  <c r="O11" i="1"/>
  <c r="DA50" i="1"/>
  <c r="CI20" i="1"/>
  <c r="CJ20" i="1"/>
  <c r="CL20" i="1"/>
  <c r="DE20" i="1"/>
  <c r="Y11" i="5" l="1"/>
  <c r="Y13" i="5"/>
  <c r="Y16" i="5"/>
  <c r="Y12" i="5"/>
  <c r="Y14" i="5"/>
  <c r="AC14" i="5"/>
  <c r="AQ30" i="5"/>
  <c r="AI18" i="5"/>
  <c r="AC18" i="5"/>
  <c r="AC13" i="5"/>
  <c r="AC12" i="5"/>
  <c r="AC11" i="5"/>
  <c r="AI16" i="5"/>
  <c r="AI11" i="5"/>
  <c r="AI12" i="5"/>
  <c r="AI14" i="5"/>
  <c r="AQ37" i="5"/>
  <c r="AR12" i="5"/>
  <c r="AR16" i="5"/>
  <c r="AR13" i="5"/>
  <c r="AR14" i="5"/>
  <c r="H30" i="5"/>
  <c r="AR11" i="5"/>
  <c r="Z12" i="5"/>
  <c r="Z11" i="5"/>
  <c r="Z18" i="5"/>
  <c r="Z13" i="5"/>
  <c r="Z16" i="5"/>
  <c r="Z14" i="5"/>
  <c r="AA13" i="5"/>
  <c r="AA11" i="5"/>
  <c r="AA14" i="5"/>
  <c r="AA12" i="5"/>
  <c r="AA16" i="5"/>
  <c r="AA18" i="5"/>
  <c r="AK18" i="5"/>
  <c r="AK13" i="5"/>
  <c r="AK14" i="5"/>
  <c r="AK16" i="5"/>
  <c r="AK12" i="5"/>
  <c r="AK11" i="5"/>
  <c r="AI29" i="5"/>
  <c r="AI30" i="5"/>
  <c r="G30" i="5"/>
  <c r="AB16" i="1"/>
  <c r="AB18" i="1"/>
  <c r="AB13" i="1"/>
  <c r="AB11" i="1"/>
  <c r="AB14" i="1"/>
  <c r="AB12" i="1"/>
  <c r="Y18" i="1"/>
  <c r="Y14" i="1"/>
  <c r="Y16" i="1"/>
  <c r="Y12" i="1"/>
  <c r="Y13" i="1"/>
  <c r="Y11" i="1"/>
  <c r="Z16" i="1"/>
  <c r="Z14" i="1"/>
  <c r="Z13" i="1"/>
  <c r="Z11" i="1"/>
  <c r="Z18" i="1"/>
  <c r="Z12" i="1"/>
  <c r="X16" i="1"/>
  <c r="X18" i="1"/>
  <c r="X13" i="1"/>
  <c r="X11" i="1"/>
  <c r="X12" i="1"/>
  <c r="X14" i="1"/>
  <c r="AU16" i="1"/>
  <c r="AU18" i="1"/>
  <c r="AU14" i="1"/>
  <c r="AU13" i="1"/>
  <c r="AU12" i="1"/>
  <c r="AU11" i="1"/>
  <c r="DE49" i="1"/>
  <c r="DE48" i="1"/>
  <c r="DE46" i="1"/>
  <c r="DF49" i="1"/>
  <c r="DF44" i="1"/>
  <c r="DG45" i="1"/>
  <c r="DG44" i="1"/>
  <c r="DH49" i="1"/>
  <c r="DH44" i="1"/>
  <c r="DJ45" i="1"/>
  <c r="DJ49" i="1" s="1"/>
  <c r="DJ44" i="1"/>
  <c r="DJ44" i="5" s="1"/>
  <c r="DJ42" i="1"/>
  <c r="AZ40" i="1" s="1"/>
  <c r="DG20" i="1"/>
  <c r="AW19" i="1" s="1"/>
  <c r="AZ41" i="1" l="1"/>
  <c r="DE50" i="1"/>
  <c r="DJ48" i="5"/>
  <c r="DH48" i="1"/>
  <c r="DH50" i="1" s="1"/>
  <c r="DH44" i="5"/>
  <c r="DG49" i="1"/>
  <c r="DG45" i="5"/>
  <c r="DG49" i="5" s="1"/>
  <c r="DJ46" i="1"/>
  <c r="DJ45" i="5"/>
  <c r="DJ49" i="5" s="1"/>
  <c r="DH46" i="1"/>
  <c r="DG48" i="1"/>
  <c r="DG44" i="5"/>
  <c r="DF48" i="1"/>
  <c r="DF50" i="1" s="1"/>
  <c r="DF44" i="5"/>
  <c r="DG46" i="1"/>
  <c r="DF46" i="1"/>
  <c r="AW11" i="1"/>
  <c r="AW12" i="1"/>
  <c r="AW13" i="1"/>
  <c r="AW15" i="1"/>
  <c r="AW16" i="1"/>
  <c r="AW17" i="1"/>
  <c r="AW18" i="1"/>
  <c r="DJ48" i="1"/>
  <c r="DI45" i="1"/>
  <c r="DI44" i="1"/>
  <c r="DC41" i="1"/>
  <c r="DC41" i="5" s="1"/>
  <c r="DB41" i="1"/>
  <c r="DB41" i="5" s="1"/>
  <c r="CU41" i="1"/>
  <c r="CU41" i="5" s="1"/>
  <c r="CT41" i="1"/>
  <c r="CS41" i="1"/>
  <c r="CM41" i="1"/>
  <c r="CM41" i="5" s="1"/>
  <c r="CL41" i="1"/>
  <c r="CK41" i="1"/>
  <c r="CJ41" i="1"/>
  <c r="CI41" i="1"/>
  <c r="CU38" i="5"/>
  <c r="CT38" i="5"/>
  <c r="CS38" i="5"/>
  <c r="CM38" i="5"/>
  <c r="CL38" i="5"/>
  <c r="CK38" i="5"/>
  <c r="CJ38" i="5"/>
  <c r="CI38" i="5"/>
  <c r="DJ31" i="1"/>
  <c r="CU30" i="5"/>
  <c r="CM30" i="1"/>
  <c r="CM30" i="5" s="1"/>
  <c r="CL30" i="1"/>
  <c r="CL30" i="5" s="1"/>
  <c r="CK30" i="1"/>
  <c r="CK30" i="5" s="1"/>
  <c r="CJ30" i="1"/>
  <c r="CJ30" i="5" s="1"/>
  <c r="CI30" i="1"/>
  <c r="CI30" i="5" s="1"/>
  <c r="CM29" i="1"/>
  <c r="CL29" i="1"/>
  <c r="CK29" i="1"/>
  <c r="CJ29" i="1"/>
  <c r="CI29" i="1"/>
  <c r="CW25" i="1"/>
  <c r="CW25" i="5" s="1"/>
  <c r="CV25" i="1"/>
  <c r="CV25" i="5" s="1"/>
  <c r="CU25" i="1"/>
  <c r="CU25" i="5" s="1"/>
  <c r="CT25" i="1"/>
  <c r="CT25" i="5" s="1"/>
  <c r="CS25" i="1"/>
  <c r="CS25" i="5" s="1"/>
  <c r="CR25" i="1"/>
  <c r="CR25" i="5" s="1"/>
  <c r="CQ25" i="1"/>
  <c r="CQ25" i="5" s="1"/>
  <c r="CP25" i="1"/>
  <c r="CP25" i="5" s="1"/>
  <c r="CO25" i="1"/>
  <c r="CO25" i="5" s="1"/>
  <c r="CN25" i="1"/>
  <c r="CN25" i="5" s="1"/>
  <c r="CM25" i="1"/>
  <c r="CM25" i="5" s="1"/>
  <c r="CL25" i="1"/>
  <c r="CL25" i="5" s="1"/>
  <c r="CK25" i="1"/>
  <c r="CK25" i="5" s="1"/>
  <c r="CJ25" i="1"/>
  <c r="CJ25" i="5" s="1"/>
  <c r="CI25" i="1"/>
  <c r="CI25" i="5" s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DJ23" i="1"/>
  <c r="DJ20" i="1"/>
  <c r="DI20" i="1"/>
  <c r="DH20" i="1"/>
  <c r="DD20" i="1"/>
  <c r="DC20" i="1"/>
  <c r="DB20" i="1"/>
  <c r="DA20" i="1"/>
  <c r="CZ20" i="1"/>
  <c r="CY20" i="1"/>
  <c r="CX20" i="1"/>
  <c r="CW20" i="1"/>
  <c r="CV20" i="1"/>
  <c r="CT20" i="1"/>
  <c r="CR20" i="1"/>
  <c r="CQ20" i="1"/>
  <c r="CP20" i="1"/>
  <c r="CO20" i="1"/>
  <c r="CN20" i="1"/>
  <c r="CB20" i="1"/>
  <c r="CA20" i="1"/>
  <c r="BZ20" i="1"/>
  <c r="DF20" i="1"/>
  <c r="DG50" i="1" l="1"/>
  <c r="CJ41" i="5"/>
  <c r="CJ49" i="5" s="1"/>
  <c r="CJ49" i="1"/>
  <c r="CJ50" i="1" s="1"/>
  <c r="CS41" i="5"/>
  <c r="CS49" i="5" s="1"/>
  <c r="CS49" i="1"/>
  <c r="CS50" i="1" s="1"/>
  <c r="CK41" i="5"/>
  <c r="CK49" i="5" s="1"/>
  <c r="CK49" i="1"/>
  <c r="CK50" i="1" s="1"/>
  <c r="CT41" i="5"/>
  <c r="CT49" i="5" s="1"/>
  <c r="CT49" i="1"/>
  <c r="CT50" i="1" s="1"/>
  <c r="CL41" i="5"/>
  <c r="CL49" i="5" s="1"/>
  <c r="CL49" i="1"/>
  <c r="CL50" i="1" s="1"/>
  <c r="CI41" i="5"/>
  <c r="CI49" i="5" s="1"/>
  <c r="CI49" i="1"/>
  <c r="CI50" i="1" s="1"/>
  <c r="CI24" i="5"/>
  <c r="CI26" i="1"/>
  <c r="Y24" i="1" s="1"/>
  <c r="CK24" i="5"/>
  <c r="CK26" i="1"/>
  <c r="AA24" i="1" s="1"/>
  <c r="CM24" i="5"/>
  <c r="CM26" i="5" s="1"/>
  <c r="AC24" i="5" s="1"/>
  <c r="CM26" i="1"/>
  <c r="AC24" i="1" s="1"/>
  <c r="CO24" i="5"/>
  <c r="CO26" i="5" s="1"/>
  <c r="AE24" i="5" s="1"/>
  <c r="CO26" i="1"/>
  <c r="AE24" i="1" s="1"/>
  <c r="CQ24" i="5"/>
  <c r="CQ26" i="5" s="1"/>
  <c r="AG24" i="5" s="1"/>
  <c r="CQ26" i="1"/>
  <c r="AG24" i="1" s="1"/>
  <c r="CS24" i="5"/>
  <c r="CS26" i="5" s="1"/>
  <c r="AI24" i="5" s="1"/>
  <c r="CS26" i="1"/>
  <c r="CU24" i="5"/>
  <c r="CU26" i="1"/>
  <c r="AK24" i="1" s="1"/>
  <c r="CW24" i="5"/>
  <c r="CW26" i="1"/>
  <c r="AM24" i="1" s="1"/>
  <c r="CJ29" i="5"/>
  <c r="CJ31" i="1"/>
  <c r="Z30" i="1" s="1"/>
  <c r="CL29" i="5"/>
  <c r="CL31" i="1"/>
  <c r="AB29" i="1" s="1"/>
  <c r="CU29" i="5"/>
  <c r="CU31" i="1"/>
  <c r="AK30" i="1" s="1"/>
  <c r="CI37" i="5"/>
  <c r="CK37" i="5"/>
  <c r="CM37" i="5"/>
  <c r="CM39" i="5" s="1"/>
  <c r="AC37" i="5" s="1"/>
  <c r="CT37" i="5"/>
  <c r="CJ40" i="5"/>
  <c r="CJ42" i="1"/>
  <c r="Z40" i="1" s="1"/>
  <c r="CL40" i="5"/>
  <c r="CL42" i="1"/>
  <c r="AB40" i="1" s="1"/>
  <c r="CS40" i="5"/>
  <c r="CS42" i="1"/>
  <c r="AI40" i="1" s="1"/>
  <c r="CU40" i="5"/>
  <c r="CU42" i="1"/>
  <c r="AK40" i="1" s="1"/>
  <c r="DC40" i="5"/>
  <c r="DC42" i="1"/>
  <c r="AS40" i="1" s="1"/>
  <c r="DC49" i="5"/>
  <c r="DI49" i="1"/>
  <c r="DI45" i="5"/>
  <c r="DI49" i="5" s="1"/>
  <c r="DH46" i="5"/>
  <c r="DH48" i="5"/>
  <c r="DH50" i="5" s="1"/>
  <c r="DJ46" i="5"/>
  <c r="CJ24" i="5"/>
  <c r="CJ26" i="1"/>
  <c r="Z25" i="1" s="1"/>
  <c r="CL24" i="5"/>
  <c r="CL26" i="1"/>
  <c r="AB25" i="1" s="1"/>
  <c r="CN24" i="5"/>
  <c r="CN26" i="1"/>
  <c r="CP24" i="5"/>
  <c r="CP26" i="1"/>
  <c r="AF25" i="1" s="1"/>
  <c r="CR24" i="5"/>
  <c r="CR26" i="1"/>
  <c r="AH25" i="1" s="1"/>
  <c r="CT24" i="5"/>
  <c r="CT26" i="1"/>
  <c r="AJ25" i="1" s="1"/>
  <c r="CV24" i="5"/>
  <c r="CV26" i="1"/>
  <c r="AL25" i="1" s="1"/>
  <c r="CI29" i="5"/>
  <c r="CI31" i="1"/>
  <c r="Y29" i="1" s="1"/>
  <c r="CK29" i="5"/>
  <c r="CK31" i="1"/>
  <c r="AA30" i="1" s="1"/>
  <c r="CM29" i="5"/>
  <c r="CM31" i="1"/>
  <c r="AC29" i="1" s="1"/>
  <c r="CJ37" i="5"/>
  <c r="CL37" i="5"/>
  <c r="CS37" i="5"/>
  <c r="CU37" i="5"/>
  <c r="CU49" i="5"/>
  <c r="CI40" i="5"/>
  <c r="CI42" i="1"/>
  <c r="Y40" i="1" s="1"/>
  <c r="CK40" i="5"/>
  <c r="CK42" i="1"/>
  <c r="AA40" i="1" s="1"/>
  <c r="CM40" i="5"/>
  <c r="CM42" i="1"/>
  <c r="AC40" i="1" s="1"/>
  <c r="CT40" i="5"/>
  <c r="CT42" i="1"/>
  <c r="AJ40" i="1" s="1"/>
  <c r="DB40" i="5"/>
  <c r="DB42" i="1"/>
  <c r="AR40" i="1" s="1"/>
  <c r="DB49" i="5"/>
  <c r="DI48" i="1"/>
  <c r="DI44" i="5"/>
  <c r="DF46" i="5"/>
  <c r="DF48" i="5"/>
  <c r="DF50" i="5" s="1"/>
  <c r="DG48" i="5"/>
  <c r="DG50" i="5" s="1"/>
  <c r="DG46" i="5"/>
  <c r="DJ50" i="5"/>
  <c r="Q18" i="1"/>
  <c r="Q16" i="1"/>
  <c r="Q14" i="1"/>
  <c r="Q13" i="1"/>
  <c r="Q12" i="1"/>
  <c r="Q11" i="1"/>
  <c r="P13" i="1"/>
  <c r="P18" i="1"/>
  <c r="P14" i="1"/>
  <c r="P12" i="1"/>
  <c r="P16" i="1"/>
  <c r="P11" i="1"/>
  <c r="R18" i="1"/>
  <c r="R16" i="1"/>
  <c r="R14" i="1"/>
  <c r="R13" i="1"/>
  <c r="R12" i="1"/>
  <c r="R11" i="1"/>
  <c r="AE18" i="1"/>
  <c r="AE14" i="1"/>
  <c r="AE12" i="1"/>
  <c r="AE16" i="1"/>
  <c r="AE13" i="1"/>
  <c r="AE11" i="1"/>
  <c r="AG18" i="1"/>
  <c r="AG14" i="1"/>
  <c r="AG16" i="1"/>
  <c r="AG12" i="1"/>
  <c r="AG13" i="1"/>
  <c r="AG11" i="1"/>
  <c r="AJ16" i="1"/>
  <c r="AJ18" i="1"/>
  <c r="AJ13" i="1"/>
  <c r="AJ11" i="1"/>
  <c r="AJ14" i="1"/>
  <c r="AJ12" i="1"/>
  <c r="AM18" i="1"/>
  <c r="AM16" i="1"/>
  <c r="AM14" i="1"/>
  <c r="AM13" i="1"/>
  <c r="AM12" i="1"/>
  <c r="AM11" i="1"/>
  <c r="AO18" i="1"/>
  <c r="AO16" i="1"/>
  <c r="AO14" i="1"/>
  <c r="AO13" i="1"/>
  <c r="AO12" i="1"/>
  <c r="AO11" i="1"/>
  <c r="AQ18" i="1"/>
  <c r="AQ16" i="1"/>
  <c r="AQ14" i="1"/>
  <c r="AQ13" i="1"/>
  <c r="AQ12" i="1"/>
  <c r="AQ11" i="1"/>
  <c r="AS18" i="1"/>
  <c r="AS16" i="1"/>
  <c r="AS14" i="1"/>
  <c r="AS13" i="1"/>
  <c r="AS12" i="1"/>
  <c r="AS11" i="1"/>
  <c r="F22" i="1"/>
  <c r="F21" i="1"/>
  <c r="H21" i="1"/>
  <c r="H22" i="1"/>
  <c r="Y22" i="1"/>
  <c r="Y21" i="1"/>
  <c r="AA22" i="1"/>
  <c r="AA21" i="1"/>
  <c r="AC22" i="1"/>
  <c r="AC21" i="1"/>
  <c r="AE22" i="1"/>
  <c r="AE21" i="1"/>
  <c r="AG22" i="1"/>
  <c r="AG21" i="1"/>
  <c r="AI21" i="1"/>
  <c r="AI22" i="1"/>
  <c r="AK22" i="1"/>
  <c r="AK21" i="1"/>
  <c r="AM22" i="1"/>
  <c r="AM21" i="1"/>
  <c r="AO22" i="1"/>
  <c r="AO21" i="1"/>
  <c r="AQ22" i="1"/>
  <c r="AQ21" i="1"/>
  <c r="AS22" i="1"/>
  <c r="AS21" i="1"/>
  <c r="AU22" i="1"/>
  <c r="AU21" i="1"/>
  <c r="AW22" i="1"/>
  <c r="AW21" i="1"/>
  <c r="AY22" i="1"/>
  <c r="AY21" i="1"/>
  <c r="AI24" i="1"/>
  <c r="AN25" i="1"/>
  <c r="AN24" i="1"/>
  <c r="AP25" i="1"/>
  <c r="AP24" i="1"/>
  <c r="AR25" i="1"/>
  <c r="AR24" i="1"/>
  <c r="AT25" i="1"/>
  <c r="AT24" i="1"/>
  <c r="AV24" i="1"/>
  <c r="AV25" i="1"/>
  <c r="AX24" i="1"/>
  <c r="AX25" i="1"/>
  <c r="AZ25" i="1"/>
  <c r="AZ24" i="1"/>
  <c r="G30" i="1"/>
  <c r="G29" i="1"/>
  <c r="I30" i="1"/>
  <c r="I29" i="1"/>
  <c r="AE30" i="1"/>
  <c r="AE29" i="1"/>
  <c r="AG29" i="1"/>
  <c r="AG30" i="1"/>
  <c r="AI30" i="1"/>
  <c r="AI29" i="1"/>
  <c r="AL30" i="1"/>
  <c r="AL29" i="1"/>
  <c r="AN30" i="1"/>
  <c r="AN29" i="1"/>
  <c r="AP30" i="1"/>
  <c r="AP29" i="1"/>
  <c r="AR30" i="1"/>
  <c r="AR29" i="1"/>
  <c r="AT30" i="1"/>
  <c r="AT29" i="1"/>
  <c r="AV29" i="1"/>
  <c r="AV30" i="1"/>
  <c r="AX29" i="1"/>
  <c r="AX30" i="1"/>
  <c r="AZ30" i="1"/>
  <c r="AZ29" i="1"/>
  <c r="CU48" i="1"/>
  <c r="CU49" i="1"/>
  <c r="DB48" i="1"/>
  <c r="DB49" i="1"/>
  <c r="E41" i="1"/>
  <c r="G41" i="1"/>
  <c r="I41" i="1"/>
  <c r="AE41" i="1"/>
  <c r="AG41" i="1"/>
  <c r="AL41" i="1"/>
  <c r="AN41" i="1"/>
  <c r="AP41" i="1"/>
  <c r="AT41" i="1"/>
  <c r="AV41" i="1"/>
  <c r="AX41" i="1"/>
  <c r="AD16" i="1"/>
  <c r="AD14" i="1"/>
  <c r="AD13" i="1"/>
  <c r="AD11" i="1"/>
  <c r="AD18" i="1"/>
  <c r="AD12" i="1"/>
  <c r="AF16" i="1"/>
  <c r="AF18" i="1"/>
  <c r="AF13" i="1"/>
  <c r="AF11" i="1"/>
  <c r="AF14" i="1"/>
  <c r="AF12" i="1"/>
  <c r="AH16" i="1"/>
  <c r="AH14" i="1"/>
  <c r="AH13" i="1"/>
  <c r="AH11" i="1"/>
  <c r="AH18" i="1"/>
  <c r="AH12" i="1"/>
  <c r="AL18" i="1"/>
  <c r="AL12" i="1"/>
  <c r="AL16" i="1"/>
  <c r="AL13" i="1"/>
  <c r="AL11" i="1"/>
  <c r="AL14" i="1"/>
  <c r="AN16" i="1"/>
  <c r="AN18" i="1"/>
  <c r="AN14" i="1"/>
  <c r="AN12" i="1"/>
  <c r="AN11" i="1"/>
  <c r="AN13" i="1"/>
  <c r="AP14" i="1"/>
  <c r="AP16" i="1"/>
  <c r="AP13" i="1"/>
  <c r="AP11" i="1"/>
  <c r="AP18" i="1"/>
  <c r="AP12" i="1"/>
  <c r="AR13" i="1"/>
  <c r="AR18" i="1"/>
  <c r="AR14" i="1"/>
  <c r="AR12" i="1"/>
  <c r="AR11" i="1"/>
  <c r="AR16" i="1"/>
  <c r="AT18" i="1"/>
  <c r="AT12" i="1"/>
  <c r="AT16" i="1"/>
  <c r="AT13" i="1"/>
  <c r="AT11" i="1"/>
  <c r="AT14" i="1"/>
  <c r="E21" i="1"/>
  <c r="E22" i="1"/>
  <c r="G22" i="1"/>
  <c r="G21" i="1"/>
  <c r="I22" i="1"/>
  <c r="I21" i="1"/>
  <c r="Z22" i="1"/>
  <c r="Z21" i="1"/>
  <c r="AB22" i="1"/>
  <c r="AB21" i="1"/>
  <c r="AD22" i="1"/>
  <c r="AD21" i="1"/>
  <c r="AF22" i="1"/>
  <c r="AF21" i="1"/>
  <c r="AH22" i="1"/>
  <c r="AH21" i="1"/>
  <c r="AJ22" i="1"/>
  <c r="AJ21" i="1"/>
  <c r="AL22" i="1"/>
  <c r="AL21" i="1"/>
  <c r="AN22" i="1"/>
  <c r="AN21" i="1"/>
  <c r="AP22" i="1"/>
  <c r="AP21" i="1"/>
  <c r="AR22" i="1"/>
  <c r="AR21" i="1"/>
  <c r="AT22" i="1"/>
  <c r="AT21" i="1"/>
  <c r="AV21" i="1"/>
  <c r="AV22" i="1"/>
  <c r="AX21" i="1"/>
  <c r="AX22" i="1"/>
  <c r="AZ22" i="1"/>
  <c r="AZ21" i="1"/>
  <c r="AD25" i="1"/>
  <c r="AD24" i="1"/>
  <c r="AH24" i="1"/>
  <c r="AI25" i="1"/>
  <c r="AO25" i="1"/>
  <c r="AO24" i="1"/>
  <c r="AQ24" i="1"/>
  <c r="AQ25" i="1"/>
  <c r="AS25" i="1"/>
  <c r="AS24" i="1"/>
  <c r="AU25" i="1"/>
  <c r="AU24" i="1"/>
  <c r="AW25" i="1"/>
  <c r="AW24" i="1"/>
  <c r="AY25" i="1"/>
  <c r="AY24" i="1"/>
  <c r="F30" i="1"/>
  <c r="F29" i="1"/>
  <c r="H30" i="1"/>
  <c r="H29" i="1"/>
  <c r="AD30" i="1"/>
  <c r="AD29" i="1"/>
  <c r="AF30" i="1"/>
  <c r="AF29" i="1"/>
  <c r="AH30" i="1"/>
  <c r="AH29" i="1"/>
  <c r="AJ30" i="1"/>
  <c r="AJ29" i="1"/>
  <c r="AM29" i="1"/>
  <c r="AM30" i="1"/>
  <c r="AO30" i="1"/>
  <c r="AO29" i="1"/>
  <c r="AQ29" i="1"/>
  <c r="AQ30" i="1"/>
  <c r="AS30" i="1"/>
  <c r="AS29" i="1"/>
  <c r="AU30" i="1"/>
  <c r="AU29" i="1"/>
  <c r="AW30" i="1"/>
  <c r="AW29" i="1"/>
  <c r="AY30" i="1"/>
  <c r="AY29" i="1"/>
  <c r="DC48" i="1"/>
  <c r="DC49" i="1"/>
  <c r="F41" i="1"/>
  <c r="H41" i="1"/>
  <c r="AD41" i="1"/>
  <c r="AF41" i="1"/>
  <c r="AH41" i="1"/>
  <c r="AM41" i="1"/>
  <c r="AO41" i="1"/>
  <c r="AQ41" i="1"/>
  <c r="AU41" i="1"/>
  <c r="AW41" i="1"/>
  <c r="AY41" i="1"/>
  <c r="AY19" i="1"/>
  <c r="AY18" i="1"/>
  <c r="AY17" i="1"/>
  <c r="AY16" i="1"/>
  <c r="AY15" i="1"/>
  <c r="AY13" i="1"/>
  <c r="AY12" i="1"/>
  <c r="AY11" i="1"/>
  <c r="AV19" i="1"/>
  <c r="AV18" i="1"/>
  <c r="AV17" i="1"/>
  <c r="AV16" i="1"/>
  <c r="AV15" i="1"/>
  <c r="AV13" i="1"/>
  <c r="AV12" i="1"/>
  <c r="AV11" i="1"/>
  <c r="AX19" i="1"/>
  <c r="AX18" i="1"/>
  <c r="AX17" i="1"/>
  <c r="AX16" i="1"/>
  <c r="AX15" i="1"/>
  <c r="AX13" i="1"/>
  <c r="AX12" i="1"/>
  <c r="AX11" i="1"/>
  <c r="AZ19" i="1"/>
  <c r="AZ17" i="1"/>
  <c r="AZ15" i="1"/>
  <c r="AZ12" i="1"/>
  <c r="AZ18" i="1"/>
  <c r="AZ16" i="1"/>
  <c r="AZ13" i="1"/>
  <c r="AZ11" i="1"/>
  <c r="DI46" i="1"/>
  <c r="CM20" i="1"/>
  <c r="DJ50" i="1"/>
  <c r="CU20" i="1"/>
  <c r="CS20" i="1"/>
  <c r="AA25" i="1" l="1"/>
  <c r="AC25" i="1"/>
  <c r="AM25" i="1"/>
  <c r="AJ41" i="1"/>
  <c r="DI50" i="1"/>
  <c r="CT42" i="5"/>
  <c r="AJ40" i="5" s="1"/>
  <c r="AE25" i="1"/>
  <c r="AL24" i="1"/>
  <c r="Z24" i="1"/>
  <c r="AK25" i="1"/>
  <c r="AA41" i="1"/>
  <c r="AC25" i="5"/>
  <c r="CL42" i="5"/>
  <c r="AB40" i="5" s="1"/>
  <c r="AJ24" i="1"/>
  <c r="AF24" i="1"/>
  <c r="AB24" i="1"/>
  <c r="AG25" i="1"/>
  <c r="Y25" i="1"/>
  <c r="CK48" i="5"/>
  <c r="CK50" i="5" s="1"/>
  <c r="CS39" i="5"/>
  <c r="AI37" i="5" s="1"/>
  <c r="CS48" i="5"/>
  <c r="CS50" i="5" s="1"/>
  <c r="CL48" i="5"/>
  <c r="CL50" i="5" s="1"/>
  <c r="AC38" i="5"/>
  <c r="CI48" i="5"/>
  <c r="CI50" i="5" s="1"/>
  <c r="CJ48" i="5"/>
  <c r="CJ50" i="5" s="1"/>
  <c r="CT48" i="5"/>
  <c r="CT50" i="5" s="1"/>
  <c r="AG25" i="5"/>
  <c r="AI25" i="5"/>
  <c r="AE25" i="5"/>
  <c r="CU39" i="5"/>
  <c r="AK38" i="5" s="1"/>
  <c r="CU48" i="5"/>
  <c r="CU50" i="5" s="1"/>
  <c r="CL39" i="5"/>
  <c r="AB38" i="5" s="1"/>
  <c r="CJ39" i="5"/>
  <c r="Z38" i="5" s="1"/>
  <c r="CM31" i="5"/>
  <c r="AC30" i="5" s="1"/>
  <c r="CK31" i="5"/>
  <c r="AA30" i="5" s="1"/>
  <c r="CI31" i="5"/>
  <c r="Y30" i="5" s="1"/>
  <c r="CV26" i="5"/>
  <c r="AL25" i="5" s="1"/>
  <c r="CT26" i="5"/>
  <c r="AJ25" i="5" s="1"/>
  <c r="CR26" i="5"/>
  <c r="AH25" i="5" s="1"/>
  <c r="CP26" i="5"/>
  <c r="AF25" i="5" s="1"/>
  <c r="CN26" i="5"/>
  <c r="AD25" i="5" s="1"/>
  <c r="CL26" i="5"/>
  <c r="AB25" i="5" s="1"/>
  <c r="CJ26" i="5"/>
  <c r="Z25" i="5" s="1"/>
  <c r="DC42" i="5"/>
  <c r="AS41" i="5" s="1"/>
  <c r="DC48" i="5"/>
  <c r="DC50" i="5" s="1"/>
  <c r="CU42" i="5"/>
  <c r="AK41" i="5" s="1"/>
  <c r="CS42" i="5"/>
  <c r="AI41" i="5" s="1"/>
  <c r="CJ42" i="5"/>
  <c r="Z41" i="5" s="1"/>
  <c r="CT39" i="5"/>
  <c r="AJ38" i="5" s="1"/>
  <c r="CK39" i="5"/>
  <c r="AA38" i="5" s="1"/>
  <c r="CI39" i="5"/>
  <c r="Y38" i="5" s="1"/>
  <c r="CU50" i="1"/>
  <c r="DI48" i="5"/>
  <c r="DI50" i="5" s="1"/>
  <c r="DI46" i="5"/>
  <c r="DB42" i="5"/>
  <c r="AR41" i="5" s="1"/>
  <c r="DB48" i="5"/>
  <c r="DB50" i="5" s="1"/>
  <c r="CM42" i="5"/>
  <c r="AC41" i="5" s="1"/>
  <c r="CK42" i="5"/>
  <c r="AA41" i="5" s="1"/>
  <c r="CI42" i="5"/>
  <c r="Y41" i="5" s="1"/>
  <c r="CU31" i="5"/>
  <c r="AK30" i="5" s="1"/>
  <c r="CL31" i="5"/>
  <c r="AB30" i="5" s="1"/>
  <c r="CJ31" i="5"/>
  <c r="Z30" i="5" s="1"/>
  <c r="CW26" i="5"/>
  <c r="AM25" i="5" s="1"/>
  <c r="CU26" i="5"/>
  <c r="AK25" i="5" s="1"/>
  <c r="CK26" i="5"/>
  <c r="AA25" i="5" s="1"/>
  <c r="CI26" i="5"/>
  <c r="Y25" i="5" s="1"/>
  <c r="AI18" i="1"/>
  <c r="AI14" i="1"/>
  <c r="AI12" i="1"/>
  <c r="AI11" i="1"/>
  <c r="AI13" i="1"/>
  <c r="AI16" i="1"/>
  <c r="AK41" i="1"/>
  <c r="AB41" i="1"/>
  <c r="DC50" i="1"/>
  <c r="AC30" i="1"/>
  <c r="Y30" i="1"/>
  <c r="AA29" i="1"/>
  <c r="DB50" i="1"/>
  <c r="AB30" i="1"/>
  <c r="AK29" i="1"/>
  <c r="Z29" i="1"/>
  <c r="AC18" i="1"/>
  <c r="AC14" i="1"/>
  <c r="AC16" i="1"/>
  <c r="AC12" i="1"/>
  <c r="AC11" i="1"/>
  <c r="AC13" i="1"/>
  <c r="AK18" i="1"/>
  <c r="AK16" i="1"/>
  <c r="AK14" i="1"/>
  <c r="AK13" i="1"/>
  <c r="AK12" i="1"/>
  <c r="AK11" i="1"/>
  <c r="AS41" i="1"/>
  <c r="AI41" i="1"/>
  <c r="Z41" i="1"/>
  <c r="AR41" i="1"/>
  <c r="AC41" i="1"/>
  <c r="Y41" i="1"/>
  <c r="AJ41" i="5" l="1"/>
  <c r="AB41" i="5"/>
  <c r="AI38" i="5"/>
  <c r="AR40" i="5"/>
  <c r="AS40" i="5"/>
  <c r="AK37" i="5"/>
  <c r="AM24" i="5"/>
  <c r="AB29" i="5"/>
  <c r="AK29" i="5"/>
  <c r="Y40" i="5"/>
  <c r="AA40" i="5"/>
  <c r="AC40" i="5"/>
  <c r="Y37" i="5"/>
  <c r="AA37" i="5"/>
  <c r="AJ37" i="5"/>
  <c r="Z40" i="5"/>
  <c r="AI40" i="5"/>
  <c r="AK40" i="5"/>
  <c r="AB37" i="5"/>
  <c r="Y24" i="5"/>
  <c r="AA24" i="5"/>
  <c r="AK24" i="5"/>
  <c r="Z29" i="5"/>
  <c r="Z24" i="5"/>
  <c r="AB24" i="5"/>
  <c r="AD24" i="5"/>
  <c r="AF24" i="5"/>
  <c r="AH24" i="5"/>
  <c r="AJ24" i="5"/>
  <c r="AL24" i="5"/>
  <c r="Y29" i="5"/>
  <c r="AA29" i="5"/>
  <c r="AC29" i="5"/>
  <c r="Z37" i="5"/>
</calcChain>
</file>

<file path=xl/sharedStrings.xml><?xml version="1.0" encoding="utf-8"?>
<sst xmlns="http://schemas.openxmlformats.org/spreadsheetml/2006/main" count="987" uniqueCount="118">
  <si>
    <t>TABLE 1.31</t>
  </si>
  <si>
    <t>STUDENT DEMOGRAPHICS</t>
  </si>
  <si>
    <t>UNIVERSITY OF MISSOURI-COLUMBIA</t>
  </si>
  <si>
    <t>Fall 1966</t>
  </si>
  <si>
    <t>Fall 1967</t>
  </si>
  <si>
    <t>Fall 1968</t>
  </si>
  <si>
    <t>Fall 1969</t>
  </si>
  <si>
    <t>Fall 1970</t>
  </si>
  <si>
    <t>Fall 1971</t>
  </si>
  <si>
    <t>Fall 1972</t>
  </si>
  <si>
    <t>Fall 1973</t>
  </si>
  <si>
    <t>Fall 1974</t>
  </si>
  <si>
    <t>Fall 1975</t>
  </si>
  <si>
    <t>Fall 1976</t>
  </si>
  <si>
    <t>Fall 1977</t>
  </si>
  <si>
    <t>Fall 1978</t>
  </si>
  <si>
    <t>Fall 1979</t>
  </si>
  <si>
    <t>Fall 1980</t>
  </si>
  <si>
    <t>Fall 1981</t>
  </si>
  <si>
    <t>Fall 1982</t>
  </si>
  <si>
    <t>Fall 1983</t>
  </si>
  <si>
    <t>Fall 1984</t>
  </si>
  <si>
    <t>Fall 1985</t>
  </si>
  <si>
    <t>Fall 1986</t>
  </si>
  <si>
    <t>Fall 1987</t>
  </si>
  <si>
    <t>Fall 1988</t>
  </si>
  <si>
    <t>Fall 1989</t>
  </si>
  <si>
    <t>Fall 1990</t>
  </si>
  <si>
    <t>Fall 1991</t>
  </si>
  <si>
    <t>Fall 1992</t>
  </si>
  <si>
    <t>Fall 1993</t>
  </si>
  <si>
    <t>Fall 1994</t>
  </si>
  <si>
    <t>Fall 1995</t>
  </si>
  <si>
    <t>Fall 1996</t>
  </si>
  <si>
    <t>Fall 1997</t>
  </si>
  <si>
    <t>Fall 1998</t>
  </si>
  <si>
    <t>Fall 1999</t>
  </si>
  <si>
    <t>Fall 2000</t>
  </si>
  <si>
    <t>Fall 2001</t>
  </si>
  <si>
    <t>Fall 2002</t>
  </si>
  <si>
    <t>Fall 2003</t>
  </si>
  <si>
    <t>Fall 2004</t>
  </si>
  <si>
    <t>Fall 2005</t>
  </si>
  <si>
    <t>Fall 2006</t>
  </si>
  <si>
    <t>Fall 2007</t>
  </si>
  <si>
    <t>Fall 2008</t>
  </si>
  <si>
    <t>Fall 2009</t>
  </si>
  <si>
    <t>Fall 2010</t>
  </si>
  <si>
    <t>Fall 2011</t>
  </si>
  <si>
    <t>Fall 2012</t>
  </si>
  <si>
    <t>Fall 2013</t>
  </si>
  <si>
    <t>Demographic Information</t>
  </si>
  <si>
    <t>American Indian</t>
  </si>
  <si>
    <t>Asian</t>
  </si>
  <si>
    <t>Hispanic</t>
  </si>
  <si>
    <t>White</t>
  </si>
  <si>
    <t>Sum</t>
  </si>
  <si>
    <t>Gender</t>
  </si>
  <si>
    <t xml:space="preserve">Age of Undergraduates </t>
  </si>
  <si>
    <t>Missouri</t>
  </si>
  <si>
    <t>Out-of-State</t>
  </si>
  <si>
    <t>Attendance Status</t>
  </si>
  <si>
    <t>Undergraduate</t>
  </si>
  <si>
    <t>Graduate (non-professional)</t>
  </si>
  <si>
    <t>Pacific Islander</t>
  </si>
  <si>
    <t>Black</t>
  </si>
  <si>
    <t>Two or more</t>
  </si>
  <si>
    <t>ATTENDANCE STATUS</t>
  </si>
  <si>
    <t>DEMOGRAPHIC INFORMATION</t>
  </si>
  <si>
    <t>Women</t>
  </si>
  <si>
    <t>Men</t>
  </si>
  <si>
    <t>Race &amp; Ethnicity</t>
  </si>
  <si>
    <t>Notes: The number of students with unknown ethnicity are not included in the percent calculations.</t>
  </si>
  <si>
    <t>MU</t>
  </si>
  <si>
    <t>Raw Data</t>
  </si>
  <si>
    <t>Full-Time</t>
  </si>
  <si>
    <t xml:space="preserve">Part-Time </t>
  </si>
  <si>
    <t>Unknown (reference)</t>
  </si>
  <si>
    <t>All Students (reference)</t>
  </si>
  <si>
    <t>25 or older</t>
  </si>
  <si>
    <t>&lt; 25 years old</t>
  </si>
  <si>
    <t>Sources: IPEDS EF, Fall Enrollment Survey &amp; DHE 02 (Residence)</t>
  </si>
  <si>
    <t>UNIVERSITY OF MISSOURI-KANSAS CITY</t>
  </si>
  <si>
    <t>Fall1997</t>
  </si>
  <si>
    <t>Fall1996</t>
  </si>
  <si>
    <t>Asian/Pacific Islander</t>
  </si>
  <si>
    <t xml:space="preserve">             After Fall 2008, students admitted using new race &amp; ethnicity criteria; entire student body</t>
  </si>
  <si>
    <t xml:space="preserve">             was not re-surveyed.</t>
  </si>
  <si>
    <t xml:space="preserve">             was re-surveyed.</t>
  </si>
  <si>
    <t>UMKC</t>
  </si>
  <si>
    <t>MISSOURI UNIVERSITY OF SCIENCE AND TECHNOLOGY</t>
  </si>
  <si>
    <t>Fall1995</t>
  </si>
  <si>
    <t>S&amp;T</t>
  </si>
  <si>
    <t>UMSL</t>
  </si>
  <si>
    <t>UNIVERSITY OF MISSOURI SYSTEM</t>
  </si>
  <si>
    <t xml:space="preserve">             re-surveyed their entire student body.</t>
  </si>
  <si>
    <t>UM System total</t>
  </si>
  <si>
    <t>LEGAL RESIDENCE</t>
  </si>
  <si>
    <t>Legal Residence</t>
  </si>
  <si>
    <t xml:space="preserve">             After Fall 2008, students admitted using new race &amp; ethnicity criteria;  only UMKC</t>
  </si>
  <si>
    <t>Fall 2014</t>
  </si>
  <si>
    <t>UNIVERSITY OF MISSOURI-ST. LOUIS</t>
  </si>
  <si>
    <t>Fall 2015</t>
  </si>
  <si>
    <t>Fall 2016</t>
  </si>
  <si>
    <t>Fall 2017</t>
  </si>
  <si>
    <t>Fall 2018</t>
  </si>
  <si>
    <t>Fall 2019</t>
  </si>
  <si>
    <t>Fall 2020</t>
  </si>
  <si>
    <t>Fall 2021</t>
  </si>
  <si>
    <t>1st Prof. - Sum</t>
  </si>
  <si>
    <t>Grad. - Sum</t>
  </si>
  <si>
    <t>Undergrad. - Sum</t>
  </si>
  <si>
    <t>Total - Sum</t>
  </si>
  <si>
    <t>Fall 2022</t>
  </si>
  <si>
    <t>U.S. Nonresident</t>
  </si>
  <si>
    <t>Fall 2023</t>
  </si>
  <si>
    <t>Fall 2024</t>
  </si>
  <si>
    <t>UM-IR 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</si>
</sst>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6.75"/>
      <color indexed="1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4" xfId="0" applyFont="1" applyBorder="1"/>
    <xf numFmtId="0" fontId="4" fillId="0" borderId="2" xfId="0" applyFont="1" applyBorder="1"/>
    <xf numFmtId="0" fontId="5" fillId="0" borderId="2" xfId="0" applyFont="1" applyBorder="1"/>
    <xf numFmtId="0" fontId="5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9" xfId="0" applyFont="1" applyBorder="1"/>
    <xf numFmtId="0" fontId="3" fillId="0" borderId="9" xfId="0" applyFont="1" applyBorder="1" applyAlignment="1">
      <alignment horizontal="right"/>
    </xf>
    <xf numFmtId="37" fontId="3" fillId="0" borderId="0" xfId="0" applyNumberFormat="1" applyFont="1"/>
    <xf numFmtId="164" fontId="3" fillId="0" borderId="0" xfId="0" applyNumberFormat="1" applyFont="1"/>
    <xf numFmtId="9" fontId="3" fillId="0" borderId="0" xfId="0" applyNumberFormat="1" applyFont="1"/>
    <xf numFmtId="37" fontId="3" fillId="0" borderId="5" xfId="0" applyNumberFormat="1" applyFont="1" applyBorder="1"/>
    <xf numFmtId="0" fontId="3" fillId="0" borderId="6" xfId="0" applyFont="1" applyBorder="1"/>
    <xf numFmtId="0" fontId="3" fillId="0" borderId="7" xfId="0" applyFont="1" applyBorder="1"/>
    <xf numFmtId="37" fontId="3" fillId="0" borderId="6" xfId="0" applyNumberFormat="1" applyFont="1" applyBorder="1" applyAlignment="1">
      <alignment horizontal="right"/>
    </xf>
    <xf numFmtId="0" fontId="3" fillId="0" borderId="8" xfId="0" applyFont="1" applyBorder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10" xfId="0" applyFont="1" applyBorder="1"/>
    <xf numFmtId="9" fontId="3" fillId="0" borderId="10" xfId="0" applyNumberFormat="1" applyFont="1" applyBorder="1"/>
    <xf numFmtId="0" fontId="7" fillId="0" borderId="0" xfId="0" applyFont="1"/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3" fillId="0" borderId="2" xfId="0" applyFont="1" applyBorder="1"/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3" fillId="4" borderId="0" xfId="0" applyFont="1" applyFill="1"/>
    <xf numFmtId="37" fontId="3" fillId="0" borderId="8" xfId="0" applyNumberFormat="1" applyFont="1" applyBorder="1"/>
    <xf numFmtId="0" fontId="1" fillId="0" borderId="10" xfId="0" applyFont="1" applyBorder="1"/>
    <xf numFmtId="0" fontId="4" fillId="5" borderId="0" xfId="0" applyFont="1" applyFill="1" applyAlignment="1">
      <alignment vertical="center"/>
    </xf>
    <xf numFmtId="0" fontId="3" fillId="5" borderId="0" xfId="0" applyFont="1" applyFill="1"/>
    <xf numFmtId="0" fontId="4" fillId="6" borderId="0" xfId="0" applyFont="1" applyFill="1" applyAlignment="1">
      <alignment vertical="center"/>
    </xf>
    <xf numFmtId="0" fontId="3" fillId="6" borderId="0" xfId="0" applyFont="1" applyFill="1"/>
    <xf numFmtId="0" fontId="3" fillId="0" borderId="11" xfId="0" applyFont="1" applyBorder="1"/>
    <xf numFmtId="0" fontId="3" fillId="0" borderId="12" xfId="0" applyFont="1" applyBorder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6" fillId="0" borderId="10" xfId="1" applyFont="1" applyFill="1" applyBorder="1" applyAlignment="1" applyProtection="1"/>
    <xf numFmtId="0" fontId="0" fillId="0" borderId="10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DDDDDD"/>
      <color rgb="FFCCECFF"/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msystem.edu/ums/fa/ir/ipedse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umsystem.edu/ums/fa/ir/ipedse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umsystem.edu/ums/fa/ir/ipedse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umsystem.edu/ums/fa/ir/ipedse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umsystem.edu/ums/fa/ir/ipedse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101"/>
  <sheetViews>
    <sheetView tabSelected="1" workbookViewId="0"/>
  </sheetViews>
  <sheetFormatPr defaultColWidth="9.140625" defaultRowHeight="13.5" customHeight="1" x14ac:dyDescent="0.2"/>
  <cols>
    <col min="1" max="3" width="2.7109375" style="2" customWidth="1"/>
    <col min="4" max="4" width="18.7109375" style="2" customWidth="1"/>
    <col min="5" max="57" width="8.7109375" style="2" hidden="1" customWidth="1"/>
    <col min="58" max="63" width="8.7109375" style="2" customWidth="1"/>
    <col min="64" max="64" width="2.7109375" style="2" customWidth="1"/>
    <col min="65" max="65" width="9.140625" style="2"/>
    <col min="66" max="66" width="18.7109375" style="2" customWidth="1"/>
    <col min="67" max="113" width="9.140625" style="2" hidden="1" customWidth="1"/>
    <col min="114" max="119" width="0" style="2" hidden="1" customWidth="1"/>
    <col min="120" max="125" width="9.140625" style="2"/>
    <col min="126" max="16384" width="9.140625" style="1"/>
  </cols>
  <sheetData>
    <row r="1" spans="1:125" ht="13.5" customHeight="1" x14ac:dyDescent="0.2">
      <c r="Y1" s="12"/>
      <c r="Z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</row>
    <row r="2" spans="1:125" ht="15" customHeight="1" x14ac:dyDescent="0.25">
      <c r="A2" s="41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125" ht="13.5" customHeight="1" x14ac:dyDescent="0.2">
      <c r="A3" s="8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9"/>
    </row>
    <row r="4" spans="1:125" ht="15" customHeight="1" x14ac:dyDescent="0.25">
      <c r="A4" s="8"/>
      <c r="B4" s="6" t="s">
        <v>1</v>
      </c>
      <c r="C4" s="27"/>
      <c r="D4" s="2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BL4" s="9"/>
    </row>
    <row r="5" spans="1:125" ht="15" customHeight="1" x14ac:dyDescent="0.25">
      <c r="A5" s="8"/>
      <c r="B5" s="7" t="s">
        <v>94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BL5" s="9"/>
      <c r="BN5" s="24" t="s">
        <v>96</v>
      </c>
    </row>
    <row r="6" spans="1:125" ht="13.5" customHeight="1" thickBot="1" x14ac:dyDescent="0.25">
      <c r="A6" s="8"/>
      <c r="BL6" s="9"/>
      <c r="BN6" s="24" t="s">
        <v>74</v>
      </c>
    </row>
    <row r="7" spans="1:125" ht="13.5" customHeight="1" thickTop="1" x14ac:dyDescent="0.2">
      <c r="A7" s="8"/>
      <c r="B7" s="10"/>
      <c r="C7" s="10"/>
      <c r="D7" s="10"/>
      <c r="E7" s="11" t="s">
        <v>3</v>
      </c>
      <c r="F7" s="11" t="s">
        <v>4</v>
      </c>
      <c r="G7" s="11" t="s">
        <v>5</v>
      </c>
      <c r="H7" s="11" t="s">
        <v>6</v>
      </c>
      <c r="I7" s="11" t="s">
        <v>7</v>
      </c>
      <c r="J7" s="11" t="s">
        <v>8</v>
      </c>
      <c r="K7" s="11" t="s">
        <v>9</v>
      </c>
      <c r="L7" s="11" t="s">
        <v>10</v>
      </c>
      <c r="M7" s="11" t="s">
        <v>11</v>
      </c>
      <c r="N7" s="11" t="s">
        <v>12</v>
      </c>
      <c r="O7" s="11" t="s">
        <v>13</v>
      </c>
      <c r="P7" s="11" t="s">
        <v>14</v>
      </c>
      <c r="Q7" s="11" t="s">
        <v>15</v>
      </c>
      <c r="R7" s="11" t="s">
        <v>16</v>
      </c>
      <c r="S7" s="11" t="s">
        <v>17</v>
      </c>
      <c r="T7" s="11" t="s">
        <v>18</v>
      </c>
      <c r="U7" s="11" t="s">
        <v>19</v>
      </c>
      <c r="V7" s="11" t="s">
        <v>20</v>
      </c>
      <c r="W7" s="11" t="s">
        <v>21</v>
      </c>
      <c r="X7" s="11" t="s">
        <v>22</v>
      </c>
      <c r="Y7" s="11" t="s">
        <v>23</v>
      </c>
      <c r="Z7" s="11" t="s">
        <v>24</v>
      </c>
      <c r="AA7" s="11" t="s">
        <v>25</v>
      </c>
      <c r="AB7" s="11" t="s">
        <v>26</v>
      </c>
      <c r="AC7" s="11" t="s">
        <v>27</v>
      </c>
      <c r="AD7" s="11" t="s">
        <v>28</v>
      </c>
      <c r="AE7" s="11" t="s">
        <v>29</v>
      </c>
      <c r="AF7" s="11" t="s">
        <v>30</v>
      </c>
      <c r="AG7" s="11" t="s">
        <v>31</v>
      </c>
      <c r="AH7" s="11" t="s">
        <v>32</v>
      </c>
      <c r="AI7" s="11" t="s">
        <v>33</v>
      </c>
      <c r="AJ7" s="11" t="s">
        <v>34</v>
      </c>
      <c r="AK7" s="11" t="s">
        <v>35</v>
      </c>
      <c r="AL7" s="11" t="s">
        <v>36</v>
      </c>
      <c r="AM7" s="11" t="s">
        <v>37</v>
      </c>
      <c r="AN7" s="11" t="s">
        <v>38</v>
      </c>
      <c r="AO7" s="11" t="s">
        <v>39</v>
      </c>
      <c r="AP7" s="11" t="s">
        <v>40</v>
      </c>
      <c r="AQ7" s="11" t="s">
        <v>41</v>
      </c>
      <c r="AR7" s="11" t="s">
        <v>42</v>
      </c>
      <c r="AS7" s="11" t="s">
        <v>43</v>
      </c>
      <c r="AT7" s="11" t="s">
        <v>44</v>
      </c>
      <c r="AU7" s="11" t="s">
        <v>45</v>
      </c>
      <c r="AV7" s="11" t="s">
        <v>46</v>
      </c>
      <c r="AW7" s="11" t="s">
        <v>47</v>
      </c>
      <c r="AX7" s="11" t="s">
        <v>48</v>
      </c>
      <c r="AY7" s="11" t="s">
        <v>49</v>
      </c>
      <c r="AZ7" s="11" t="s">
        <v>50</v>
      </c>
      <c r="BA7" s="11" t="s">
        <v>100</v>
      </c>
      <c r="BB7" s="11" t="s">
        <v>102</v>
      </c>
      <c r="BC7" s="11" t="s">
        <v>103</v>
      </c>
      <c r="BD7" s="11" t="s">
        <v>104</v>
      </c>
      <c r="BE7" s="11" t="s">
        <v>105</v>
      </c>
      <c r="BF7" s="11" t="s">
        <v>106</v>
      </c>
      <c r="BG7" s="11" t="s">
        <v>107</v>
      </c>
      <c r="BH7" s="11" t="s">
        <v>108</v>
      </c>
      <c r="BI7" s="11" t="s">
        <v>113</v>
      </c>
      <c r="BJ7" s="11" t="s">
        <v>115</v>
      </c>
      <c r="BK7" s="11" t="s">
        <v>116</v>
      </c>
      <c r="BL7" s="9"/>
      <c r="BO7" s="20" t="s">
        <v>3</v>
      </c>
      <c r="BP7" s="20" t="s">
        <v>4</v>
      </c>
      <c r="BQ7" s="20" t="s">
        <v>5</v>
      </c>
      <c r="BR7" s="20" t="s">
        <v>6</v>
      </c>
      <c r="BS7" s="20" t="s">
        <v>7</v>
      </c>
      <c r="BT7" s="20" t="s">
        <v>8</v>
      </c>
      <c r="BU7" s="20" t="s">
        <v>9</v>
      </c>
      <c r="BV7" s="20" t="s">
        <v>10</v>
      </c>
      <c r="BW7" s="20" t="s">
        <v>11</v>
      </c>
      <c r="BX7" s="20" t="s">
        <v>12</v>
      </c>
      <c r="BY7" s="20" t="s">
        <v>13</v>
      </c>
      <c r="BZ7" s="20" t="s">
        <v>14</v>
      </c>
      <c r="CA7" s="20" t="s">
        <v>15</v>
      </c>
      <c r="CB7" s="20" t="s">
        <v>16</v>
      </c>
      <c r="CC7" s="20" t="s">
        <v>17</v>
      </c>
      <c r="CD7" s="20" t="s">
        <v>18</v>
      </c>
      <c r="CE7" s="20" t="s">
        <v>19</v>
      </c>
      <c r="CF7" s="20" t="s">
        <v>20</v>
      </c>
      <c r="CG7" s="20" t="s">
        <v>21</v>
      </c>
      <c r="CH7" s="20" t="s">
        <v>22</v>
      </c>
      <c r="CI7" s="20" t="s">
        <v>23</v>
      </c>
      <c r="CJ7" s="20" t="s">
        <v>24</v>
      </c>
      <c r="CK7" s="20" t="s">
        <v>25</v>
      </c>
      <c r="CL7" s="20" t="s">
        <v>26</v>
      </c>
      <c r="CM7" s="20" t="s">
        <v>27</v>
      </c>
      <c r="CN7" s="20" t="s">
        <v>28</v>
      </c>
      <c r="CO7" s="20" t="s">
        <v>29</v>
      </c>
      <c r="CP7" s="20" t="s">
        <v>30</v>
      </c>
      <c r="CQ7" s="20" t="s">
        <v>31</v>
      </c>
      <c r="CR7" s="20" t="s">
        <v>91</v>
      </c>
      <c r="CS7" s="20" t="s">
        <v>33</v>
      </c>
      <c r="CT7" s="20" t="s">
        <v>34</v>
      </c>
      <c r="CU7" s="20" t="s">
        <v>35</v>
      </c>
      <c r="CV7" s="20" t="s">
        <v>36</v>
      </c>
      <c r="CW7" s="20" t="s">
        <v>37</v>
      </c>
      <c r="CX7" s="20" t="s">
        <v>38</v>
      </c>
      <c r="CY7" s="20" t="s">
        <v>39</v>
      </c>
      <c r="CZ7" s="20" t="s">
        <v>40</v>
      </c>
      <c r="DA7" s="20" t="s">
        <v>41</v>
      </c>
      <c r="DB7" s="20" t="s">
        <v>42</v>
      </c>
      <c r="DC7" s="20" t="s">
        <v>43</v>
      </c>
      <c r="DD7" s="20" t="s">
        <v>44</v>
      </c>
      <c r="DE7" s="20" t="s">
        <v>45</v>
      </c>
      <c r="DF7" s="20" t="s">
        <v>46</v>
      </c>
      <c r="DG7" s="20" t="s">
        <v>47</v>
      </c>
      <c r="DH7" s="20" t="s">
        <v>48</v>
      </c>
      <c r="DI7" s="20" t="s">
        <v>49</v>
      </c>
      <c r="DJ7" s="20" t="s">
        <v>50</v>
      </c>
      <c r="DK7" s="20" t="s">
        <v>100</v>
      </c>
      <c r="DL7" s="20" t="s">
        <v>102</v>
      </c>
      <c r="DM7" s="20" t="s">
        <v>103</v>
      </c>
      <c r="DN7" s="20" t="s">
        <v>104</v>
      </c>
      <c r="DO7" s="20" t="s">
        <v>105</v>
      </c>
      <c r="DP7" s="20" t="s">
        <v>106</v>
      </c>
      <c r="DQ7" s="20" t="s">
        <v>107</v>
      </c>
      <c r="DR7" s="20" t="s">
        <v>108</v>
      </c>
      <c r="DS7" s="20" t="s">
        <v>113</v>
      </c>
      <c r="DT7" s="20" t="s">
        <v>115</v>
      </c>
      <c r="DU7" s="20" t="s">
        <v>116</v>
      </c>
    </row>
    <row r="8" spans="1:125" ht="13.5" customHeight="1" x14ac:dyDescent="0.2">
      <c r="A8" s="8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9"/>
      <c r="BN8" s="2" t="s">
        <v>51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</row>
    <row r="9" spans="1:125" ht="13.5" customHeight="1" x14ac:dyDescent="0.2">
      <c r="A9" s="8"/>
      <c r="B9" s="36" t="s">
        <v>68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9"/>
      <c r="BN9" s="2" t="s">
        <v>78</v>
      </c>
      <c r="CL9" s="2">
        <f>MU!CL9+UMKC!CL9+'S&amp;T'!CL9+UMSL!CL9</f>
        <v>56103</v>
      </c>
      <c r="CM9" s="2">
        <f>MU!CM9+UMKC!CM9+'S&amp;T'!CM9+UMSL!CM9</f>
        <v>57174</v>
      </c>
      <c r="CN9" s="2">
        <f>MU!CN9+UMKC!CN9+'S&amp;T'!CN9+UMSL!CN9</f>
        <v>57100</v>
      </c>
      <c r="CO9" s="2">
        <f>MU!CO9+UMKC!CO9+'S&amp;T'!CO9+UMSL!CO9</f>
        <v>54502</v>
      </c>
      <c r="CP9" s="2">
        <f>MU!CP9+UMKC!CP9+'S&amp;T'!CP9+UMSL!CP9</f>
        <v>53175</v>
      </c>
      <c r="CQ9" s="2">
        <f>MU!CQ9+UMKC!CQ9+'S&amp;T'!CQ9+UMSL!CQ9</f>
        <v>53197</v>
      </c>
      <c r="CR9" s="2">
        <f>MU!CR9+UMKC!CR9+'S&amp;T'!CR9+UMSL!CR9</f>
        <v>53963</v>
      </c>
      <c r="CS9" s="2">
        <f>MU!CS9+UMKC!CS9+'S&amp;T'!CS9+UMSL!CS9</f>
        <v>54175</v>
      </c>
      <c r="CT9" s="2">
        <f>MU!CT9+UMKC!CT9+'S&amp;T'!CT9+UMSL!CT9</f>
        <v>53550</v>
      </c>
      <c r="CU9" s="2">
        <f>MU!CU9+UMKC!CU9+'S&amp;T'!CU9+UMSL!CU9</f>
        <v>54188</v>
      </c>
      <c r="CV9" s="2">
        <f>MU!CV9+UMKC!CV9+'S&amp;T'!CV9+UMSL!CV9</f>
        <v>52646</v>
      </c>
      <c r="CW9" s="2">
        <f>MU!CW9+UMKC!CW9+'S&amp;T'!CW9+UMSL!CW9</f>
        <v>53682</v>
      </c>
      <c r="CX9" s="2">
        <f>MU!CX9+UMKC!CX9+'S&amp;T'!CX9+UMSL!CX9</f>
        <v>56512</v>
      </c>
      <c r="CY9" s="2">
        <f>MU!CY9+UMKC!CY9+'S&amp;T'!CY9+UMSL!CY9</f>
        <v>60903</v>
      </c>
      <c r="CZ9" s="2">
        <f>MU!CZ9+UMKC!CZ9+'S&amp;T'!CZ9+UMSL!CZ9</f>
        <v>62089</v>
      </c>
      <c r="DA9" s="2">
        <f>MU!DA9+UMKC!DA9+'S&amp;T'!DA9+UMSL!DA9</f>
        <v>62161</v>
      </c>
      <c r="DB9" s="2">
        <f>MU!DB9+UMKC!DB9+'S&amp;T'!DB9+UMSL!DB9</f>
        <v>63388</v>
      </c>
      <c r="DC9" s="2">
        <f>MU!DC9+UMKC!DC9+'S&amp;T'!DC9+UMSL!DC9</f>
        <v>63783</v>
      </c>
      <c r="DD9" s="2">
        <f>MU!DD9+UMKC!DD9+'S&amp;T'!DD9+UMSL!DD9</f>
        <v>64540</v>
      </c>
      <c r="DE9" s="2">
        <f>MU!DE9+UMKC!DE9+'S&amp;T'!DE9+UMSL!DE9</f>
        <v>66719</v>
      </c>
      <c r="DF9" s="2">
        <f>MU!DF9+UMKC!DF9+'S&amp;T'!DF9+UMSL!DF9</f>
        <v>69384</v>
      </c>
      <c r="DG9" s="2">
        <f>MU!DG9+UMKC!DG9+'S&amp;T'!DG9+UMSL!DG9</f>
        <v>71596</v>
      </c>
      <c r="DH9" s="2">
        <f>MU!DH9+UMKC!DH9+'S&amp;T'!DH9+UMSL!DH9</f>
        <v>73565</v>
      </c>
      <c r="DI9" s="2">
        <f>MU!DI9+UMKC!DI9+'S&amp;T'!DI9+UMSL!DI9</f>
        <v>75044</v>
      </c>
      <c r="DJ9" s="2">
        <f>MU!DJ9+UMKC!DJ9+'S&amp;T'!DJ9+UMSL!DJ9</f>
        <v>75272</v>
      </c>
      <c r="DK9" s="2">
        <f>MU!DK9+UMKC!DK9+'S&amp;T'!DK9+UMSL!DK9</f>
        <v>77283</v>
      </c>
      <c r="DL9" s="2">
        <f>MU!DL9+UMKC!DL9+'S&amp;T'!DL9+UMSL!DL9</f>
        <v>77733</v>
      </c>
      <c r="DM9" s="2">
        <f>MU!DM9+UMKC!DM9+'S&amp;T'!DM9+UMSL!DM9</f>
        <v>75999</v>
      </c>
      <c r="DN9" s="2">
        <f>MU!DN9+UMKC!DN9+'S&amp;T'!DN9+UMSL!DN9</f>
        <v>72814</v>
      </c>
      <c r="DO9" s="2">
        <f>MU!DO9+UMKC!DO9+'S&amp;T'!DO9+UMSL!DO9</f>
        <v>71260</v>
      </c>
      <c r="DP9" s="2">
        <f>MU!DP9+UMKC!DP9+'S&amp;T'!DP9+UMSL!DP9</f>
        <v>70478</v>
      </c>
      <c r="DQ9" s="2">
        <f>MU!DQ9+UMKC!DQ9+'S&amp;T'!DQ9+UMSL!DQ9</f>
        <v>68752</v>
      </c>
      <c r="DR9" s="2">
        <f>MU!DR9+UMKC!DR9+'S&amp;T'!DR9+UMSL!DR9</f>
        <v>69834</v>
      </c>
      <c r="DS9" s="2">
        <f>MU!DS9+UMKC!DS9+'S&amp;T'!DS9+UMSL!DS9</f>
        <v>69268</v>
      </c>
      <c r="DT9" s="2">
        <f>MU!DT9+UMKC!DT9+'S&amp;T'!DT9+UMSL!DT9</f>
        <v>68246</v>
      </c>
      <c r="DU9" s="2">
        <f>MU!DU9+UMKC!DU9+'S&amp;T'!DU9+UMSL!DU9</f>
        <v>68165</v>
      </c>
    </row>
    <row r="10" spans="1:125" ht="13.5" customHeight="1" x14ac:dyDescent="0.2">
      <c r="A10" s="8"/>
      <c r="C10" s="3" t="s">
        <v>71</v>
      </c>
      <c r="BL10" s="9"/>
      <c r="BN10" s="2" t="s">
        <v>77</v>
      </c>
      <c r="CL10" s="2">
        <f>MU!CL10+UMKC!CL10+'S&amp;T'!CL10+UMSL!CL10</f>
        <v>1928</v>
      </c>
      <c r="CM10" s="2">
        <f>MU!CM10+UMKC!CM10+'S&amp;T'!CM10+UMSL!CM10</f>
        <v>2237</v>
      </c>
      <c r="CN10" s="2">
        <f>MU!CN10+UMKC!CN10+'S&amp;T'!CN10+UMSL!CN10</f>
        <v>2349</v>
      </c>
      <c r="CO10" s="2">
        <f>MU!CO10+UMKC!CO10+'S&amp;T'!CO10+UMSL!CO10</f>
        <v>2229</v>
      </c>
      <c r="CP10" s="2">
        <f>MU!CP10+UMKC!CP10+'S&amp;T'!CP10+UMSL!CP10</f>
        <v>1971</v>
      </c>
      <c r="CQ10" s="2">
        <f>MU!CQ10+UMKC!CQ10+'S&amp;T'!CQ10+UMSL!CQ10</f>
        <v>2284</v>
      </c>
      <c r="CR10" s="2">
        <f>MU!CR10+UMKC!CR10+'S&amp;T'!CR10+UMSL!CR10</f>
        <v>2166</v>
      </c>
      <c r="CS10" s="2">
        <f>MU!CS10+UMKC!CS10+'S&amp;T'!CS10+UMSL!CS10</f>
        <v>1885</v>
      </c>
      <c r="CT10" s="2">
        <f>MU!CT10+UMKC!CT10+'S&amp;T'!CT10+UMSL!CT10</f>
        <v>1793</v>
      </c>
      <c r="CU10" s="2">
        <f>MU!CU10+UMKC!CU10+'S&amp;T'!CU10+UMSL!CU10</f>
        <v>1923</v>
      </c>
      <c r="CV10" s="2">
        <f>MU!CV10+UMKC!CV10+'S&amp;T'!CV10+UMSL!CV10</f>
        <v>2111</v>
      </c>
      <c r="CW10" s="2">
        <f>MU!CW10+UMKC!CW10+'S&amp;T'!CW10+UMSL!CW10</f>
        <v>2348</v>
      </c>
      <c r="CX10" s="2">
        <f>MU!CX10+UMKC!CX10+'S&amp;T'!CX10+UMSL!CX10</f>
        <v>2429</v>
      </c>
      <c r="CY10" s="2">
        <f>MU!CY10+UMKC!CY10+'S&amp;T'!CY10+UMSL!CY10</f>
        <v>1971</v>
      </c>
      <c r="CZ10" s="2">
        <f>MU!CZ10+UMKC!CZ10+'S&amp;T'!CZ10+UMSL!CZ10</f>
        <v>3181</v>
      </c>
      <c r="DA10" s="2">
        <f>MU!DA10+UMKC!DA10+'S&amp;T'!DA10+UMSL!DA10</f>
        <v>3527</v>
      </c>
      <c r="DB10" s="2">
        <f>MU!DB10+UMKC!DB10+'S&amp;T'!DB10+UMSL!DB10</f>
        <v>3827</v>
      </c>
      <c r="DC10" s="2">
        <f>MU!DC10+UMKC!DC10+'S&amp;T'!DC10+UMSL!DC10</f>
        <v>4430</v>
      </c>
      <c r="DD10" s="2">
        <f>MU!DD10+UMKC!DD10+'S&amp;T'!DD10+UMSL!DD10</f>
        <v>4978</v>
      </c>
      <c r="DE10" s="2">
        <f>MU!DE10+UMKC!DE10+'S&amp;T'!DE10+UMSL!DE10</f>
        <v>4724</v>
      </c>
      <c r="DF10" s="2">
        <f>MU!DF10+UMKC!DF10+'S&amp;T'!DF10+UMSL!DF10</f>
        <v>4359</v>
      </c>
      <c r="DG10" s="2">
        <f>MU!DG10+UMKC!DG10+'S&amp;T'!DG10+UMSL!DG10</f>
        <v>4113</v>
      </c>
      <c r="DH10" s="2">
        <f>MU!DH10+UMKC!DH10+'S&amp;T'!DH10+UMSL!DH10</f>
        <v>3483</v>
      </c>
      <c r="DI10" s="2">
        <f>MU!DI10+UMKC!DI10+'S&amp;T'!DI10+UMSL!DI10</f>
        <v>3069</v>
      </c>
      <c r="DJ10" s="2">
        <f>MU!DJ10+UMKC!DJ10+'S&amp;T'!DJ10+UMSL!DJ10</f>
        <v>2671</v>
      </c>
      <c r="DK10" s="2">
        <f>MU!DK10+UMKC!DK10+'S&amp;T'!DK10+UMSL!DK10</f>
        <v>2444</v>
      </c>
      <c r="DL10" s="2">
        <f>MU!DL10+UMKC!DL10+'S&amp;T'!DL10+UMSL!DL10</f>
        <v>2246</v>
      </c>
      <c r="DM10" s="2">
        <f>MU!DM10+UMKC!DM10+'S&amp;T'!DM10+UMSL!DM10</f>
        <v>2144</v>
      </c>
      <c r="DN10" s="2">
        <f>MU!DN10+UMKC!DN10+'S&amp;T'!DN10+UMSL!DN10</f>
        <v>1934</v>
      </c>
      <c r="DO10" s="2">
        <f>MU!DO10+UMKC!DO10+'S&amp;T'!DO10+UMSL!DO10</f>
        <v>1766</v>
      </c>
      <c r="DP10" s="2">
        <f>MU!DP10+UMKC!DP10+'S&amp;T'!DP10+UMSL!DP10</f>
        <v>2064</v>
      </c>
      <c r="DQ10" s="2">
        <f>MU!DQ10+UMKC!DQ10+'S&amp;T'!DQ10+UMSL!DQ10</f>
        <v>1695</v>
      </c>
      <c r="DR10" s="2">
        <f>MU!DR10+UMKC!DR10+'S&amp;T'!DR10+UMSL!DR10</f>
        <v>1513</v>
      </c>
      <c r="DS10" s="2">
        <f>MU!DS10+UMKC!DS10+'S&amp;T'!DS10+UMSL!DS10</f>
        <v>1527</v>
      </c>
      <c r="DT10" s="2">
        <f>MU!DT10+UMKC!DT10+'S&amp;T'!DT10+UMSL!DT10</f>
        <v>1988</v>
      </c>
      <c r="DU10" s="2">
        <f>MU!DU10+UMKC!DU10+'S&amp;T'!DU10+UMSL!DU10</f>
        <v>2320</v>
      </c>
    </row>
    <row r="11" spans="1:125" ht="13.5" customHeight="1" x14ac:dyDescent="0.2">
      <c r="A11" s="8"/>
      <c r="D11" s="2" t="s">
        <v>114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>
        <f t="shared" ref="O11:O14" si="0">BY11/BY$20</f>
        <v>2.497694435905318E-2</v>
      </c>
      <c r="P11" s="13">
        <f t="shared" ref="P11:P14" si="1">BZ11/BZ$20</f>
        <v>2.4481096753134542E-2</v>
      </c>
      <c r="Q11" s="13">
        <f t="shared" ref="Q11:Q14" si="2">CA11/CA$20</f>
        <v>2.4796483551140284E-2</v>
      </c>
      <c r="R11" s="13">
        <f t="shared" ref="R11:R14" si="3">CB11/CB$20</f>
        <v>2.7976615408362115E-2</v>
      </c>
      <c r="S11" s="13"/>
      <c r="T11" s="13"/>
      <c r="U11" s="13"/>
      <c r="V11" s="13"/>
      <c r="W11" s="13">
        <f t="shared" ref="W11:Y14" si="4">CG11/CG$20</f>
        <v>3.2212937402074163E-2</v>
      </c>
      <c r="X11" s="13">
        <f t="shared" si="4"/>
        <v>3.5899094437257438E-2</v>
      </c>
      <c r="Y11" s="13">
        <f t="shared" si="4"/>
        <v>3.7408414532819699E-2</v>
      </c>
      <c r="Z11" s="13">
        <f t="shared" ref="Z11:Z14" si="5">CJ11/CJ$20</f>
        <v>3.7456251396232036E-2</v>
      </c>
      <c r="AA11" s="13">
        <f t="shared" ref="AA11:AA14" si="6">CK11/CK$20</f>
        <v>3.9506307883030702E-2</v>
      </c>
      <c r="AB11" s="13">
        <f t="shared" ref="AB11:AB14" si="7">CL11/CL$20</f>
        <v>4.2750346100599905E-2</v>
      </c>
      <c r="AC11" s="13">
        <f t="shared" ref="AC11:AC14" si="8">CM11/CM$20</f>
        <v>4.6234778018457504E-2</v>
      </c>
      <c r="AD11" s="13">
        <f t="shared" ref="AD11:AD14" si="9">CN11/CN$20</f>
        <v>4.9295903271173128E-2</v>
      </c>
      <c r="AE11" s="13">
        <f t="shared" ref="AE11:AE14" si="10">CO11/CO$20</f>
        <v>5.2474508828649589E-2</v>
      </c>
      <c r="AF11" s="13">
        <f t="shared" ref="AF11:AF14" si="11">CP11/CP$20</f>
        <v>5.6128427466604174E-2</v>
      </c>
      <c r="AG11" s="13">
        <f t="shared" ref="AG11:AG14" si="12">CQ11/CQ$20</f>
        <v>5.6174258048042741E-2</v>
      </c>
      <c r="AH11" s="13">
        <f t="shared" ref="AH11:AH14" si="13">CR11/CR$20</f>
        <v>5.307257177056586E-2</v>
      </c>
      <c r="AI11" s="13">
        <f t="shared" ref="AI11:AI14" si="14">CS11/CS$20</f>
        <v>5.4006502199273283E-2</v>
      </c>
      <c r="AJ11" s="13">
        <f t="shared" ref="AJ11:AJ14" si="15">CT11/CT$20</f>
        <v>5.4531683918202477E-2</v>
      </c>
      <c r="AK11" s="13">
        <f t="shared" ref="AK11:AK14" si="16">CU11/CU$20</f>
        <v>5.1659810580694535E-2</v>
      </c>
      <c r="AL11" s="13">
        <f t="shared" ref="AL11:AL14" si="17">CV11/CV$20</f>
        <v>5.4021198191695478E-2</v>
      </c>
      <c r="AM11" s="13">
        <f t="shared" ref="AM11:AM14" si="18">CW11/CW$20</f>
        <v>5.8120040236950936E-2</v>
      </c>
      <c r="AN11" s="13">
        <f t="shared" ref="AN11:AN14" si="19">CX11/CX$20</f>
        <v>6.3513488526893855E-2</v>
      </c>
      <c r="AO11" s="13">
        <f t="shared" ref="AO11:AO14" si="20">CY11/CY$20</f>
        <v>6.1766103305504652E-2</v>
      </c>
      <c r="AP11" s="13">
        <f t="shared" ref="AP11:AP14" si="21">CZ11/CZ$20</f>
        <v>6.0416242276091534E-2</v>
      </c>
      <c r="AQ11" s="13">
        <f t="shared" ref="AQ11:AQ14" si="22">DA11/DA$20</f>
        <v>5.508749189889825E-2</v>
      </c>
      <c r="AR11" s="13">
        <f t="shared" ref="AR11:AR14" si="23">DB11/DB$20</f>
        <v>5.1812427595238492E-2</v>
      </c>
      <c r="AS11" s="13">
        <f t="shared" ref="AS11:AS14" si="24">DC11/DC$20</f>
        <v>5.4723434367260293E-2</v>
      </c>
      <c r="AT11" s="13">
        <f t="shared" ref="AT11:AT14" si="25">DD11/DD$20</f>
        <v>5.6445384641214194E-2</v>
      </c>
      <c r="AU11" s="13">
        <f t="shared" ref="AU11:AY16" si="26">DE11/DE$20</f>
        <v>5.9924187434470519E-2</v>
      </c>
      <c r="AV11" s="13">
        <f t="shared" si="26"/>
        <v>6.1099577085736254E-2</v>
      </c>
      <c r="AW11" s="13">
        <f t="shared" si="26"/>
        <v>6.2297171139398068E-2</v>
      </c>
      <c r="AX11" s="13">
        <f t="shared" si="26"/>
        <v>6.4139151279929224E-2</v>
      </c>
      <c r="AY11" s="13">
        <f t="shared" si="26"/>
        <v>6.5230982980201455E-2</v>
      </c>
      <c r="AZ11" s="13">
        <f t="shared" ref="AZ11:BD11" si="27">DJ11/DJ$20</f>
        <v>7.1376427321937719E-2</v>
      </c>
      <c r="BA11" s="13">
        <f t="shared" si="27"/>
        <v>8.0412619088977677E-2</v>
      </c>
      <c r="BB11" s="13">
        <f t="shared" si="27"/>
        <v>7.9695841668101786E-2</v>
      </c>
      <c r="BC11" s="13">
        <f t="shared" si="27"/>
        <v>7.4578566109268163E-2</v>
      </c>
      <c r="BD11" s="13">
        <f t="shared" si="27"/>
        <v>6.8354966139954856E-2</v>
      </c>
      <c r="BE11" s="13">
        <f t="shared" ref="BE11:BK13" si="28">DO11/DO$20</f>
        <v>6.1559271303997465E-2</v>
      </c>
      <c r="BF11" s="13">
        <f t="shared" si="28"/>
        <v>5.81752272926594E-2</v>
      </c>
      <c r="BG11" s="13">
        <f t="shared" si="28"/>
        <v>4.7929373518051807E-2</v>
      </c>
      <c r="BH11" s="13">
        <f t="shared" si="28"/>
        <v>5.3424276576747996E-2</v>
      </c>
      <c r="BI11" s="13">
        <f t="shared" si="28"/>
        <v>6.340325652116148E-2</v>
      </c>
      <c r="BJ11" s="13">
        <f t="shared" si="28"/>
        <v>6.6075039995170393E-2</v>
      </c>
      <c r="BK11" s="13">
        <f t="shared" si="28"/>
        <v>5.959450224010935E-2</v>
      </c>
      <c r="BL11" s="9"/>
      <c r="BN11" s="2" t="s">
        <v>114</v>
      </c>
      <c r="BY11" s="2">
        <f>MU!BY11+UMKC!BY11+'S&amp;T'!BY11+UMSL!BY11</f>
        <v>1300</v>
      </c>
      <c r="BZ11" s="2">
        <f>MU!BZ11+UMKC!BZ11+'S&amp;T'!BZ11+UMSL!BZ11</f>
        <v>1275</v>
      </c>
      <c r="CA11" s="2">
        <f>MU!CA11+UMKC!CA11+'S&amp;T'!CA11+UMSL!CA11</f>
        <v>1258</v>
      </c>
      <c r="CB11" s="2">
        <f>MU!CB11+UMKC!CB11+'S&amp;T'!CB11+UMSL!CB11</f>
        <v>1450</v>
      </c>
      <c r="CG11" s="2">
        <f>MU!CG11+UMKC!CG11+'S&amp;T'!CG11+UMSL!CG11</f>
        <v>1727</v>
      </c>
      <c r="CH11" s="2">
        <f>MU!CH11+UMKC!CH11+'S&amp;T'!CH11+UMSL!CH11</f>
        <v>1887</v>
      </c>
      <c r="CI11" s="2">
        <f>MU!CI11+UMKC!CI11+'S&amp;T'!CI11+UMSL!CI11</f>
        <v>1981</v>
      </c>
      <c r="CJ11" s="2">
        <f>MU!CJ11+UMKC!CJ11+'S&amp;T'!CJ11+UMSL!CJ11</f>
        <v>2012</v>
      </c>
      <c r="CK11" s="2">
        <f>MU!CK11+UMKC!CK11+'S&amp;T'!CK11+UMSL!CK11</f>
        <v>2167</v>
      </c>
      <c r="CL11" s="2">
        <f>MU!CL11+UMKC!CL11+'S&amp;T'!CL11+UMSL!CL11</f>
        <v>2316</v>
      </c>
      <c r="CM11" s="2">
        <f>MU!CM11+UMKC!CM11+'S&amp;T'!CM11+UMSL!CM11</f>
        <v>2540</v>
      </c>
      <c r="CN11" s="2">
        <f>MU!CN11+UMKC!CN11+'S&amp;T'!CN11+UMSL!CN11</f>
        <v>2699</v>
      </c>
      <c r="CO11" s="2">
        <f>MU!CO11+UMKC!CO11+'S&amp;T'!CO11+UMSL!CO11</f>
        <v>2743</v>
      </c>
      <c r="CP11" s="2">
        <f>MU!CP11+UMKC!CP11+'S&amp;T'!CP11+UMSL!CP11</f>
        <v>2874</v>
      </c>
      <c r="CQ11" s="2">
        <f>MU!CQ11+UMKC!CQ11+'S&amp;T'!CQ11+UMSL!CQ11</f>
        <v>2860</v>
      </c>
      <c r="CR11" s="2">
        <f>MU!CR11+UMKC!CR11+'S&amp;T'!CR11+UMSL!CR11</f>
        <v>2749</v>
      </c>
      <c r="CS11" s="2">
        <f>MU!CS11+UMKC!CS11+'S&amp;T'!CS11+UMSL!CS11</f>
        <v>2824</v>
      </c>
      <c r="CT11" s="2">
        <f>MU!CT11+UMKC!CT11+'S&amp;T'!CT11+UMSL!CT11</f>
        <v>2808</v>
      </c>
      <c r="CU11" s="2">
        <f>MU!CU11+UMKC!CU11+'S&amp;T'!CU11+UMSL!CU11</f>
        <v>2700</v>
      </c>
      <c r="CV11" s="2">
        <f>MU!CV11+UMKC!CV11+'S&amp;T'!CV11+UMSL!CV11</f>
        <v>2844</v>
      </c>
      <c r="CW11" s="2">
        <f>MU!CW11+UMKC!CW11+'S&amp;T'!CW11+UMSL!CW11</f>
        <v>3120</v>
      </c>
      <c r="CX11" s="2">
        <f>MU!CX11+UMKC!CX11+'S&amp;T'!CX11+UMSL!CX11</f>
        <v>3435</v>
      </c>
      <c r="CY11" s="2">
        <f>MU!CY11+UMKC!CY11+'S&amp;T'!CY11+UMSL!CY11</f>
        <v>3640</v>
      </c>
      <c r="CZ11" s="2">
        <f>MU!CZ11+UMKC!CZ11+'S&amp;T'!CZ11+UMSL!CZ11</f>
        <v>3559</v>
      </c>
      <c r="DA11" s="2">
        <f>MU!DA11+UMKC!DA11+'S&amp;T'!DA11+UMSL!DA11</f>
        <v>3230</v>
      </c>
      <c r="DB11" s="2">
        <f>MU!DB11+UMKC!DB11+'S&amp;T'!DB11+UMSL!DB11</f>
        <v>3086</v>
      </c>
      <c r="DC11" s="2">
        <f>MU!DC11+UMKC!DC11+'S&amp;T'!DC11+UMSL!DC11</f>
        <v>3248</v>
      </c>
      <c r="DD11" s="2">
        <f>MU!DD11+UMKC!DD11+'S&amp;T'!DD11+UMSL!DD11</f>
        <v>3362</v>
      </c>
      <c r="DE11" s="2">
        <f>MU!DE11+UMKC!DE11+'S&amp;T'!DE11+UMSL!DE11</f>
        <v>3715</v>
      </c>
      <c r="DF11" s="2">
        <f>MU!DF11+UMKC!DF11+'S&amp;T'!DF11+UMSL!DF11</f>
        <v>3973</v>
      </c>
      <c r="DG11" s="2">
        <f>MU!DG11+UMKC!DG11+'S&amp;T'!DG11+UMSL!DG11</f>
        <v>4204</v>
      </c>
      <c r="DH11" s="2">
        <f>MU!DH11+UMKC!DH11+'S&amp;T'!DH11+UMSL!DH11</f>
        <v>4495</v>
      </c>
      <c r="DI11" s="2">
        <f>MU!DI11+UMKC!DI11+'S&amp;T'!DI11+UMSL!DI11</f>
        <v>4695</v>
      </c>
      <c r="DJ11" s="2">
        <f>MU!DJ11+UMKC!DJ11+'S&amp;T'!DJ11+UMSL!DJ11</f>
        <v>5182</v>
      </c>
      <c r="DK11" s="2">
        <f>MU!DK11+UMKC!DK11+'S&amp;T'!DK11+UMSL!DK11</f>
        <v>6018</v>
      </c>
      <c r="DL11" s="2">
        <f>MU!DL11+UMKC!DL11+'S&amp;T'!DL11+UMSL!DL11</f>
        <v>6016</v>
      </c>
      <c r="DM11" s="2">
        <f>MU!DM11+UMKC!DM11+'S&amp;T'!DM11+UMSL!DM11</f>
        <v>5508</v>
      </c>
      <c r="DN11" s="2">
        <f>MU!DN11+UMKC!DN11+'S&amp;T'!DN11+UMSL!DN11</f>
        <v>4845</v>
      </c>
      <c r="DO11" s="2">
        <f>MU!DO11+UMKC!DO11+'S&amp;T'!DO11+UMSL!DO11</f>
        <v>4278</v>
      </c>
      <c r="DP11" s="2">
        <f>MU!DP11+UMKC!DP11+'S&amp;T'!DP11+UMSL!DP11</f>
        <v>3980</v>
      </c>
      <c r="DQ11" s="2">
        <f>MU!DQ11+UMKC!DQ11+'S&amp;T'!DQ11+UMSL!DQ11</f>
        <v>3214</v>
      </c>
      <c r="DR11" s="2">
        <f>MU!DR11+UMKC!DR11+'S&amp;T'!DR11+UMSL!DR11</f>
        <v>3650</v>
      </c>
      <c r="DS11" s="2">
        <f>MU!DS11+UMKC!DS11+'S&amp;T'!DS11+UMSL!DS11</f>
        <v>4295</v>
      </c>
      <c r="DT11" s="2">
        <f>MU!DT11+UMKC!DT11+'S&amp;T'!DT11+UMSL!DT11</f>
        <v>4378</v>
      </c>
      <c r="DU11" s="2">
        <f>MU!DU11+UMKC!DU11+'S&amp;T'!DU11+UMSL!DU11</f>
        <v>3924</v>
      </c>
    </row>
    <row r="12" spans="1:125" ht="13.5" customHeight="1" x14ac:dyDescent="0.2">
      <c r="A12" s="8"/>
      <c r="D12" s="2" t="s">
        <v>54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>
        <f t="shared" si="0"/>
        <v>4.9185367353212417E-3</v>
      </c>
      <c r="P12" s="13">
        <f t="shared" si="1"/>
        <v>5.7218563391639946E-3</v>
      </c>
      <c r="Q12" s="13">
        <f t="shared" si="2"/>
        <v>6.0315770800070962E-3</v>
      </c>
      <c r="R12" s="13">
        <f t="shared" si="3"/>
        <v>6.9459183082830073E-3</v>
      </c>
      <c r="S12" s="13"/>
      <c r="T12" s="13"/>
      <c r="U12" s="13"/>
      <c r="V12" s="13"/>
      <c r="W12" s="13">
        <f t="shared" si="4"/>
        <v>9.4754905618145199E-3</v>
      </c>
      <c r="X12" s="13">
        <f t="shared" si="4"/>
        <v>8.9034320066965992E-3</v>
      </c>
      <c r="Y12" s="13">
        <f t="shared" si="4"/>
        <v>9.7817055668857171E-3</v>
      </c>
      <c r="Z12" s="13">
        <f t="shared" si="5"/>
        <v>9.8294735274406138E-3</v>
      </c>
      <c r="AA12" s="13">
        <f t="shared" si="6"/>
        <v>1.004521257201196E-2</v>
      </c>
      <c r="AB12" s="13">
        <f t="shared" si="7"/>
        <v>1.1056760498384863E-2</v>
      </c>
      <c r="AC12" s="13">
        <f t="shared" si="8"/>
        <v>1.0885195769699837E-2</v>
      </c>
      <c r="AD12" s="13">
        <f t="shared" si="9"/>
        <v>1.1944987306167923E-2</v>
      </c>
      <c r="AE12" s="13">
        <f t="shared" si="10"/>
        <v>1.3066018785988943E-2</v>
      </c>
      <c r="AF12" s="13">
        <f t="shared" si="11"/>
        <v>1.3514569174283259E-2</v>
      </c>
      <c r="AG12" s="13">
        <f t="shared" si="12"/>
        <v>1.4554239585174709E-2</v>
      </c>
      <c r="AH12" s="13">
        <f t="shared" si="13"/>
        <v>1.5753808135606309E-2</v>
      </c>
      <c r="AI12" s="13">
        <f t="shared" si="14"/>
        <v>1.5777395295467584E-2</v>
      </c>
      <c r="AJ12" s="13">
        <f t="shared" si="15"/>
        <v>1.5536092284388169E-2</v>
      </c>
      <c r="AK12" s="13">
        <f t="shared" si="16"/>
        <v>1.6645938964890462E-2</v>
      </c>
      <c r="AL12" s="13">
        <f t="shared" si="17"/>
        <v>1.7855107700490067E-2</v>
      </c>
      <c r="AM12" s="13">
        <f t="shared" si="18"/>
        <v>1.8609589806639099E-2</v>
      </c>
      <c r="AN12" s="13">
        <f t="shared" si="19"/>
        <v>1.8785940129060888E-2</v>
      </c>
      <c r="AO12" s="13">
        <f t="shared" si="20"/>
        <v>1.8920111314735626E-2</v>
      </c>
      <c r="AP12" s="13">
        <f t="shared" si="21"/>
        <v>1.9895430162286957E-2</v>
      </c>
      <c r="AQ12" s="13">
        <f t="shared" si="22"/>
        <v>2.1676842787461199E-2</v>
      </c>
      <c r="AR12" s="13">
        <f t="shared" si="23"/>
        <v>2.273299642383439E-2</v>
      </c>
      <c r="AS12" s="13">
        <f t="shared" si="24"/>
        <v>2.2475696257981907E-2</v>
      </c>
      <c r="AT12" s="13">
        <f t="shared" si="25"/>
        <v>2.2749403982404888E-2</v>
      </c>
      <c r="AU12" s="13">
        <f t="shared" si="26"/>
        <v>2.4518106298895073E-2</v>
      </c>
      <c r="AV12" s="13">
        <f t="shared" si="26"/>
        <v>2.5774702037677816E-2</v>
      </c>
      <c r="AW12" s="13">
        <f t="shared" si="26"/>
        <v>2.8481247128906539E-2</v>
      </c>
      <c r="AX12" s="13">
        <f t="shared" si="26"/>
        <v>3.0036243257897891E-2</v>
      </c>
      <c r="AY12" s="13">
        <f t="shared" si="26"/>
        <v>3.2205626953803405E-2</v>
      </c>
      <c r="AZ12" s="13">
        <f t="shared" ref="AZ12:BD19" si="29">DJ12/DJ$20</f>
        <v>3.4476109144502144E-2</v>
      </c>
      <c r="BA12" s="13">
        <f t="shared" si="29"/>
        <v>3.6972701399003195E-2</v>
      </c>
      <c r="BB12" s="13">
        <f t="shared" si="29"/>
        <v>3.9371017526196567E-2</v>
      </c>
      <c r="BC12" s="13">
        <f t="shared" si="29"/>
        <v>4.2231399363617902E-2</v>
      </c>
      <c r="BD12" s="13">
        <f t="shared" si="29"/>
        <v>4.6148419864559823E-2</v>
      </c>
      <c r="BE12" s="13">
        <f t="shared" si="28"/>
        <v>4.7083201427461363E-2</v>
      </c>
      <c r="BF12" s="13">
        <f t="shared" si="28"/>
        <v>5.0589060718566378E-2</v>
      </c>
      <c r="BG12" s="13">
        <f t="shared" si="28"/>
        <v>5.4863772611360481E-2</v>
      </c>
      <c r="BH12" s="13">
        <f t="shared" si="28"/>
        <v>5.7844586583920027E-2</v>
      </c>
      <c r="BI12" s="13">
        <f t="shared" si="28"/>
        <v>6.0775601186873536E-2</v>
      </c>
      <c r="BJ12" s="13">
        <f t="shared" si="28"/>
        <v>6.6422167889160555E-2</v>
      </c>
      <c r="BK12" s="13">
        <f t="shared" si="28"/>
        <v>7.1835370946920801E-2</v>
      </c>
      <c r="BL12" s="9"/>
      <c r="BN12" s="2" t="s">
        <v>54</v>
      </c>
      <c r="BY12" s="2">
        <f>MU!BY12+UMKC!BY12+'S&amp;T'!BY12+UMSL!BY12</f>
        <v>256</v>
      </c>
      <c r="BZ12" s="2">
        <f>MU!BZ12+UMKC!BZ12+'S&amp;T'!BZ12+UMSL!BZ12</f>
        <v>298</v>
      </c>
      <c r="CA12" s="2">
        <f>MU!CA12+UMKC!CA12+'S&amp;T'!CA12+UMSL!CA12</f>
        <v>306</v>
      </c>
      <c r="CB12" s="2">
        <f>MU!CB12+UMKC!CB12+'S&amp;T'!CB12+UMSL!CB12</f>
        <v>360</v>
      </c>
      <c r="CG12" s="2">
        <f>MU!CG12+UMKC!CG12+'S&amp;T'!CG12+UMSL!CG12</f>
        <v>508</v>
      </c>
      <c r="CH12" s="2">
        <f>MU!CH12+UMKC!CH12+'S&amp;T'!CH12+UMSL!CH12</f>
        <v>468</v>
      </c>
      <c r="CI12" s="2">
        <f>MU!CI12+UMKC!CI12+'S&amp;T'!CI12+UMSL!CI12</f>
        <v>518</v>
      </c>
      <c r="CJ12" s="2">
        <f>MU!CJ12+UMKC!CJ12+'S&amp;T'!CJ12+UMSL!CJ12</f>
        <v>528</v>
      </c>
      <c r="CK12" s="2">
        <f>MU!CK12+UMKC!CK12+'S&amp;T'!CK12+UMSL!CK12</f>
        <v>551</v>
      </c>
      <c r="CL12" s="2">
        <f>MU!CL12+UMKC!CL12+'S&amp;T'!CL12+UMSL!CL12</f>
        <v>599</v>
      </c>
      <c r="CM12" s="2">
        <f>MU!CM12+UMKC!CM12+'S&amp;T'!CM12+UMSL!CM12</f>
        <v>598</v>
      </c>
      <c r="CN12" s="2">
        <f>MU!CN12+UMKC!CN12+'S&amp;T'!CN12+UMSL!CN12</f>
        <v>654</v>
      </c>
      <c r="CO12" s="2">
        <f>MU!CO12+UMKC!CO12+'S&amp;T'!CO12+UMSL!CO12</f>
        <v>683</v>
      </c>
      <c r="CP12" s="2">
        <f>MU!CP12+UMKC!CP12+'S&amp;T'!CP12+UMSL!CP12</f>
        <v>692</v>
      </c>
      <c r="CQ12" s="2">
        <f>MU!CQ12+UMKC!CQ12+'S&amp;T'!CQ12+UMSL!CQ12</f>
        <v>741</v>
      </c>
      <c r="CR12" s="2">
        <f>MU!CR12+UMKC!CR12+'S&amp;T'!CR12+UMSL!CR12</f>
        <v>816</v>
      </c>
      <c r="CS12" s="2">
        <f>MU!CS12+UMKC!CS12+'S&amp;T'!CS12+UMSL!CS12</f>
        <v>825</v>
      </c>
      <c r="CT12" s="2">
        <f>MU!CT12+UMKC!CT12+'S&amp;T'!CT12+UMSL!CT12</f>
        <v>800</v>
      </c>
      <c r="CU12" s="2">
        <f>MU!CU12+UMKC!CU12+'S&amp;T'!CU12+UMSL!CU12</f>
        <v>870</v>
      </c>
      <c r="CV12" s="2">
        <f>MU!CV12+UMKC!CV12+'S&amp;T'!CV12+UMSL!CV12</f>
        <v>940</v>
      </c>
      <c r="CW12" s="2">
        <f>MU!CW12+UMKC!CW12+'S&amp;T'!CW12+UMSL!CW12</f>
        <v>999</v>
      </c>
      <c r="CX12" s="2">
        <f>MU!CX12+UMKC!CX12+'S&amp;T'!CX12+UMSL!CX12</f>
        <v>1016</v>
      </c>
      <c r="CY12" s="2">
        <f>MU!CY12+UMKC!CY12+'S&amp;T'!CY12+UMSL!CY12</f>
        <v>1115</v>
      </c>
      <c r="CZ12" s="2">
        <f>MU!CZ12+UMKC!CZ12+'S&amp;T'!CZ12+UMSL!CZ12</f>
        <v>1172</v>
      </c>
      <c r="DA12" s="2">
        <f>MU!DA12+UMKC!DA12+'S&amp;T'!DA12+UMSL!DA12</f>
        <v>1271</v>
      </c>
      <c r="DB12" s="2">
        <f>MU!DB12+UMKC!DB12+'S&amp;T'!DB12+UMSL!DB12</f>
        <v>1354</v>
      </c>
      <c r="DC12" s="2">
        <f>MU!DC12+UMKC!DC12+'S&amp;T'!DC12+UMSL!DC12</f>
        <v>1334</v>
      </c>
      <c r="DD12" s="2">
        <f>MU!DD12+UMKC!DD12+'S&amp;T'!DD12+UMSL!DD12</f>
        <v>1355</v>
      </c>
      <c r="DE12" s="2">
        <f>MU!DE12+UMKC!DE12+'S&amp;T'!DE12+UMSL!DE12</f>
        <v>1520</v>
      </c>
      <c r="DF12" s="2">
        <f>MU!DF12+UMKC!DF12+'S&amp;T'!DF12+UMSL!DF12</f>
        <v>1676</v>
      </c>
      <c r="DG12" s="2">
        <f>MU!DG12+UMKC!DG12+'S&amp;T'!DG12+UMSL!DG12</f>
        <v>1922</v>
      </c>
      <c r="DH12" s="2">
        <f>MU!DH12+UMKC!DH12+'S&amp;T'!DH12+UMSL!DH12</f>
        <v>2105</v>
      </c>
      <c r="DI12" s="2">
        <f>MU!DI12+UMKC!DI12+'S&amp;T'!DI12+UMSL!DI12</f>
        <v>2318</v>
      </c>
      <c r="DJ12" s="2">
        <f>MU!DJ12+UMKC!DJ12+'S&amp;T'!DJ12+UMSL!DJ12</f>
        <v>2503</v>
      </c>
      <c r="DK12" s="2">
        <f>MU!DK12+UMKC!DK12+'S&amp;T'!DK12+UMSL!DK12</f>
        <v>2767</v>
      </c>
      <c r="DL12" s="2">
        <f>MU!DL12+UMKC!DL12+'S&amp;T'!DL12+UMSL!DL12</f>
        <v>2972</v>
      </c>
      <c r="DM12" s="2">
        <f>MU!DM12+UMKC!DM12+'S&amp;T'!DM12+UMSL!DM12</f>
        <v>3119</v>
      </c>
      <c r="DN12" s="2">
        <f>MU!DN12+UMKC!DN12+'S&amp;T'!DN12+UMSL!DN12</f>
        <v>3271</v>
      </c>
      <c r="DO12" s="2">
        <f>MU!DO12+UMKC!DO12+'S&amp;T'!DO12+UMSL!DO12</f>
        <v>3272</v>
      </c>
      <c r="DP12" s="2">
        <f>MU!DP12+UMKC!DP12+'S&amp;T'!DP12+UMSL!DP12</f>
        <v>3461</v>
      </c>
      <c r="DQ12" s="2">
        <f>MU!DQ12+UMKC!DQ12+'S&amp;T'!DQ12+UMSL!DQ12</f>
        <v>3679</v>
      </c>
      <c r="DR12" s="2">
        <f>MU!DR12+UMKC!DR12+'S&amp;T'!DR12+UMSL!DR12</f>
        <v>3952</v>
      </c>
      <c r="DS12" s="2">
        <f>MU!DS12+UMKC!DS12+'S&amp;T'!DS12+UMSL!DS12</f>
        <v>4117</v>
      </c>
      <c r="DT12" s="2">
        <f>MU!DT12+UMKC!DT12+'S&amp;T'!DT12+UMSL!DT12</f>
        <v>4401</v>
      </c>
      <c r="DU12" s="2">
        <f>MU!DU12+UMKC!DU12+'S&amp;T'!DU12+UMSL!DU12</f>
        <v>4730</v>
      </c>
    </row>
    <row r="13" spans="1:125" ht="13.5" customHeight="1" x14ac:dyDescent="0.2">
      <c r="A13" s="8"/>
      <c r="D13" s="2" t="s">
        <v>52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>
        <f t="shared" si="0"/>
        <v>4.5150630187519216E-3</v>
      </c>
      <c r="P13" s="13">
        <f t="shared" si="1"/>
        <v>3.9937789212956742E-3</v>
      </c>
      <c r="Q13" s="13">
        <f t="shared" si="2"/>
        <v>3.4494313366053653E-3</v>
      </c>
      <c r="R13" s="13">
        <f t="shared" si="3"/>
        <v>4.1289625499237878E-3</v>
      </c>
      <c r="S13" s="13"/>
      <c r="T13" s="13"/>
      <c r="U13" s="13"/>
      <c r="V13" s="13"/>
      <c r="W13" s="13">
        <f t="shared" si="4"/>
        <v>3.3947623666343357E-3</v>
      </c>
      <c r="X13" s="13">
        <f t="shared" si="4"/>
        <v>2.7585419678867666E-3</v>
      </c>
      <c r="Y13" s="13">
        <f t="shared" si="4"/>
        <v>2.9836090339149485E-3</v>
      </c>
      <c r="Z13" s="13">
        <f t="shared" si="5"/>
        <v>3.2392583215429295E-3</v>
      </c>
      <c r="AA13" s="13">
        <f t="shared" si="6"/>
        <v>3.2815576460293152E-3</v>
      </c>
      <c r="AB13" s="13">
        <f t="shared" si="7"/>
        <v>3.137978772496539E-3</v>
      </c>
      <c r="AC13" s="13">
        <f t="shared" si="8"/>
        <v>3.3674936745726925E-3</v>
      </c>
      <c r="AD13" s="13">
        <f t="shared" si="9"/>
        <v>3.2693466785994776E-3</v>
      </c>
      <c r="AE13" s="13">
        <f t="shared" si="10"/>
        <v>3.7304153195722458E-3</v>
      </c>
      <c r="AF13" s="13">
        <f t="shared" si="11"/>
        <v>3.3981720178111086E-3</v>
      </c>
      <c r="AG13" s="13">
        <f t="shared" si="12"/>
        <v>3.5943668611160213E-3</v>
      </c>
      <c r="AH13" s="13">
        <f t="shared" si="13"/>
        <v>3.8226152093750604E-3</v>
      </c>
      <c r="AI13" s="13">
        <f t="shared" si="14"/>
        <v>3.996940141518455E-3</v>
      </c>
      <c r="AJ13" s="13">
        <f t="shared" si="15"/>
        <v>4.6414075699609657E-3</v>
      </c>
      <c r="AK13" s="13">
        <f t="shared" si="16"/>
        <v>4.3241174782359133E-3</v>
      </c>
      <c r="AL13" s="13">
        <f t="shared" si="17"/>
        <v>4.7676936519393687E-3</v>
      </c>
      <c r="AM13" s="13">
        <f t="shared" si="18"/>
        <v>4.9737342125852242E-3</v>
      </c>
      <c r="AN13" s="13">
        <f t="shared" si="19"/>
        <v>5.2696780873842056E-3</v>
      </c>
      <c r="AO13" s="13">
        <f t="shared" si="20"/>
        <v>5.6675490395710314E-3</v>
      </c>
      <c r="AP13" s="13">
        <f t="shared" si="21"/>
        <v>5.9584436748828682E-3</v>
      </c>
      <c r="AQ13" s="13">
        <f t="shared" si="22"/>
        <v>5.7134086025173109E-3</v>
      </c>
      <c r="AR13" s="13">
        <f t="shared" si="23"/>
        <v>5.4230117022884099E-3</v>
      </c>
      <c r="AS13" s="13">
        <f t="shared" si="24"/>
        <v>5.4588647583104473E-3</v>
      </c>
      <c r="AT13" s="13">
        <f t="shared" si="25"/>
        <v>5.5908129344212753E-3</v>
      </c>
      <c r="AU13" s="13">
        <f t="shared" si="26"/>
        <v>5.8553109121703365E-3</v>
      </c>
      <c r="AV13" s="13">
        <f t="shared" si="26"/>
        <v>5.2595155709342558E-3</v>
      </c>
      <c r="AW13" s="13">
        <f t="shared" si="26"/>
        <v>4.5344753493472426E-3</v>
      </c>
      <c r="AX13" s="13">
        <f t="shared" si="26"/>
        <v>3.8098227790302787E-3</v>
      </c>
      <c r="AY13" s="13">
        <f t="shared" si="26"/>
        <v>3.5706842653699202E-3</v>
      </c>
      <c r="AZ13" s="13">
        <f t="shared" si="29"/>
        <v>3.2506439305243729E-3</v>
      </c>
      <c r="BA13" s="13">
        <f t="shared" si="29"/>
        <v>2.9396437686233113E-3</v>
      </c>
      <c r="BB13" s="13">
        <f t="shared" si="29"/>
        <v>2.7554413342694766E-3</v>
      </c>
      <c r="BC13" s="13">
        <f t="shared" si="29"/>
        <v>2.911109606661702E-3</v>
      </c>
      <c r="BD13" s="13">
        <f t="shared" si="29"/>
        <v>2.6382618510158015E-3</v>
      </c>
      <c r="BE13" s="13">
        <f t="shared" si="28"/>
        <v>2.8203873715716464E-3</v>
      </c>
      <c r="BF13" s="13">
        <f t="shared" si="28"/>
        <v>2.5141053000847778E-3</v>
      </c>
      <c r="BG13" s="13">
        <f t="shared" si="28"/>
        <v>2.6097200888796097E-3</v>
      </c>
      <c r="BH13" s="13">
        <f t="shared" si="28"/>
        <v>2.6199850704761349E-3</v>
      </c>
      <c r="BI13" s="13">
        <f t="shared" si="28"/>
        <v>2.5243205739507832E-3</v>
      </c>
      <c r="BJ13" s="13">
        <f t="shared" si="28"/>
        <v>2.6864680491412358E-3</v>
      </c>
      <c r="BK13" s="13">
        <f t="shared" si="28"/>
        <v>2.7336927633077684E-3</v>
      </c>
      <c r="BL13" s="9"/>
      <c r="BN13" s="2" t="s">
        <v>52</v>
      </c>
      <c r="BY13" s="2">
        <f>MU!BY13+UMKC!BY13+'S&amp;T'!BY13+UMSL!BY13</f>
        <v>235</v>
      </c>
      <c r="BZ13" s="2">
        <f>MU!BZ13+UMKC!BZ13+'S&amp;T'!BZ13+UMSL!BZ13</f>
        <v>208</v>
      </c>
      <c r="CA13" s="2">
        <f>MU!CA13+UMKC!CA13+'S&amp;T'!CA13+UMSL!CA13</f>
        <v>175</v>
      </c>
      <c r="CB13" s="2">
        <f>MU!CB13+UMKC!CB13+'S&amp;T'!CB13+UMSL!CB13</f>
        <v>214</v>
      </c>
      <c r="CG13" s="2">
        <f>MU!CG13+UMKC!CG13+'S&amp;T'!CG13+UMSL!CG13</f>
        <v>182</v>
      </c>
      <c r="CH13" s="2">
        <f>MU!CH13+UMKC!CH13+'S&amp;T'!CH13+UMSL!CH13</f>
        <v>145</v>
      </c>
      <c r="CI13" s="2">
        <f>MU!CI13+UMKC!CI13+'S&amp;T'!CI13+UMSL!CI13</f>
        <v>158</v>
      </c>
      <c r="CJ13" s="2">
        <f>MU!CJ13+UMKC!CJ13+'S&amp;T'!CJ13+UMSL!CJ13</f>
        <v>174</v>
      </c>
      <c r="CK13" s="2">
        <f>MU!CK13+UMKC!CK13+'S&amp;T'!CK13+UMSL!CK13</f>
        <v>180</v>
      </c>
      <c r="CL13" s="2">
        <f>MU!CL13+UMKC!CL13+'S&amp;T'!CL13+UMSL!CL13</f>
        <v>170</v>
      </c>
      <c r="CM13" s="2">
        <f>MU!CM13+UMKC!CM13+'S&amp;T'!CM13+UMSL!CM13</f>
        <v>185</v>
      </c>
      <c r="CN13" s="2">
        <f>MU!CN13+UMKC!CN13+'S&amp;T'!CN13+UMSL!CN13</f>
        <v>179</v>
      </c>
      <c r="CO13" s="2">
        <f>MU!CO13+UMKC!CO13+'S&amp;T'!CO13+UMSL!CO13</f>
        <v>195</v>
      </c>
      <c r="CP13" s="2">
        <f>MU!CP13+UMKC!CP13+'S&amp;T'!CP13+UMSL!CP13</f>
        <v>174</v>
      </c>
      <c r="CQ13" s="2">
        <f>MU!CQ13+UMKC!CQ13+'S&amp;T'!CQ13+UMSL!CQ13</f>
        <v>183</v>
      </c>
      <c r="CR13" s="2">
        <f>MU!CR13+UMKC!CR13+'S&amp;T'!CR13+UMSL!CR13</f>
        <v>198</v>
      </c>
      <c r="CS13" s="2">
        <f>MU!CS13+UMKC!CS13+'S&amp;T'!CS13+UMSL!CS13</f>
        <v>209</v>
      </c>
      <c r="CT13" s="2">
        <f>MU!CT13+UMKC!CT13+'S&amp;T'!CT13+UMSL!CT13</f>
        <v>239</v>
      </c>
      <c r="CU13" s="2">
        <f>MU!CU13+UMKC!CU13+'S&amp;T'!CU13+UMSL!CU13</f>
        <v>226</v>
      </c>
      <c r="CV13" s="2">
        <f>MU!CV13+UMKC!CV13+'S&amp;T'!CV13+UMSL!CV13</f>
        <v>251</v>
      </c>
      <c r="CW13" s="2">
        <f>MU!CW13+UMKC!CW13+'S&amp;T'!CW13+UMSL!CW13</f>
        <v>267</v>
      </c>
      <c r="CX13" s="2">
        <f>MU!CX13+UMKC!CX13+'S&amp;T'!CX13+UMSL!CX13</f>
        <v>285</v>
      </c>
      <c r="CY13" s="2">
        <f>MU!CY13+UMKC!CY13+'S&amp;T'!CY13+UMSL!CY13</f>
        <v>334</v>
      </c>
      <c r="CZ13" s="2">
        <f>MU!CZ13+UMKC!CZ13+'S&amp;T'!CZ13+UMSL!CZ13</f>
        <v>351</v>
      </c>
      <c r="DA13" s="2">
        <f>MU!DA13+UMKC!DA13+'S&amp;T'!DA13+UMSL!DA13</f>
        <v>335</v>
      </c>
      <c r="DB13" s="2">
        <f>MU!DB13+UMKC!DB13+'S&amp;T'!DB13+UMSL!DB13</f>
        <v>323</v>
      </c>
      <c r="DC13" s="2">
        <f>MU!DC13+UMKC!DC13+'S&amp;T'!DC13+UMSL!DC13</f>
        <v>324</v>
      </c>
      <c r="DD13" s="2">
        <f>MU!DD13+UMKC!DD13+'S&amp;T'!DD13+UMSL!DD13</f>
        <v>333</v>
      </c>
      <c r="DE13" s="2">
        <f>MU!DE13+UMKC!DE13+'S&amp;T'!DE13+UMSL!DE13</f>
        <v>363</v>
      </c>
      <c r="DF13" s="2">
        <f>MU!DF13+UMKC!DF13+'S&amp;T'!DF13+UMSL!DF13</f>
        <v>342</v>
      </c>
      <c r="DG13" s="2">
        <f>MU!DG13+UMKC!DG13+'S&amp;T'!DG13+UMSL!DG13</f>
        <v>306</v>
      </c>
      <c r="DH13" s="2">
        <f>MU!DH13+UMKC!DH13+'S&amp;T'!DH13+UMSL!DH13</f>
        <v>267</v>
      </c>
      <c r="DI13" s="2">
        <f>MU!DI13+UMKC!DI13+'S&amp;T'!DI13+UMSL!DI13</f>
        <v>257</v>
      </c>
      <c r="DJ13" s="2">
        <f>MU!DJ13+UMKC!DJ13+'S&amp;T'!DJ13+UMSL!DJ13</f>
        <v>236</v>
      </c>
      <c r="DK13" s="2">
        <f>MU!DK13+UMKC!DK13+'S&amp;T'!DK13+UMSL!DK13</f>
        <v>220</v>
      </c>
      <c r="DL13" s="2">
        <f>MU!DL13+UMKC!DL13+'S&amp;T'!DL13+UMSL!DL13</f>
        <v>208</v>
      </c>
      <c r="DM13" s="2">
        <f>MU!DM13+UMKC!DM13+'S&amp;T'!DM13+UMSL!DM13</f>
        <v>215</v>
      </c>
      <c r="DN13" s="2">
        <f>MU!DN13+UMKC!DN13+'S&amp;T'!DN13+UMSL!DN13</f>
        <v>187</v>
      </c>
      <c r="DO13" s="2">
        <f>MU!DO13+UMKC!DO13+'S&amp;T'!DO13+UMSL!DO13</f>
        <v>196</v>
      </c>
      <c r="DP13" s="2">
        <f>MU!DP13+UMKC!DP13+'S&amp;T'!DP13+UMSL!DP13</f>
        <v>172</v>
      </c>
      <c r="DQ13" s="2">
        <f>MU!DQ13+UMKC!DQ13+'S&amp;T'!DQ13+UMSL!DQ13</f>
        <v>175</v>
      </c>
      <c r="DR13" s="2">
        <f>MU!DR13+UMKC!DR13+'S&amp;T'!DR13+UMSL!DR13</f>
        <v>179</v>
      </c>
      <c r="DS13" s="2">
        <f>MU!DS13+UMKC!DS13+'S&amp;T'!DS13+UMSL!DS13</f>
        <v>171</v>
      </c>
      <c r="DT13" s="2">
        <f>MU!DT13+UMKC!DT13+'S&amp;T'!DT13+UMSL!DT13</f>
        <v>178</v>
      </c>
      <c r="DU13" s="2">
        <f>MU!DU13+UMKC!DU13+'S&amp;T'!DU13+UMSL!DU13</f>
        <v>180</v>
      </c>
    </row>
    <row r="14" spans="1:125" ht="13.5" hidden="1" customHeight="1" x14ac:dyDescent="0.2">
      <c r="A14" s="8"/>
      <c r="D14" s="2" t="s">
        <v>85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>
        <f t="shared" si="0"/>
        <v>6.3787273286197354E-3</v>
      </c>
      <c r="P14" s="13">
        <f t="shared" si="1"/>
        <v>7.6995449396132943E-3</v>
      </c>
      <c r="Q14" s="13">
        <f t="shared" si="2"/>
        <v>1.0387716082234443E-2</v>
      </c>
      <c r="R14" s="13">
        <f t="shared" si="3"/>
        <v>9.3191070636130351E-3</v>
      </c>
      <c r="S14" s="13"/>
      <c r="T14" s="13"/>
      <c r="U14" s="13"/>
      <c r="V14" s="13"/>
      <c r="W14" s="13">
        <f t="shared" si="4"/>
        <v>1.6097142430799075E-2</v>
      </c>
      <c r="X14" s="13">
        <f t="shared" si="4"/>
        <v>1.7635644167110571E-2</v>
      </c>
      <c r="Y14" s="13">
        <f t="shared" si="4"/>
        <v>1.9695596344134755E-2</v>
      </c>
      <c r="Z14" s="13">
        <f t="shared" si="5"/>
        <v>2.1241343361382083E-2</v>
      </c>
      <c r="AA14" s="13">
        <f t="shared" si="6"/>
        <v>2.2825056515715016E-2</v>
      </c>
      <c r="AB14" s="13">
        <f t="shared" si="7"/>
        <v>2.5066912782648824E-2</v>
      </c>
      <c r="AC14" s="13">
        <f t="shared" si="8"/>
        <v>2.7413218777872835E-2</v>
      </c>
      <c r="AD14" s="13">
        <f t="shared" si="9"/>
        <v>2.9551971653485783E-2</v>
      </c>
      <c r="AE14" s="13">
        <f t="shared" si="10"/>
        <v>3.0780708970214069E-2</v>
      </c>
      <c r="AF14" s="13">
        <f t="shared" si="11"/>
        <v>3.0153894227013516E-2</v>
      </c>
      <c r="AG14" s="13">
        <f t="shared" si="12"/>
        <v>3.0601221691905801E-2</v>
      </c>
      <c r="AH14" s="13">
        <f t="shared" si="13"/>
        <v>3.0310635751105278E-2</v>
      </c>
      <c r="AI14" s="13">
        <f t="shared" si="14"/>
        <v>3.1746031746031744E-2</v>
      </c>
      <c r="AJ14" s="13">
        <f t="shared" si="15"/>
        <v>2.7110481036257357E-2</v>
      </c>
      <c r="AK14" s="13">
        <f t="shared" si="16"/>
        <v>3.2220415191810965E-2</v>
      </c>
      <c r="AL14" s="13">
        <f t="shared" si="17"/>
        <v>3.2804011700793979E-2</v>
      </c>
      <c r="AM14" s="13">
        <f t="shared" si="18"/>
        <v>3.2916061249580866E-2</v>
      </c>
      <c r="AN14" s="13">
        <f t="shared" si="19"/>
        <v>3.3633489266497792E-2</v>
      </c>
      <c r="AO14" s="13">
        <f t="shared" si="20"/>
        <v>3.2206611009298849E-2</v>
      </c>
      <c r="AP14" s="13">
        <f t="shared" si="21"/>
        <v>3.3000611122428192E-2</v>
      </c>
      <c r="AQ14" s="13">
        <f t="shared" si="22"/>
        <v>3.4144012006685542E-2</v>
      </c>
      <c r="AR14" s="13">
        <f t="shared" si="23"/>
        <v>3.5425865918973828E-2</v>
      </c>
      <c r="AS14" s="13">
        <f t="shared" si="24"/>
        <v>3.6375583374050176E-2</v>
      </c>
      <c r="AT14" s="13">
        <f t="shared" si="25"/>
        <v>3.6080051039253214E-2</v>
      </c>
      <c r="AU14" s="13">
        <f t="shared" si="26"/>
        <v>3.4406000483909994E-2</v>
      </c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9"/>
      <c r="BN14" s="2" t="s">
        <v>85</v>
      </c>
      <c r="BY14" s="2">
        <f>MU!BY14+UMKC!BY14+'S&amp;T'!BY14+UMSL!BY14</f>
        <v>332</v>
      </c>
      <c r="BZ14" s="2">
        <f>MU!BZ14+UMKC!BZ14+'S&amp;T'!BZ14+UMSL!BZ14</f>
        <v>401</v>
      </c>
      <c r="CA14" s="2">
        <f>MU!CA14+UMKC!CA14+'S&amp;T'!CA14+UMSL!CA14</f>
        <v>527</v>
      </c>
      <c r="CB14" s="2">
        <f>MU!CB14+UMKC!CB14+'S&amp;T'!CB14+UMSL!CB14</f>
        <v>483</v>
      </c>
      <c r="CG14" s="2">
        <f>MU!CG14+UMKC!CG14+'S&amp;T'!CG14+UMSL!CG14</f>
        <v>863</v>
      </c>
      <c r="CH14" s="2">
        <f>MU!CH14+UMKC!CH14+'S&amp;T'!CH14+UMSL!CH14</f>
        <v>927</v>
      </c>
      <c r="CI14" s="2">
        <f>MU!CI14+UMKC!CI14+'S&amp;T'!CI14+UMSL!CI14</f>
        <v>1043</v>
      </c>
      <c r="CJ14" s="2">
        <f>MU!CJ14+UMKC!CJ14+'S&amp;T'!CJ14+UMSL!CJ14</f>
        <v>1141</v>
      </c>
      <c r="CK14" s="2">
        <f>MU!CK14+UMKC!CK14+'S&amp;T'!CK14+UMSL!CK14</f>
        <v>1252</v>
      </c>
      <c r="CL14" s="2">
        <f>MU!CL14+UMKC!CL14+'S&amp;T'!CL14+UMSL!CL14</f>
        <v>1358</v>
      </c>
      <c r="CM14" s="2">
        <f>MU!CM14+UMKC!CM14+'S&amp;T'!CM14+UMSL!CM14</f>
        <v>1506</v>
      </c>
      <c r="CN14" s="2">
        <f>MU!CN14+UMKC!CN14+'S&amp;T'!CN14+UMSL!CN14</f>
        <v>1618</v>
      </c>
      <c r="CO14" s="2">
        <f>MU!CO14+UMKC!CO14+'S&amp;T'!CO14+UMSL!CO14</f>
        <v>1609</v>
      </c>
      <c r="CP14" s="2">
        <f>MU!CP14+UMKC!CP14+'S&amp;T'!CP14+UMSL!CP14</f>
        <v>1544</v>
      </c>
      <c r="CQ14" s="2">
        <f>MU!CQ14+UMKC!CQ14+'S&amp;T'!CQ14+UMSL!CQ14</f>
        <v>1558</v>
      </c>
      <c r="CR14" s="2">
        <f>MU!CR14+UMKC!CR14+'S&amp;T'!CR14+UMSL!CR14</f>
        <v>1570</v>
      </c>
      <c r="CS14" s="2">
        <f>MU!CS14+UMKC!CS14+'S&amp;T'!CS14+UMSL!CS14</f>
        <v>1660</v>
      </c>
      <c r="CT14" s="2">
        <f>MU!CT14+UMKC!CT14+'S&amp;T'!CT14+UMSL!CT14</f>
        <v>1396</v>
      </c>
      <c r="CU14" s="2">
        <f>MU!CU14+UMKC!CU14+'S&amp;T'!CU14+UMSL!CU14</f>
        <v>1684</v>
      </c>
      <c r="CV14" s="2">
        <f>MU!CV14+UMKC!CV14+'S&amp;T'!CV14+UMSL!CV14</f>
        <v>1727</v>
      </c>
      <c r="CW14" s="2">
        <f>MU!CW14+UMKC!CW14+'S&amp;T'!CW14+UMSL!CW14</f>
        <v>1767</v>
      </c>
      <c r="CX14" s="2">
        <f>MU!CX14+UMKC!CX14+'S&amp;T'!CX14+UMSL!CX14</f>
        <v>1819</v>
      </c>
      <c r="CY14" s="2">
        <f>MU!CY14+UMKC!CY14+'S&amp;T'!CY14+UMSL!CY14</f>
        <v>1898</v>
      </c>
      <c r="CZ14" s="2">
        <f>MU!CZ14+UMKC!CZ14+'S&amp;T'!CZ14+UMSL!CZ14</f>
        <v>1944</v>
      </c>
      <c r="DA14" s="2">
        <f>MU!DA14+UMKC!DA14+'S&amp;T'!DA14+UMSL!DA14</f>
        <v>2002</v>
      </c>
      <c r="DB14" s="2">
        <f>MU!DB14+UMKC!DB14+'S&amp;T'!DB14+UMSL!DB14</f>
        <v>2110</v>
      </c>
      <c r="DC14" s="2">
        <f>MU!DC14+UMKC!DC14+'S&amp;T'!DC14+UMSL!DC14</f>
        <v>2159</v>
      </c>
      <c r="DD14" s="2">
        <f>MU!DD14+UMKC!DD14+'S&amp;T'!DD14+UMSL!DD14</f>
        <v>2149</v>
      </c>
      <c r="DE14" s="2">
        <f>MU!DE14+UMKC!DE14+'S&amp;T'!DE14+UMSL!DE14</f>
        <v>2133</v>
      </c>
    </row>
    <row r="15" spans="1:125" ht="13.5" customHeight="1" x14ac:dyDescent="0.2">
      <c r="A15" s="8"/>
      <c r="D15" s="2" t="s">
        <v>53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>
        <f t="shared" ref="AV15:AV19" si="30">DF15/DF$20</f>
        <v>3.4694348327566321E-2</v>
      </c>
      <c r="AW15" s="13">
        <f t="shared" ref="AW15:AW19" si="31">DG15/DG$20</f>
        <v>3.360846435398545E-2</v>
      </c>
      <c r="AX15" s="13">
        <f t="shared" ref="AX15:AX19" si="32">DH15/DH$20</f>
        <v>3.4987585970720013E-2</v>
      </c>
      <c r="AY15" s="13">
        <f t="shared" ref="AY15:AY19" si="33">DI15/DI$20</f>
        <v>3.5109412990621744E-2</v>
      </c>
      <c r="AZ15" s="13">
        <f t="shared" si="29"/>
        <v>3.5825952810567351E-2</v>
      </c>
      <c r="BA15" s="13">
        <f t="shared" si="29"/>
        <v>3.6758909124921496E-2</v>
      </c>
      <c r="BB15" s="13">
        <f t="shared" si="29"/>
        <v>3.6708307390676542E-2</v>
      </c>
      <c r="BC15" s="13">
        <f t="shared" si="29"/>
        <v>3.9293209667591901E-2</v>
      </c>
      <c r="BD15" s="13">
        <f t="shared" si="29"/>
        <v>4.1817155756207675E-2</v>
      </c>
      <c r="BE15" s="13">
        <f t="shared" ref="BE15:BK19" si="34">DO15/DO$20</f>
        <v>4.2924569027541944E-2</v>
      </c>
      <c r="BF15" s="13">
        <f t="shared" si="34"/>
        <v>4.496155757593475E-2</v>
      </c>
      <c r="BG15" s="13">
        <f t="shared" si="34"/>
        <v>4.5438954918949552E-2</v>
      </c>
      <c r="BH15" s="13">
        <f t="shared" si="34"/>
        <v>4.8067212130969983E-2</v>
      </c>
      <c r="BI15" s="13">
        <f t="shared" si="34"/>
        <v>4.777018349301014E-2</v>
      </c>
      <c r="BJ15" s="13">
        <f t="shared" si="34"/>
        <v>4.9367623532252707E-2</v>
      </c>
      <c r="BK15" s="13">
        <f t="shared" si="34"/>
        <v>5.0330321208899687E-2</v>
      </c>
      <c r="BL15" s="9"/>
      <c r="BN15" s="2" t="s">
        <v>53</v>
      </c>
      <c r="DF15" s="2">
        <f>MU!DF15+UMKC!DF15+'S&amp;T'!DF15+UMSL!DF15</f>
        <v>2256</v>
      </c>
      <c r="DG15" s="2">
        <f>MU!DG15+UMKC!DG15+'S&amp;T'!DG15+UMSL!DG15</f>
        <v>2268</v>
      </c>
      <c r="DH15" s="2">
        <f>MU!DH15+UMKC!DH15+'S&amp;T'!DH15+UMSL!DH15</f>
        <v>2452</v>
      </c>
      <c r="DI15" s="2">
        <f>MU!DI15+UMKC!DI15+'S&amp;T'!DI15+UMSL!DI15</f>
        <v>2527</v>
      </c>
      <c r="DJ15" s="2">
        <f>MU!DJ15+UMKC!DJ15+'S&amp;T'!DJ15+UMSL!DJ15</f>
        <v>2601</v>
      </c>
      <c r="DK15" s="2">
        <f>MU!DK15+UMKC!DK15+'S&amp;T'!DK15+UMSL!DK15</f>
        <v>2751</v>
      </c>
      <c r="DL15" s="2">
        <f>MU!DL15+UMKC!DL15+'S&amp;T'!DL15+UMSL!DL15</f>
        <v>2771</v>
      </c>
      <c r="DM15" s="2">
        <f>MU!DM15+UMKC!DM15+'S&amp;T'!DM15+UMSL!DM15</f>
        <v>2902</v>
      </c>
      <c r="DN15" s="2">
        <f>MU!DN15+UMKC!DN15+'S&amp;T'!DN15+UMSL!DN15</f>
        <v>2964</v>
      </c>
      <c r="DO15" s="2">
        <f>MU!DO15+UMKC!DO15+'S&amp;T'!DO15+UMSL!DO15</f>
        <v>2983</v>
      </c>
      <c r="DP15" s="2">
        <f>MU!DP15+UMKC!DP15+'S&amp;T'!DP15+UMSL!DP15</f>
        <v>3076</v>
      </c>
      <c r="DQ15" s="2">
        <f>MU!DQ15+UMKC!DQ15+'S&amp;T'!DQ15+UMSL!DQ15</f>
        <v>3047</v>
      </c>
      <c r="DR15" s="2">
        <f>MU!DR15+UMKC!DR15+'S&amp;T'!DR15+UMSL!DR15</f>
        <v>3284</v>
      </c>
      <c r="DS15" s="2">
        <f>MU!DS15+UMKC!DS15+'S&amp;T'!DS15+UMSL!DS15</f>
        <v>3236</v>
      </c>
      <c r="DT15" s="2">
        <f>MU!DT15+UMKC!DT15+'S&amp;T'!DT15+UMSL!DT15</f>
        <v>3271</v>
      </c>
      <c r="DU15" s="2">
        <f>MU!DU15+UMKC!DU15+'S&amp;T'!DU15+UMSL!DU15</f>
        <v>3314</v>
      </c>
    </row>
    <row r="16" spans="1:125" ht="13.5" customHeight="1" x14ac:dyDescent="0.2">
      <c r="A16" s="8"/>
      <c r="D16" s="2" t="s">
        <v>65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>
        <f t="shared" ref="O16" si="35">BY16/BY$20</f>
        <v>6.0136796802951122E-2</v>
      </c>
      <c r="P16" s="13">
        <f t="shared" ref="P16" si="36">BZ16/BZ$20</f>
        <v>6.0444307904994145E-2</v>
      </c>
      <c r="Q16" s="13">
        <f t="shared" ref="Q16" si="37">CA16/CA$20</f>
        <v>5.755622573078667E-2</v>
      </c>
      <c r="R16" s="13">
        <f t="shared" ref="R16" si="38">CB16/CB$20</f>
        <v>6.05066661521542E-2</v>
      </c>
      <c r="S16" s="13"/>
      <c r="T16" s="13"/>
      <c r="U16" s="13"/>
      <c r="V16" s="13"/>
      <c r="W16" s="13">
        <f t="shared" ref="W16:Y16" si="39">CG16/CG$20</f>
        <v>5.6144146832798628E-2</v>
      </c>
      <c r="X16" s="13">
        <f t="shared" si="39"/>
        <v>5.3306445475991171E-2</v>
      </c>
      <c r="Y16" s="13">
        <f t="shared" si="39"/>
        <v>5.1778835259460684E-2</v>
      </c>
      <c r="Z16" s="13">
        <f t="shared" ref="Z16" si="40">CJ16/CJ$20</f>
        <v>5.6761486335542483E-2</v>
      </c>
      <c r="AA16" s="13">
        <f t="shared" ref="AA16" si="41">CK16/CK$20</f>
        <v>5.5458324217895427E-2</v>
      </c>
      <c r="AB16" s="13">
        <f t="shared" ref="AB16" si="42">CL16/CL$20</f>
        <v>5.7646515920627597E-2</v>
      </c>
      <c r="AC16" s="13">
        <f t="shared" ref="AC16" si="43">CM16/CM$20</f>
        <v>6.0724102153375682E-2</v>
      </c>
      <c r="AD16" s="13">
        <f t="shared" ref="AD16" si="44">CN16/CN$20</f>
        <v>6.1989735347299596E-2</v>
      </c>
      <c r="AE16" s="13">
        <f t="shared" ref="AE16" si="45">CO16/CO$20</f>
        <v>6.0700552866680697E-2</v>
      </c>
      <c r="AF16" s="13">
        <f t="shared" ref="AF16" si="46">CP16/CP$20</f>
        <v>6.8529802359190692E-2</v>
      </c>
      <c r="AG16" s="13">
        <f t="shared" ref="AG16" si="47">CQ16/CQ$20</f>
        <v>7.4872822265433195E-2</v>
      </c>
      <c r="AH16" s="13">
        <f t="shared" ref="AH16" si="48">CR16/CR$20</f>
        <v>7.6375079637816867E-2</v>
      </c>
      <c r="AI16" s="13">
        <f t="shared" ref="AI16" si="49">CS16/CS$20</f>
        <v>7.9709313444253208E-2</v>
      </c>
      <c r="AJ16" s="13">
        <f t="shared" ref="AJ16" si="50">CT16/CT$20</f>
        <v>8.2108247722991481E-2</v>
      </c>
      <c r="AK16" s="13">
        <f t="shared" ref="AK16" si="51">CU16/CU$20</f>
        <v>8.4683822825982968E-2</v>
      </c>
      <c r="AL16" s="13">
        <f t="shared" ref="AL16" si="52">CV16/CV$20</f>
        <v>8.2494396535349318E-2</v>
      </c>
      <c r="AM16" s="13">
        <f t="shared" ref="AM16" si="53">CW16/CW$20</f>
        <v>8.39387504191349E-2</v>
      </c>
      <c r="AN16" s="13">
        <f t="shared" ref="AN16" si="54">CX16/CX$20</f>
        <v>8.141190392544792E-2</v>
      </c>
      <c r="AO16" s="13">
        <f t="shared" ref="AO16" si="55">CY16/CY$20</f>
        <v>8.2332179461073782E-2</v>
      </c>
      <c r="AP16" s="13">
        <f t="shared" ref="AP16" si="56">CZ16/CZ$20</f>
        <v>8.0786989882528693E-2</v>
      </c>
      <c r="AQ16" s="13">
        <f t="shared" ref="AQ16" si="57">DA16/DA$20</f>
        <v>8.5667019135655081E-2</v>
      </c>
      <c r="AR16" s="13">
        <f t="shared" ref="AR16" si="58">DB16/DB$20</f>
        <v>8.9823878040999977E-2</v>
      </c>
      <c r="AS16" s="13">
        <f t="shared" ref="AS16" si="59">DC16/DC$20</f>
        <v>9.044193216855087E-2</v>
      </c>
      <c r="AT16" s="13">
        <f t="shared" ref="AT16" si="60">DD16/DD$20</f>
        <v>9.2777274100936835E-2</v>
      </c>
      <c r="AU16" s="13">
        <f t="shared" si="26"/>
        <v>9.3297846600532294E-2</v>
      </c>
      <c r="AV16" s="13">
        <f t="shared" si="30"/>
        <v>9.93925413302576E-2</v>
      </c>
      <c r="AW16" s="13">
        <f t="shared" si="31"/>
        <v>9.8217328808737014E-2</v>
      </c>
      <c r="AX16" s="13">
        <f t="shared" si="32"/>
        <v>0.10005422219685511</v>
      </c>
      <c r="AY16" s="13">
        <f t="shared" si="33"/>
        <v>9.8687044112539077E-2</v>
      </c>
      <c r="AZ16" s="13">
        <f t="shared" si="29"/>
        <v>9.654136995358191E-2</v>
      </c>
      <c r="BA16" s="13">
        <f t="shared" si="29"/>
        <v>9.3908256390384692E-2</v>
      </c>
      <c r="BB16" s="13">
        <f t="shared" si="29"/>
        <v>9.014797249857591E-2</v>
      </c>
      <c r="BC16" s="13">
        <f t="shared" si="29"/>
        <v>9.2329564687563467E-2</v>
      </c>
      <c r="BD16" s="13">
        <f t="shared" si="29"/>
        <v>8.9122460496614E-2</v>
      </c>
      <c r="BE16" s="13">
        <f t="shared" si="34"/>
        <v>8.7777362074423687E-2</v>
      </c>
      <c r="BF16" s="13">
        <f t="shared" si="34"/>
        <v>8.8022919285526358E-2</v>
      </c>
      <c r="BG16" s="13">
        <f t="shared" si="34"/>
        <v>8.7567293496577533E-2</v>
      </c>
      <c r="BH16" s="13">
        <f t="shared" si="34"/>
        <v>8.5010465303493807E-2</v>
      </c>
      <c r="BI16" s="13">
        <f t="shared" si="34"/>
        <v>8.1678746992220372E-2</v>
      </c>
      <c r="BJ16" s="13">
        <f t="shared" si="34"/>
        <v>8.2480606115487937E-2</v>
      </c>
      <c r="BK16" s="13">
        <f t="shared" si="34"/>
        <v>8.2223403447490323E-2</v>
      </c>
      <c r="BL16" s="9"/>
      <c r="BN16" s="2" t="s">
        <v>65</v>
      </c>
      <c r="BY16" s="2">
        <f>MU!BY16+UMKC!BY16+'S&amp;T'!BY16+UMSL!BY16</f>
        <v>3130</v>
      </c>
      <c r="BZ16" s="2">
        <f>MU!BZ16+UMKC!BZ16+'S&amp;T'!BZ16+UMSL!BZ16</f>
        <v>3148</v>
      </c>
      <c r="CA16" s="2">
        <f>MU!CA16+UMKC!CA16+'S&amp;T'!CA16+UMSL!CA16</f>
        <v>2920</v>
      </c>
      <c r="CB16" s="2">
        <f>MU!CB16+UMKC!CB16+'S&amp;T'!CB16+UMSL!CB16</f>
        <v>3136</v>
      </c>
      <c r="CG16" s="2">
        <f>MU!CG16+UMKC!CG16+'S&amp;T'!CG16+UMSL!CG16</f>
        <v>3010</v>
      </c>
      <c r="CH16" s="2">
        <f>MU!CH16+UMKC!CH16+'S&amp;T'!CH16+UMSL!CH16</f>
        <v>2802</v>
      </c>
      <c r="CI16" s="2">
        <f>MU!CI16+UMKC!CI16+'S&amp;T'!CI16+UMSL!CI16</f>
        <v>2742</v>
      </c>
      <c r="CJ16" s="2">
        <f>MU!CJ16+UMKC!CJ16+'S&amp;T'!CJ16+UMSL!CJ16</f>
        <v>3049</v>
      </c>
      <c r="CK16" s="2">
        <f>MU!CK16+UMKC!CK16+'S&amp;T'!CK16+UMSL!CK16</f>
        <v>3042</v>
      </c>
      <c r="CL16" s="2">
        <f>MU!CL16+UMKC!CL16+'S&amp;T'!CL16+UMSL!CL16</f>
        <v>3123</v>
      </c>
      <c r="CM16" s="2">
        <f>MU!CM16+UMKC!CM16+'S&amp;T'!CM16+UMSL!CM16</f>
        <v>3336</v>
      </c>
      <c r="CN16" s="2">
        <f>MU!CN16+UMKC!CN16+'S&amp;T'!CN16+UMSL!CN16</f>
        <v>3394</v>
      </c>
      <c r="CO16" s="2">
        <f>MU!CO16+UMKC!CO16+'S&amp;T'!CO16+UMSL!CO16</f>
        <v>3173</v>
      </c>
      <c r="CP16" s="2">
        <f>MU!CP16+UMKC!CP16+'S&amp;T'!CP16+UMSL!CP16</f>
        <v>3509</v>
      </c>
      <c r="CQ16" s="2">
        <f>MU!CQ16+UMKC!CQ16+'S&amp;T'!CQ16+UMSL!CQ16</f>
        <v>3812</v>
      </c>
      <c r="CR16" s="2">
        <f>MU!CR16+UMKC!CR16+'S&amp;T'!CR16+UMSL!CR16</f>
        <v>3956</v>
      </c>
      <c r="CS16" s="2">
        <f>MU!CS16+UMKC!CS16+'S&amp;T'!CS16+UMSL!CS16</f>
        <v>4168</v>
      </c>
      <c r="CT16" s="2">
        <f>MU!CT16+UMKC!CT16+'S&amp;T'!CT16+UMSL!CT16</f>
        <v>4228</v>
      </c>
      <c r="CU16" s="2">
        <f>MU!CU16+UMKC!CU16+'S&amp;T'!CU16+UMSL!CU16</f>
        <v>4426</v>
      </c>
      <c r="CV16" s="2">
        <f>MU!CV16+UMKC!CV16+'S&amp;T'!CV16+UMSL!CV16</f>
        <v>4343</v>
      </c>
      <c r="CW16" s="2">
        <f>MU!CW16+UMKC!CW16+'S&amp;T'!CW16+UMSL!CW16</f>
        <v>4506</v>
      </c>
      <c r="CX16" s="2">
        <f>MU!CX16+UMKC!CX16+'S&amp;T'!CX16+UMSL!CX16</f>
        <v>4403</v>
      </c>
      <c r="CY16" s="2">
        <f>MU!CY16+UMKC!CY16+'S&amp;T'!CY16+UMSL!CY16</f>
        <v>4852</v>
      </c>
      <c r="CZ16" s="2">
        <f>MU!CZ16+UMKC!CZ16+'S&amp;T'!CZ16+UMSL!CZ16</f>
        <v>4759</v>
      </c>
      <c r="DA16" s="2">
        <f>MU!DA16+UMKC!DA16+'S&amp;T'!DA16+UMSL!DA16</f>
        <v>5023</v>
      </c>
      <c r="DB16" s="2">
        <f>MU!DB16+UMKC!DB16+'S&amp;T'!DB16+UMSL!DB16</f>
        <v>5350</v>
      </c>
      <c r="DC16" s="2">
        <f>MU!DC16+UMKC!DC16+'S&amp;T'!DC16+UMSL!DC16</f>
        <v>5368</v>
      </c>
      <c r="DD16" s="2">
        <f>MU!DD16+UMKC!DD16+'S&amp;T'!DD16+UMSL!DD16</f>
        <v>5526</v>
      </c>
      <c r="DE16" s="2">
        <f>MU!DE16+UMKC!DE16+'S&amp;T'!DE16+UMSL!DE16</f>
        <v>5784</v>
      </c>
      <c r="DF16" s="2">
        <f>MU!DF16+UMKC!DF16+'S&amp;T'!DF16+UMSL!DF16</f>
        <v>6463</v>
      </c>
      <c r="DG16" s="2">
        <f>MU!DG16+UMKC!DG16+'S&amp;T'!DG16+UMSL!DG16</f>
        <v>6628</v>
      </c>
      <c r="DH16" s="2">
        <f>MU!DH16+UMKC!DH16+'S&amp;T'!DH16+UMSL!DH16</f>
        <v>7012</v>
      </c>
      <c r="DI16" s="2">
        <f>MU!DI16+UMKC!DI16+'S&amp;T'!DI16+UMSL!DI16</f>
        <v>7103</v>
      </c>
      <c r="DJ16" s="2">
        <f>MU!DJ16+UMKC!DJ16+'S&amp;T'!DJ16+UMSL!DJ16</f>
        <v>7009</v>
      </c>
      <c r="DK16" s="2">
        <f>MU!DK16+UMKC!DK16+'S&amp;T'!DK16+UMSL!DK16</f>
        <v>7028</v>
      </c>
      <c r="DL16" s="2">
        <f>MU!DL16+UMKC!DL16+'S&amp;T'!DL16+UMSL!DL16</f>
        <v>6805</v>
      </c>
      <c r="DM16" s="2">
        <f>MU!DM16+UMKC!DM16+'S&amp;T'!DM16+UMSL!DM16</f>
        <v>6819</v>
      </c>
      <c r="DN16" s="2">
        <f>MU!DN16+UMKC!DN16+'S&amp;T'!DN16+UMSL!DN16</f>
        <v>6317</v>
      </c>
      <c r="DO16" s="2">
        <f>MU!DO16+UMKC!DO16+'S&amp;T'!DO16+UMSL!DO16</f>
        <v>6100</v>
      </c>
      <c r="DP16" s="2">
        <f>MU!DP16+UMKC!DP16+'S&amp;T'!DP16+UMSL!DP16</f>
        <v>6022</v>
      </c>
      <c r="DQ16" s="2">
        <f>MU!DQ16+UMKC!DQ16+'S&amp;T'!DQ16+UMSL!DQ16</f>
        <v>5872</v>
      </c>
      <c r="DR16" s="2">
        <f>MU!DR16+UMKC!DR16+'S&amp;T'!DR16+UMSL!DR16</f>
        <v>5808</v>
      </c>
      <c r="DS16" s="2">
        <f>MU!DS16+UMKC!DS16+'S&amp;T'!DS16+UMSL!DS16</f>
        <v>5533</v>
      </c>
      <c r="DT16" s="2">
        <f>MU!DT16+UMKC!DT16+'S&amp;T'!DT16+UMSL!DT16</f>
        <v>5465</v>
      </c>
      <c r="DU16" s="2">
        <f>MU!DU16+UMKC!DU16+'S&amp;T'!DU16+UMSL!DU16</f>
        <v>5414</v>
      </c>
    </row>
    <row r="17" spans="1:125" ht="13.5" customHeight="1" x14ac:dyDescent="0.2">
      <c r="A17" s="8"/>
      <c r="D17" s="2" t="s">
        <v>64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>
        <f t="shared" si="30"/>
        <v>1.5378700499807767E-4</v>
      </c>
      <c r="AW17" s="13">
        <f t="shared" si="31"/>
        <v>5.631047819450825E-4</v>
      </c>
      <c r="AX17" s="13">
        <f t="shared" si="32"/>
        <v>8.133329528266887E-4</v>
      </c>
      <c r="AY17" s="13">
        <f t="shared" si="33"/>
        <v>8.4751649878430009E-4</v>
      </c>
      <c r="AZ17" s="13">
        <f t="shared" si="29"/>
        <v>1.0192697070288289E-3</v>
      </c>
      <c r="BA17" s="13">
        <f t="shared" si="29"/>
        <v>8.2844506206656958E-4</v>
      </c>
      <c r="BB17" s="13">
        <f t="shared" si="29"/>
        <v>7.2860227588856358E-4</v>
      </c>
      <c r="BC17" s="13">
        <f t="shared" si="29"/>
        <v>8.5302281497528945E-4</v>
      </c>
      <c r="BD17" s="13">
        <f t="shared" si="29"/>
        <v>6.2076749435665917E-4</v>
      </c>
      <c r="BE17" s="13">
        <f t="shared" si="34"/>
        <v>5.8997899099202814E-4</v>
      </c>
      <c r="BF17" s="13">
        <f t="shared" si="34"/>
        <v>6.5776010758031983E-4</v>
      </c>
      <c r="BG17" s="13">
        <f t="shared" si="34"/>
        <v>7.3072162488629076E-4</v>
      </c>
      <c r="BH17" s="13">
        <f t="shared" si="34"/>
        <v>6.8792904085127559E-4</v>
      </c>
      <c r="BI17" s="13">
        <f t="shared" si="34"/>
        <v>7.5286753959935635E-4</v>
      </c>
      <c r="BJ17" s="13">
        <f t="shared" si="34"/>
        <v>7.5462585650034708E-4</v>
      </c>
      <c r="BK17" s="13">
        <f t="shared" si="34"/>
        <v>7.2898473688207154E-4</v>
      </c>
      <c r="BL17" s="9"/>
      <c r="BN17" s="2" t="s">
        <v>64</v>
      </c>
      <c r="DF17" s="2">
        <f>MU!DF17+UMKC!DF17+'S&amp;T'!DF17+UMSL!DF17</f>
        <v>10</v>
      </c>
      <c r="DG17" s="2">
        <f>MU!DG17+UMKC!DG17+'S&amp;T'!DG17+UMSL!DG17</f>
        <v>38</v>
      </c>
      <c r="DH17" s="2">
        <f>MU!DH17+UMKC!DH17+'S&amp;T'!DH17+UMSL!DH17</f>
        <v>57</v>
      </c>
      <c r="DI17" s="2">
        <f>MU!DI17+UMKC!DI17+'S&amp;T'!DI17+UMSL!DI17</f>
        <v>61</v>
      </c>
      <c r="DJ17" s="2">
        <f>MU!DJ17+UMKC!DJ17+'S&amp;T'!DJ17+UMSL!DJ17</f>
        <v>74</v>
      </c>
      <c r="DK17" s="2">
        <f>MU!DK17+UMKC!DK17+'S&amp;T'!DK17+UMSL!DK17</f>
        <v>62</v>
      </c>
      <c r="DL17" s="2">
        <f>MU!DL17+UMKC!DL17+'S&amp;T'!DL17+UMSL!DL17</f>
        <v>55</v>
      </c>
      <c r="DM17" s="2">
        <f>MU!DM17+UMKC!DM17+'S&amp;T'!DM17+UMSL!DM17</f>
        <v>63</v>
      </c>
      <c r="DN17" s="2">
        <f>MU!DN17+UMKC!DN17+'S&amp;T'!DN17+UMSL!DN17</f>
        <v>44</v>
      </c>
      <c r="DO17" s="2">
        <f>MU!DO17+UMKC!DO17+'S&amp;T'!DO17+UMSL!DO17</f>
        <v>41</v>
      </c>
      <c r="DP17" s="2">
        <f>MU!DP17+UMKC!DP17+'S&amp;T'!DP17+UMSL!DP17</f>
        <v>45</v>
      </c>
      <c r="DQ17" s="2">
        <f>MU!DQ17+UMKC!DQ17+'S&amp;T'!DQ17+UMSL!DQ17</f>
        <v>49</v>
      </c>
      <c r="DR17" s="2">
        <f>MU!DR17+UMKC!DR17+'S&amp;T'!DR17+UMSL!DR17</f>
        <v>47</v>
      </c>
      <c r="DS17" s="2">
        <f>MU!DS17+UMKC!DS17+'S&amp;T'!DS17+UMSL!DS17</f>
        <v>51</v>
      </c>
      <c r="DT17" s="2">
        <f>MU!DT17+UMKC!DT17+'S&amp;T'!DT17+UMSL!DT17</f>
        <v>50</v>
      </c>
      <c r="DU17" s="2">
        <f>MU!DU17+UMKC!DU17+'S&amp;T'!DU17+UMSL!DU17</f>
        <v>48</v>
      </c>
    </row>
    <row r="18" spans="1:125" ht="13.5" customHeight="1" x14ac:dyDescent="0.2">
      <c r="A18" s="8"/>
      <c r="D18" s="2" t="s">
        <v>55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>
        <f t="shared" ref="O18" si="61">BY18/BY$20</f>
        <v>0.89907393175530281</v>
      </c>
      <c r="P18" s="13">
        <f t="shared" ref="P18" si="62">BZ18/BZ$20</f>
        <v>0.89765941514179837</v>
      </c>
      <c r="Q18" s="13">
        <f t="shared" ref="Q18" si="63">CA18/CA$20</f>
        <v>0.89777856621922614</v>
      </c>
      <c r="R18" s="13">
        <f t="shared" ref="R18" si="64">CB18/CB$20</f>
        <v>0.89112273051766389</v>
      </c>
      <c r="S18" s="13"/>
      <c r="T18" s="13"/>
      <c r="U18" s="13"/>
      <c r="V18" s="13"/>
      <c r="W18" s="13">
        <f t="shared" ref="W18:AE18" si="65">CG18/CG$20</f>
        <v>0.88267552040587927</v>
      </c>
      <c r="X18" s="13">
        <f t="shared" si="65"/>
        <v>0.88149684194505751</v>
      </c>
      <c r="Y18" s="13">
        <f t="shared" si="65"/>
        <v>0.87835183926278415</v>
      </c>
      <c r="Z18" s="13">
        <f t="shared" si="65"/>
        <v>0.87147218705785989</v>
      </c>
      <c r="AA18" s="13">
        <f t="shared" si="65"/>
        <v>0.86888354116531763</v>
      </c>
      <c r="AB18" s="13">
        <f t="shared" si="65"/>
        <v>0.86034148592524229</v>
      </c>
      <c r="AC18" s="13">
        <f t="shared" si="65"/>
        <v>0.85137521160602148</v>
      </c>
      <c r="AD18" s="13">
        <f t="shared" si="65"/>
        <v>0.84394805574327414</v>
      </c>
      <c r="AE18" s="13">
        <f t="shared" si="65"/>
        <v>0.83924779522889448</v>
      </c>
      <c r="AF18" s="13">
        <f t="shared" ref="AF18:AO18" si="66">CP18/CP$20</f>
        <v>0.82827513475509729</v>
      </c>
      <c r="AG18" s="13">
        <f t="shared" si="66"/>
        <v>0.82020309154832749</v>
      </c>
      <c r="AH18" s="13">
        <f t="shared" si="66"/>
        <v>0.82066528949553064</v>
      </c>
      <c r="AI18" s="13">
        <f t="shared" si="66"/>
        <v>0.8147638171734557</v>
      </c>
      <c r="AJ18" s="13">
        <f t="shared" si="66"/>
        <v>0.81607208746819959</v>
      </c>
      <c r="AK18" s="13">
        <f t="shared" si="66"/>
        <v>0.81046589495838517</v>
      </c>
      <c r="AL18" s="13">
        <f t="shared" si="66"/>
        <v>0.80805759221973184</v>
      </c>
      <c r="AM18" s="13">
        <f t="shared" si="66"/>
        <v>0.801441824075109</v>
      </c>
      <c r="AN18" s="13">
        <f t="shared" si="66"/>
        <v>0.79738550006471531</v>
      </c>
      <c r="AO18" s="13">
        <f t="shared" si="66"/>
        <v>0.79910744586981608</v>
      </c>
      <c r="AP18" s="13">
        <f t="shared" ref="AP18:AT18" si="67">CZ18/CZ$20</f>
        <v>0.79994228288178171</v>
      </c>
      <c r="AQ18" s="13">
        <f t="shared" si="67"/>
        <v>0.7977112255687826</v>
      </c>
      <c r="AR18" s="13">
        <f t="shared" si="67"/>
        <v>0.79478182031866484</v>
      </c>
      <c r="AS18" s="13">
        <f t="shared" si="67"/>
        <v>0.79052448907384631</v>
      </c>
      <c r="AT18" s="13">
        <f t="shared" si="67"/>
        <v>0.78635707330176963</v>
      </c>
      <c r="AU18" s="13">
        <f>DE18/DE$20</f>
        <v>0.7819985482700218</v>
      </c>
      <c r="AV18" s="13">
        <f t="shared" si="30"/>
        <v>0.77121107266435984</v>
      </c>
      <c r="AW18" s="13">
        <f t="shared" si="31"/>
        <v>0.76468147533452868</v>
      </c>
      <c r="AX18" s="13">
        <f t="shared" si="32"/>
        <v>0.75423075825461605</v>
      </c>
      <c r="AY18" s="13">
        <f t="shared" si="33"/>
        <v>0.74717610281347691</v>
      </c>
      <c r="AZ18" s="13">
        <f t="shared" si="29"/>
        <v>0.73687690252200377</v>
      </c>
      <c r="BA18" s="13">
        <f t="shared" si="29"/>
        <v>0.72478253317120755</v>
      </c>
      <c r="BB18" s="13">
        <f t="shared" si="29"/>
        <v>0.72470756554108651</v>
      </c>
      <c r="BC18" s="13">
        <f t="shared" si="29"/>
        <v>0.72199580258614848</v>
      </c>
      <c r="BD18" s="13">
        <f t="shared" si="29"/>
        <v>0.72327878103837473</v>
      </c>
      <c r="BE18" s="13">
        <f t="shared" si="34"/>
        <v>0.72488272368837603</v>
      </c>
      <c r="BF18" s="13">
        <f t="shared" si="34"/>
        <v>0.72014499956149325</v>
      </c>
      <c r="BG18" s="13">
        <f t="shared" si="34"/>
        <v>0.72368283698942693</v>
      </c>
      <c r="BH18" s="13">
        <f t="shared" si="34"/>
        <v>0.71597312685704251</v>
      </c>
      <c r="BI18" s="13">
        <f t="shared" si="34"/>
        <v>0.70667690172864295</v>
      </c>
      <c r="BJ18" s="13">
        <f t="shared" si="34"/>
        <v>0.69576503969332004</v>
      </c>
      <c r="BK18" s="13">
        <f t="shared" si="34"/>
        <v>0.69476801579466929</v>
      </c>
      <c r="BL18" s="9"/>
      <c r="BN18" s="2" t="s">
        <v>55</v>
      </c>
      <c r="BY18" s="2">
        <f>MU!BY18+UMKC!BY18+'S&amp;T'!BY18+UMSL!BY18</f>
        <v>46795</v>
      </c>
      <c r="BZ18" s="2">
        <f>MU!BZ18+UMKC!BZ18+'S&amp;T'!BZ18+UMSL!BZ18</f>
        <v>46751</v>
      </c>
      <c r="CA18" s="2">
        <f>MU!CA18+UMKC!CA18+'S&amp;T'!CA18+UMSL!CA18</f>
        <v>45547</v>
      </c>
      <c r="CB18" s="2">
        <f>MU!CB18+UMKC!CB18+'S&amp;T'!CB18+UMSL!CB18</f>
        <v>46186</v>
      </c>
      <c r="CG18" s="2">
        <f>MU!CG18+UMKC!CG18+'S&amp;T'!CG18+UMSL!CG18</f>
        <v>47322</v>
      </c>
      <c r="CH18" s="2">
        <f>MU!CH18+UMKC!CH18+'S&amp;T'!CH18+UMSL!CH18</f>
        <v>46335</v>
      </c>
      <c r="CI18" s="2">
        <f>MU!CI18+UMKC!CI18+'S&amp;T'!CI18+UMSL!CI18</f>
        <v>46514</v>
      </c>
      <c r="CJ18" s="2">
        <f>MU!CJ18+UMKC!CJ18+'S&amp;T'!CJ18+UMSL!CJ18</f>
        <v>46812</v>
      </c>
      <c r="CK18" s="2">
        <f>MU!CK18+UMKC!CK18+'S&amp;T'!CK18+UMSL!CK18</f>
        <v>47660</v>
      </c>
      <c r="CL18" s="2">
        <f>MU!CL18+UMKC!CL18+'S&amp;T'!CL18+UMSL!CL18</f>
        <v>46609</v>
      </c>
      <c r="CM18" s="2">
        <f>MU!CM18+UMKC!CM18+'S&amp;T'!CM18+UMSL!CM18</f>
        <v>46772</v>
      </c>
      <c r="CN18" s="2">
        <f>MU!CN18+UMKC!CN18+'S&amp;T'!CN18+UMSL!CN18</f>
        <v>46207</v>
      </c>
      <c r="CO18" s="2">
        <f>MU!CO18+UMKC!CO18+'S&amp;T'!CO18+UMSL!CO18</f>
        <v>43870</v>
      </c>
      <c r="CP18" s="2">
        <f>MU!CP18+UMKC!CP18+'S&amp;T'!CP18+UMSL!CP18</f>
        <v>42411</v>
      </c>
      <c r="CQ18" s="2">
        <f>MU!CQ18+UMKC!CQ18+'S&amp;T'!CQ18+UMSL!CQ18</f>
        <v>41759</v>
      </c>
      <c r="CR18" s="2">
        <f>MU!CR18+UMKC!CR18+'S&amp;T'!CR18+UMSL!CR18</f>
        <v>42508</v>
      </c>
      <c r="CS18" s="2">
        <f>MU!CS18+UMKC!CS18+'S&amp;T'!CS18+UMSL!CS18</f>
        <v>42604</v>
      </c>
      <c r="CT18" s="2">
        <f>MU!CT18+UMKC!CT18+'S&amp;T'!CT18+UMSL!CT18</f>
        <v>42022</v>
      </c>
      <c r="CU18" s="2">
        <f>MU!CU18+UMKC!CU18+'S&amp;T'!CU18+UMSL!CU18</f>
        <v>42359</v>
      </c>
      <c r="CV18" s="2">
        <f>MU!CV18+UMKC!CV18+'S&amp;T'!CV18+UMSL!CV18</f>
        <v>42541</v>
      </c>
      <c r="CW18" s="2">
        <f>MU!CW18+UMKC!CW18+'S&amp;T'!CW18+UMSL!CW18</f>
        <v>43023</v>
      </c>
      <c r="CX18" s="2">
        <f>MU!CX18+UMKC!CX18+'S&amp;T'!CX18+UMSL!CX18</f>
        <v>43125</v>
      </c>
      <c r="CY18" s="2">
        <f>MU!CY18+UMKC!CY18+'S&amp;T'!CY18+UMSL!CY18</f>
        <v>47093</v>
      </c>
      <c r="CZ18" s="2">
        <f>MU!CZ18+UMKC!CZ18+'S&amp;T'!CZ18+UMSL!CZ18</f>
        <v>47123</v>
      </c>
      <c r="DA18" s="2">
        <f>MU!DA18+UMKC!DA18+'S&amp;T'!DA18+UMSL!DA18</f>
        <v>46773</v>
      </c>
      <c r="DB18" s="2">
        <f>MU!DB18+UMKC!DB18+'S&amp;T'!DB18+UMSL!DB18</f>
        <v>47338</v>
      </c>
      <c r="DC18" s="2">
        <f>MU!DC18+UMKC!DC18+'S&amp;T'!DC18+UMSL!DC18</f>
        <v>46920</v>
      </c>
      <c r="DD18" s="2">
        <f>MU!DD18+UMKC!DD18+'S&amp;T'!DD18+UMSL!DD18</f>
        <v>46837</v>
      </c>
      <c r="DE18" s="2">
        <f>MU!DE18+UMKC!DE18+'S&amp;T'!DE18+UMSL!DE18</f>
        <v>48480</v>
      </c>
      <c r="DF18" s="2">
        <f>MU!DF18+UMKC!DF18+'S&amp;T'!DF18+UMSL!DF18</f>
        <v>50148</v>
      </c>
      <c r="DG18" s="2">
        <f>MU!DG18+UMKC!DG18+'S&amp;T'!DG18+UMSL!DG18</f>
        <v>51603</v>
      </c>
      <c r="DH18" s="2">
        <f>MU!DH18+UMKC!DH18+'S&amp;T'!DH18+UMSL!DH18</f>
        <v>52858</v>
      </c>
      <c r="DI18" s="2">
        <f>MU!DI18+UMKC!DI18+'S&amp;T'!DI18+UMSL!DI18</f>
        <v>53778</v>
      </c>
      <c r="DJ18" s="2">
        <f>MU!DJ18+UMKC!DJ18+'S&amp;T'!DJ18+UMSL!DJ18</f>
        <v>53498</v>
      </c>
      <c r="DK18" s="2">
        <f>MU!DK18+UMKC!DK18+'S&amp;T'!DK18+UMSL!DK18</f>
        <v>54242</v>
      </c>
      <c r="DL18" s="2">
        <f>MU!DL18+UMKC!DL18+'S&amp;T'!DL18+UMSL!DL18</f>
        <v>54706</v>
      </c>
      <c r="DM18" s="2">
        <f>MU!DM18+UMKC!DM18+'S&amp;T'!DM18+UMSL!DM18</f>
        <v>53323</v>
      </c>
      <c r="DN18" s="2">
        <f>MU!DN18+UMKC!DN18+'S&amp;T'!DN18+UMSL!DN18</f>
        <v>51266</v>
      </c>
      <c r="DO18" s="2">
        <f>MU!DO18+UMKC!DO18+'S&amp;T'!DO18+UMSL!DO18</f>
        <v>50375</v>
      </c>
      <c r="DP18" s="2">
        <f>MU!DP18+UMKC!DP18+'S&amp;T'!DP18+UMSL!DP18</f>
        <v>49268</v>
      </c>
      <c r="DQ18" s="2">
        <f>MU!DQ18+UMKC!DQ18+'S&amp;T'!DQ18+UMSL!DQ18</f>
        <v>48528</v>
      </c>
      <c r="DR18" s="2">
        <f>MU!DR18+UMKC!DR18+'S&amp;T'!DR18+UMSL!DR18</f>
        <v>48916</v>
      </c>
      <c r="DS18" s="2">
        <f>MU!DS18+UMKC!DS18+'S&amp;T'!DS18+UMSL!DS18</f>
        <v>47871</v>
      </c>
      <c r="DT18" s="2">
        <f>MU!DT18+UMKC!DT18+'S&amp;T'!DT18+UMSL!DT18</f>
        <v>46100</v>
      </c>
      <c r="DU18" s="2">
        <f>MU!DU18+UMKC!DU18+'S&amp;T'!DU18+UMSL!DU18</f>
        <v>45747</v>
      </c>
    </row>
    <row r="19" spans="1:125" ht="13.5" customHeight="1" x14ac:dyDescent="0.2">
      <c r="A19" s="8"/>
      <c r="D19" s="2" t="s">
        <v>66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>
        <f t="shared" si="30"/>
        <v>2.4144559784698193E-3</v>
      </c>
      <c r="AW19" s="13">
        <f t="shared" si="31"/>
        <v>7.6167331031519051E-3</v>
      </c>
      <c r="AX19" s="13">
        <f t="shared" si="32"/>
        <v>1.1928883308124768E-2</v>
      </c>
      <c r="AY19" s="13">
        <f t="shared" si="33"/>
        <v>1.7172629385203194E-2</v>
      </c>
      <c r="AZ19" s="13">
        <f t="shared" si="29"/>
        <v>2.063332460985386E-2</v>
      </c>
      <c r="BA19" s="13">
        <f t="shared" si="29"/>
        <v>2.3396891994815538E-2</v>
      </c>
      <c r="BB19" s="13">
        <f t="shared" si="29"/>
        <v>2.5885251765204606E-2</v>
      </c>
      <c r="BC19" s="13">
        <f t="shared" si="29"/>
        <v>2.5807325164173042E-2</v>
      </c>
      <c r="BD19" s="13">
        <f t="shared" si="29"/>
        <v>2.8019187358916477E-2</v>
      </c>
      <c r="BE19" s="13">
        <f t="shared" si="34"/>
        <v>3.2362506115635882E-2</v>
      </c>
      <c r="BF19" s="13">
        <f t="shared" si="34"/>
        <v>3.4934370158154766E-2</v>
      </c>
      <c r="BG19" s="13">
        <f t="shared" si="34"/>
        <v>3.7177326751867815E-2</v>
      </c>
      <c r="BH19" s="13">
        <f t="shared" si="34"/>
        <v>3.6372418436498292E-2</v>
      </c>
      <c r="BI19" s="13">
        <f t="shared" si="34"/>
        <v>3.6418121964541417E-2</v>
      </c>
      <c r="BJ19" s="13">
        <f t="shared" si="34"/>
        <v>3.6448428868966765E-2</v>
      </c>
      <c r="BK19" s="13">
        <f t="shared" si="34"/>
        <v>3.778570886172071E-2</v>
      </c>
      <c r="BL19" s="9"/>
      <c r="BN19" s="2" t="s">
        <v>66</v>
      </c>
      <c r="DF19" s="2">
        <f>MU!DF19+UMKC!DF19+'S&amp;T'!DF19+UMSL!DF19</f>
        <v>157</v>
      </c>
      <c r="DG19" s="2">
        <f>MU!DG19+UMKC!DG19+'S&amp;T'!DG19+UMSL!DG19</f>
        <v>514</v>
      </c>
      <c r="DH19" s="2">
        <f>MU!DH19+UMKC!DH19+'S&amp;T'!DH19+UMSL!DH19</f>
        <v>836</v>
      </c>
      <c r="DI19" s="2">
        <f>MU!DI19+UMKC!DI19+'S&amp;T'!DI19+UMSL!DI19</f>
        <v>1236</v>
      </c>
      <c r="DJ19" s="2">
        <f>MU!DJ19+UMKC!DJ19+'S&amp;T'!DJ19+UMSL!DJ19</f>
        <v>1498</v>
      </c>
      <c r="DK19" s="2">
        <f>MU!DK19+UMKC!DK19+'S&amp;T'!DK19+UMSL!DK19</f>
        <v>1751</v>
      </c>
      <c r="DL19" s="2">
        <f>MU!DL19+UMKC!DL19+'S&amp;T'!DL19+UMSL!DL19</f>
        <v>1954</v>
      </c>
      <c r="DM19" s="2">
        <f>MU!DM19+UMKC!DM19+'S&amp;T'!DM19+UMSL!DM19</f>
        <v>1906</v>
      </c>
      <c r="DN19" s="2">
        <f>MU!DN19+UMKC!DN19+'S&amp;T'!DN19+UMSL!DN19</f>
        <v>1986</v>
      </c>
      <c r="DO19" s="2">
        <f>MU!DO19+UMKC!DO19+'S&amp;T'!DO19+UMSL!DO19</f>
        <v>2249</v>
      </c>
      <c r="DP19" s="2">
        <f>MU!DP19+UMKC!DP19+'S&amp;T'!DP19+UMSL!DP19</f>
        <v>2390</v>
      </c>
      <c r="DQ19" s="2">
        <f>MU!DQ19+UMKC!DQ19+'S&amp;T'!DQ19+UMSL!DQ19</f>
        <v>2493</v>
      </c>
      <c r="DR19" s="2">
        <f>MU!DR19+UMKC!DR19+'S&amp;T'!DR19+UMSL!DR19</f>
        <v>2485</v>
      </c>
      <c r="DS19" s="2">
        <f>MU!DS19+UMKC!DS19+'S&amp;T'!DS19+UMSL!DS19</f>
        <v>2467</v>
      </c>
      <c r="DT19" s="2">
        <f>MU!DT19+UMKC!DT19+'S&amp;T'!DT19+UMSL!DT19</f>
        <v>2415</v>
      </c>
      <c r="DU19" s="2">
        <f>MU!DU19+UMKC!DU19+'S&amp;T'!DU19+UMSL!DU19</f>
        <v>2488</v>
      </c>
    </row>
    <row r="20" spans="1:125" ht="13.5" customHeight="1" x14ac:dyDescent="0.2">
      <c r="A20" s="8"/>
      <c r="C20" s="3" t="s">
        <v>57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9"/>
      <c r="BN20" s="20" t="s">
        <v>56</v>
      </c>
      <c r="BY20" s="2">
        <f t="shared" ref="BY20" si="68">SUM(BY11:BY19)</f>
        <v>52048</v>
      </c>
      <c r="BZ20" s="2">
        <f t="shared" ref="BZ20" si="69">SUM(BZ11:BZ19)</f>
        <v>52081</v>
      </c>
      <c r="CA20" s="2">
        <f t="shared" ref="CA20" si="70">SUM(CA11:CA19)</f>
        <v>50733</v>
      </c>
      <c r="CB20" s="2">
        <f t="shared" ref="CB20" si="71">SUM(CB11:CB19)</f>
        <v>51829</v>
      </c>
      <c r="CG20" s="2">
        <f t="shared" ref="CG20" si="72">SUM(CG11:CG19)</f>
        <v>53612</v>
      </c>
      <c r="CH20" s="2">
        <f t="shared" ref="CH20:CI20" si="73">SUM(CH11:CH19)</f>
        <v>52564</v>
      </c>
      <c r="CI20" s="2">
        <f t="shared" si="73"/>
        <v>52956</v>
      </c>
      <c r="CJ20" s="2">
        <f t="shared" ref="CJ20" si="74">SUM(CJ11:CJ19)</f>
        <v>53716</v>
      </c>
      <c r="CK20" s="2">
        <f t="shared" ref="CK20" si="75">SUM(CK11:CK19)</f>
        <v>54852</v>
      </c>
      <c r="CL20" s="2">
        <f t="shared" ref="CL20:CT20" si="76">SUM(CL11:CL19)</f>
        <v>54175</v>
      </c>
      <c r="CM20" s="2">
        <f t="shared" si="76"/>
        <v>54937</v>
      </c>
      <c r="CN20" s="2">
        <f t="shared" si="76"/>
        <v>54751</v>
      </c>
      <c r="CO20" s="2">
        <f t="shared" si="76"/>
        <v>52273</v>
      </c>
      <c r="CP20" s="2">
        <f t="shared" si="76"/>
        <v>51204</v>
      </c>
      <c r="CQ20" s="2">
        <f t="shared" si="76"/>
        <v>50913</v>
      </c>
      <c r="CR20" s="2">
        <f t="shared" si="76"/>
        <v>51797</v>
      </c>
      <c r="CS20" s="2">
        <f t="shared" si="76"/>
        <v>52290</v>
      </c>
      <c r="CT20" s="2">
        <f t="shared" si="76"/>
        <v>51493</v>
      </c>
      <c r="CU20" s="2">
        <f t="shared" ref="CU20:DD20" si="77">SUM(CU11:CU19)</f>
        <v>52265</v>
      </c>
      <c r="CV20" s="2">
        <f t="shared" si="77"/>
        <v>52646</v>
      </c>
      <c r="CW20" s="2">
        <f t="shared" si="77"/>
        <v>53682</v>
      </c>
      <c r="CX20" s="2">
        <f t="shared" si="77"/>
        <v>54083</v>
      </c>
      <c r="CY20" s="2">
        <f t="shared" si="77"/>
        <v>58932</v>
      </c>
      <c r="CZ20" s="2">
        <f t="shared" si="77"/>
        <v>58908</v>
      </c>
      <c r="DA20" s="2">
        <f t="shared" si="77"/>
        <v>58634</v>
      </c>
      <c r="DB20" s="2">
        <f t="shared" si="77"/>
        <v>59561</v>
      </c>
      <c r="DC20" s="2">
        <f t="shared" si="77"/>
        <v>59353</v>
      </c>
      <c r="DD20" s="2">
        <f t="shared" si="77"/>
        <v>59562</v>
      </c>
      <c r="DE20" s="2">
        <f>SUM(DE11:DE19)</f>
        <v>61995</v>
      </c>
      <c r="DF20" s="2">
        <f t="shared" ref="DF20:DI20" si="78">SUM(DF11:DF19)</f>
        <v>65025</v>
      </c>
      <c r="DG20" s="2">
        <f t="shared" si="78"/>
        <v>67483</v>
      </c>
      <c r="DH20" s="2">
        <f t="shared" si="78"/>
        <v>70082</v>
      </c>
      <c r="DI20" s="2">
        <f t="shared" si="78"/>
        <v>71975</v>
      </c>
      <c r="DJ20" s="2">
        <f t="shared" ref="DJ20:DO20" si="79">SUM(DJ11:DJ19)</f>
        <v>72601</v>
      </c>
      <c r="DK20" s="2">
        <f t="shared" si="79"/>
        <v>74839</v>
      </c>
      <c r="DL20" s="2">
        <f t="shared" si="79"/>
        <v>75487</v>
      </c>
      <c r="DM20" s="2">
        <f t="shared" si="79"/>
        <v>73855</v>
      </c>
      <c r="DN20" s="2">
        <f t="shared" si="79"/>
        <v>70880</v>
      </c>
      <c r="DO20" s="2">
        <f t="shared" si="79"/>
        <v>69494</v>
      </c>
      <c r="DP20" s="2">
        <f t="shared" ref="DP20:DQ20" si="80">SUM(DP11:DP19)</f>
        <v>68414</v>
      </c>
      <c r="DQ20" s="2">
        <f t="shared" si="80"/>
        <v>67057</v>
      </c>
      <c r="DR20" s="2">
        <f t="shared" ref="DR20:DS20" si="81">SUM(DR11:DR19)</f>
        <v>68321</v>
      </c>
      <c r="DS20" s="2">
        <f t="shared" si="81"/>
        <v>67741</v>
      </c>
      <c r="DT20" s="2">
        <f t="shared" ref="DT20" si="82">SUM(DT11:DT19)</f>
        <v>66258</v>
      </c>
      <c r="DU20" s="2">
        <f t="shared" ref="DU20" si="83">SUM(DU11:DU19)</f>
        <v>65845</v>
      </c>
    </row>
    <row r="21" spans="1:125" ht="13.5" customHeight="1" x14ac:dyDescent="0.2">
      <c r="A21" s="8"/>
      <c r="D21" s="2" t="s">
        <v>70</v>
      </c>
      <c r="E21" s="14">
        <f t="shared" ref="E21:E22" si="84">BO21/BO$23</f>
        <v>0.67135178715399091</v>
      </c>
      <c r="F21" s="14">
        <f t="shared" ref="F21:F22" si="85">BP21/BP$23</f>
        <v>0.66403230601526109</v>
      </c>
      <c r="G21" s="14">
        <f t="shared" ref="G21:G22" si="86">BQ21/BQ$23</f>
        <v>0.64997449807576391</v>
      </c>
      <c r="H21" s="14">
        <f t="shared" ref="H21:H22" si="87">BR21/BR$23</f>
        <v>0.64400757934628139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>
        <f t="shared" ref="W21:Y22" si="88">CG21/CG$23</f>
        <v>0.5377154368424979</v>
      </c>
      <c r="X21" s="14">
        <f t="shared" si="88"/>
        <v>0.52827029906399814</v>
      </c>
      <c r="Y21" s="14">
        <f t="shared" si="88"/>
        <v>0.51716519374575121</v>
      </c>
      <c r="Z21" s="14">
        <f t="shared" ref="Z21:Z22" si="89">CJ21/CJ$23</f>
        <v>0.50610618810037977</v>
      </c>
      <c r="AA21" s="14">
        <f t="shared" ref="AA21:AA22" si="90">CK21/CK$23</f>
        <v>0.50647196091300228</v>
      </c>
      <c r="AB21" s="14">
        <f t="shared" ref="AB21:AB22" si="91">CL21/CL$23</f>
        <v>0.50150615831595458</v>
      </c>
      <c r="AC21" s="14">
        <f t="shared" ref="AC21:AC22" si="92">CM21/CM$23</f>
        <v>0.49300381292195755</v>
      </c>
      <c r="AD21" s="14">
        <f t="shared" ref="AD21:AD22" si="93">CN21/CN$23</f>
        <v>0.49227670753064801</v>
      </c>
      <c r="AE21" s="14">
        <f t="shared" ref="AE21:AE22" si="94">CO21/CO$23</f>
        <v>0.49469744229569557</v>
      </c>
      <c r="AF21" s="14">
        <f t="shared" ref="AF21:AF22" si="95">CP21/CP$23</f>
        <v>0.49683121767748001</v>
      </c>
      <c r="AG21" s="14">
        <f t="shared" ref="AG21:AG22" si="96">CQ21/CQ$23</f>
        <v>0.48087298155911046</v>
      </c>
      <c r="AH21" s="14">
        <f t="shared" ref="AH21:AH22" si="97">CR21/CR$23</f>
        <v>0.47376906398828827</v>
      </c>
      <c r="AI21" s="14">
        <f t="shared" ref="AI21:AI22" si="98">CS21/CS$23</f>
        <v>0.46689432395016151</v>
      </c>
      <c r="AJ21" s="14">
        <f t="shared" ref="AJ21:AJ22" si="99">CT21/CT$23</f>
        <v>0.4669729396604852</v>
      </c>
      <c r="AK21" s="14">
        <f t="shared" ref="AK21:AK22" si="100">CU21/CU$23</f>
        <v>0.46665313353510002</v>
      </c>
      <c r="AL21" s="14">
        <f t="shared" ref="AL21:AL22" si="101">CV21/CV$23</f>
        <v>0.46465292108771483</v>
      </c>
      <c r="AM21" s="14">
        <f t="shared" ref="AM21:AM22" si="102">CW21/CW$23</f>
        <v>0.46221666964126362</v>
      </c>
      <c r="AN21" s="14">
        <f t="shared" ref="AN21:AN22" si="103">CX21/CX$23</f>
        <v>0.46554714043035106</v>
      </c>
      <c r="AO21" s="14">
        <f t="shared" ref="AO21:AO22" si="104">CY21/CY$23</f>
        <v>0.46239101522092507</v>
      </c>
      <c r="AP21" s="14">
        <f t="shared" ref="AP21:AP22" si="105">CZ21/CZ$23</f>
        <v>0.46167598125271786</v>
      </c>
      <c r="AQ21" s="14">
        <f t="shared" ref="AQ21:AQ22" si="106">DA21/DA$23</f>
        <v>0.46320039896398063</v>
      </c>
      <c r="AR21" s="14">
        <f t="shared" ref="AR21:AR22" si="107">DB21/DB$23</f>
        <v>0.46459897772449044</v>
      </c>
      <c r="AS21" s="14">
        <f t="shared" ref="AS21:AS22" si="108">DC21/DC$23</f>
        <v>0.46819685496135333</v>
      </c>
      <c r="AT21" s="14">
        <f t="shared" ref="AT21:AT22" si="109">DD21/DD$23</f>
        <v>0.46716764797025101</v>
      </c>
      <c r="AU21" s="14">
        <f t="shared" ref="AU21:AY22" si="110">DE21/DE$23</f>
        <v>0.45868493232812241</v>
      </c>
      <c r="AV21" s="14">
        <f t="shared" si="110"/>
        <v>0.46885449094892195</v>
      </c>
      <c r="AW21" s="14">
        <f t="shared" si="110"/>
        <v>0.47272193977317167</v>
      </c>
      <c r="AX21" s="14">
        <f t="shared" si="110"/>
        <v>0.4747638143138721</v>
      </c>
      <c r="AY21" s="14">
        <f t="shared" si="110"/>
        <v>0.47641383721550024</v>
      </c>
      <c r="AZ21" s="14">
        <f t="shared" ref="AZ21:BD22" si="111">DJ21/DJ$23</f>
        <v>0.48166648953129981</v>
      </c>
      <c r="BA21" s="14">
        <f t="shared" si="111"/>
        <v>0.48469909294411451</v>
      </c>
      <c r="BB21" s="14">
        <f t="shared" si="111"/>
        <v>0.48572678270490011</v>
      </c>
      <c r="BC21" s="14">
        <f t="shared" si="111"/>
        <v>0.48437479440518955</v>
      </c>
      <c r="BD21" s="14">
        <f t="shared" si="111"/>
        <v>0.48287417254923504</v>
      </c>
      <c r="BE21" s="14">
        <f t="shared" ref="BE21:BK22" si="112">DO21/DO$23</f>
        <v>0.4783749649172046</v>
      </c>
      <c r="BF21" s="14">
        <f t="shared" si="112"/>
        <v>0.47116830784074465</v>
      </c>
      <c r="BG21" s="14">
        <f t="shared" si="112"/>
        <v>0.46690229960291485</v>
      </c>
      <c r="BH21" s="14">
        <f t="shared" si="112"/>
        <v>0.46159463871466622</v>
      </c>
      <c r="BI21" s="14">
        <f t="shared" si="112"/>
        <v>0.46094877865681122</v>
      </c>
      <c r="BJ21" s="14">
        <f t="shared" si="112"/>
        <v>0.46078891070538935</v>
      </c>
      <c r="BK21" s="14">
        <f t="shared" si="112"/>
        <v>0.46058827844201572</v>
      </c>
      <c r="BL21" s="9"/>
      <c r="BN21" s="2" t="s">
        <v>70</v>
      </c>
      <c r="BO21" s="2">
        <f>MU!BO21+UMKC!BO21+'S&amp;T'!BO21+UMSL!BO21</f>
        <v>24981</v>
      </c>
      <c r="BP21" s="2">
        <f>MU!BP21+UMKC!BP21+'S&amp;T'!BP21+UMSL!BP21</f>
        <v>26803</v>
      </c>
      <c r="BQ21" s="2">
        <f>MU!BQ21+UMKC!BQ21+'S&amp;T'!BQ21+UMSL!BQ21</f>
        <v>28036</v>
      </c>
      <c r="BR21" s="2">
        <f>MU!BR21+UMKC!BR21+'S&amp;T'!BR21+UMSL!BR21</f>
        <v>29909</v>
      </c>
      <c r="CG21" s="2">
        <f>MU!CG21+UMKC!CG21+'S&amp;T'!CG21+UMSL!CG21</f>
        <v>28828</v>
      </c>
      <c r="CH21" s="2">
        <f>MU!CH21+UMKC!CH21+'S&amp;T'!CH21+UMSL!CH21</f>
        <v>27768</v>
      </c>
      <c r="CI21" s="2">
        <f>MU!CI21+UMKC!CI21+'S&amp;T'!CI21+UMSL!CI21</f>
        <v>27387</v>
      </c>
      <c r="CJ21" s="2">
        <f>MU!CJ21+UMKC!CJ21+'S&amp;T'!CJ21+UMSL!CJ21</f>
        <v>27186</v>
      </c>
      <c r="CK21" s="2">
        <f>MU!CK21+UMKC!CK21+'S&amp;T'!CK21+UMSL!CK21</f>
        <v>27781</v>
      </c>
      <c r="CL21" s="2">
        <f>MU!CL21+UMKC!CL21+'S&amp;T'!CL21+UMSL!CL21</f>
        <v>28136</v>
      </c>
      <c r="CM21" s="2">
        <f>MU!CM21+UMKC!CM21+'S&amp;T'!CM21+UMSL!CM21</f>
        <v>28187</v>
      </c>
      <c r="CN21" s="2">
        <f>MU!CN21+UMKC!CN21+'S&amp;T'!CN21+UMSL!CN21</f>
        <v>28109</v>
      </c>
      <c r="CO21" s="2">
        <f>MU!CO21+UMKC!CO21+'S&amp;T'!CO21+UMSL!CO21</f>
        <v>26962</v>
      </c>
      <c r="CP21" s="2">
        <f>MU!CP21+UMKC!CP21+'S&amp;T'!CP21+UMSL!CP21</f>
        <v>26419</v>
      </c>
      <c r="CQ21" s="2">
        <f>MU!CQ21+UMKC!CQ21+'S&amp;T'!CQ21+UMSL!CQ21</f>
        <v>25581</v>
      </c>
      <c r="CR21" s="2">
        <f>MU!CR21+UMKC!CR21+'S&amp;T'!CR21+UMSL!CR21</f>
        <v>25566</v>
      </c>
      <c r="CS21" s="2">
        <f>MU!CS21+UMKC!CS21+'S&amp;T'!CS21+UMSL!CS21</f>
        <v>25294</v>
      </c>
      <c r="CT21" s="2">
        <f>MU!CT21+UMKC!CT21+'S&amp;T'!CT21+UMSL!CT21</f>
        <v>25005</v>
      </c>
      <c r="CU21" s="2">
        <f>MU!CU21+UMKC!CU21+'S&amp;T'!CU21+UMSL!CU21</f>
        <v>25287</v>
      </c>
      <c r="CV21" s="2">
        <f>MU!CV21+UMKC!CV21+'S&amp;T'!CV21+UMSL!CV21</f>
        <v>25443</v>
      </c>
      <c r="CW21" s="2">
        <f>MU!CW21+UMKC!CW21+'S&amp;T'!CW21+UMSL!CW21</f>
        <v>25898</v>
      </c>
      <c r="CX21" s="2">
        <f>MU!CX21+UMKC!CX21+'S&amp;T'!CX21+UMSL!CX21</f>
        <v>26309</v>
      </c>
      <c r="CY21" s="2">
        <f>MU!CY21+UMKC!CY21+'S&amp;T'!CY21+UMSL!CY21</f>
        <v>28161</v>
      </c>
      <c r="CZ21" s="2">
        <f>MU!CZ21+UMKC!CZ21+'S&amp;T'!CZ21+UMSL!CZ21</f>
        <v>28665</v>
      </c>
      <c r="DA21" s="2">
        <f>MU!DA21+UMKC!DA21+'S&amp;T'!DA21+UMSL!DA21</f>
        <v>28793</v>
      </c>
      <c r="DB21" s="2">
        <f>MU!DB21+UMKC!DB21+'S&amp;T'!DB21+UMSL!DB21</f>
        <v>29450</v>
      </c>
      <c r="DC21" s="2">
        <f>MU!DC21+UMKC!DC21+'S&amp;T'!DC21+UMSL!DC21</f>
        <v>29863</v>
      </c>
      <c r="DD21" s="2">
        <f>MU!DD21+UMKC!DD21+'S&amp;T'!DD21+UMSL!DD21</f>
        <v>30151</v>
      </c>
      <c r="DE21" s="2">
        <f>MU!DE21+UMKC!DE21+'S&amp;T'!DE21+UMSL!DE21</f>
        <v>30603</v>
      </c>
      <c r="DF21" s="2">
        <f>MU!DF21+UMKC!DF21+'S&amp;T'!DF21+UMSL!DF21</f>
        <v>32531</v>
      </c>
      <c r="DG21" s="2">
        <f>MU!DG21+UMKC!DG21+'S&amp;T'!DG21+UMSL!DG21</f>
        <v>33845</v>
      </c>
      <c r="DH21" s="2">
        <f>MU!DH21+UMKC!DH21+'S&amp;T'!DH21+UMSL!DH21</f>
        <v>34926</v>
      </c>
      <c r="DI21" s="2">
        <f>MU!DI21+UMKC!DI21+'S&amp;T'!DI21+UMSL!DI21</f>
        <v>35752</v>
      </c>
      <c r="DJ21" s="2">
        <f>MU!DJ21+UMKC!DJ21+'S&amp;T'!DJ21+UMSL!DJ21</f>
        <v>36256</v>
      </c>
      <c r="DK21" s="2">
        <f>MU!DK21+UMKC!DK21+'S&amp;T'!DK21+UMSL!DK21</f>
        <v>37459</v>
      </c>
      <c r="DL21" s="2">
        <f>MU!DL21+UMKC!DL21+'S&amp;T'!DL21+UMSL!DL21</f>
        <v>37757</v>
      </c>
      <c r="DM21" s="2">
        <f>MU!DM21+UMKC!DM21+'S&amp;T'!DM21+UMSL!DM21</f>
        <v>36812</v>
      </c>
      <c r="DN21" s="2">
        <f>MU!DN21+UMKC!DN21+'S&amp;T'!DN21+UMSL!DN21</f>
        <v>35160</v>
      </c>
      <c r="DO21" s="2">
        <f>MU!DO21+UMKC!DO21+'S&amp;T'!DO21+UMSL!DO21</f>
        <v>34089</v>
      </c>
      <c r="DP21" s="2">
        <f>MU!DP21+UMKC!DP21+'S&amp;T'!DP21+UMSL!DP21</f>
        <v>33207</v>
      </c>
      <c r="DQ21" s="2">
        <f>MU!DQ21+UMKC!DQ21+'S&amp;T'!DQ21+UMSL!DQ21</f>
        <v>32100</v>
      </c>
      <c r="DR21" s="2">
        <f>MU!DR21+UMKC!DR21+'S&amp;T'!DR21+UMSL!DR21</f>
        <v>32235</v>
      </c>
      <c r="DS21" s="2">
        <f>MU!DS21+UMKC!DS21+'S&amp;T'!DS21+UMSL!DS21</f>
        <v>31929</v>
      </c>
      <c r="DT21" s="2">
        <f>MU!DT21+UMKC!DT21+'S&amp;T'!DT21+UMSL!DT21</f>
        <v>31447</v>
      </c>
      <c r="DU21" s="2">
        <f>MU!DU21+UMKC!DU21+'S&amp;T'!DU21+UMSL!DU21</f>
        <v>31396</v>
      </c>
    </row>
    <row r="22" spans="1:125" ht="13.5" customHeight="1" x14ac:dyDescent="0.2">
      <c r="A22" s="8"/>
      <c r="D22" s="2" t="s">
        <v>69</v>
      </c>
      <c r="E22" s="14">
        <f t="shared" si="84"/>
        <v>0.32864821284600915</v>
      </c>
      <c r="F22" s="14">
        <f t="shared" si="85"/>
        <v>0.33596769398473886</v>
      </c>
      <c r="G22" s="14">
        <f t="shared" si="86"/>
        <v>0.35002550192423609</v>
      </c>
      <c r="H22" s="14">
        <f t="shared" si="87"/>
        <v>0.35599242065371861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>
        <f t="shared" si="88"/>
        <v>0.46228456315750205</v>
      </c>
      <c r="X22" s="14">
        <f t="shared" si="88"/>
        <v>0.47172970093600181</v>
      </c>
      <c r="Y22" s="14">
        <f t="shared" si="88"/>
        <v>0.48283480625424879</v>
      </c>
      <c r="Z22" s="14">
        <f t="shared" si="89"/>
        <v>0.49389381189962023</v>
      </c>
      <c r="AA22" s="14">
        <f t="shared" si="90"/>
        <v>0.49352803908699772</v>
      </c>
      <c r="AB22" s="14">
        <f t="shared" si="91"/>
        <v>0.49849384168404542</v>
      </c>
      <c r="AC22" s="14">
        <f t="shared" si="92"/>
        <v>0.5069961870780425</v>
      </c>
      <c r="AD22" s="14">
        <f t="shared" si="93"/>
        <v>0.50772329246935199</v>
      </c>
      <c r="AE22" s="14">
        <f t="shared" si="94"/>
        <v>0.50530255770430443</v>
      </c>
      <c r="AF22" s="14">
        <f t="shared" si="95"/>
        <v>0.50316878232251994</v>
      </c>
      <c r="AG22" s="14">
        <f t="shared" si="96"/>
        <v>0.51912701844088949</v>
      </c>
      <c r="AH22" s="14">
        <f t="shared" si="97"/>
        <v>0.52623093601171178</v>
      </c>
      <c r="AI22" s="14">
        <f t="shared" si="98"/>
        <v>0.53310567604983849</v>
      </c>
      <c r="AJ22" s="14">
        <f t="shared" si="99"/>
        <v>0.53302706033951486</v>
      </c>
      <c r="AK22" s="14">
        <f t="shared" si="100"/>
        <v>0.53334686646489993</v>
      </c>
      <c r="AL22" s="14">
        <f t="shared" si="101"/>
        <v>0.53534707891228517</v>
      </c>
      <c r="AM22" s="14">
        <f t="shared" si="102"/>
        <v>0.53778333035873638</v>
      </c>
      <c r="AN22" s="14">
        <f t="shared" si="103"/>
        <v>0.53445285956964894</v>
      </c>
      <c r="AO22" s="14">
        <f t="shared" si="104"/>
        <v>0.53760898477907493</v>
      </c>
      <c r="AP22" s="14">
        <f t="shared" si="105"/>
        <v>0.53832401874728208</v>
      </c>
      <c r="AQ22" s="14">
        <f t="shared" si="106"/>
        <v>0.53679960103601931</v>
      </c>
      <c r="AR22" s="14">
        <f t="shared" si="107"/>
        <v>0.53540102227550956</v>
      </c>
      <c r="AS22" s="14">
        <f t="shared" si="108"/>
        <v>0.53180314503864667</v>
      </c>
      <c r="AT22" s="14">
        <f t="shared" si="109"/>
        <v>0.53283235202974899</v>
      </c>
      <c r="AU22" s="14">
        <f t="shared" si="110"/>
        <v>0.54131506767187754</v>
      </c>
      <c r="AV22" s="14">
        <f t="shared" si="110"/>
        <v>0.53114550905107805</v>
      </c>
      <c r="AW22" s="14">
        <f t="shared" si="110"/>
        <v>0.52727806022682833</v>
      </c>
      <c r="AX22" s="14">
        <f t="shared" si="110"/>
        <v>0.52523618568612795</v>
      </c>
      <c r="AY22" s="14">
        <f t="shared" si="110"/>
        <v>0.52358616278449976</v>
      </c>
      <c r="AZ22" s="14">
        <f t="shared" si="111"/>
        <v>0.51833351046870013</v>
      </c>
      <c r="BA22" s="14">
        <f t="shared" si="111"/>
        <v>0.51530090705588549</v>
      </c>
      <c r="BB22" s="14">
        <f t="shared" si="111"/>
        <v>0.51427321729509989</v>
      </c>
      <c r="BC22" s="14">
        <f t="shared" si="111"/>
        <v>0.51562520559481051</v>
      </c>
      <c r="BD22" s="14">
        <f t="shared" si="111"/>
        <v>0.51712582745076496</v>
      </c>
      <c r="BE22" s="14">
        <f t="shared" si="112"/>
        <v>0.52162503508279545</v>
      </c>
      <c r="BF22" s="14">
        <f t="shared" si="112"/>
        <v>0.52883169215925541</v>
      </c>
      <c r="BG22" s="14">
        <f t="shared" si="112"/>
        <v>0.53309770039708515</v>
      </c>
      <c r="BH22" s="14">
        <f t="shared" si="112"/>
        <v>0.53840536128533378</v>
      </c>
      <c r="BI22" s="14">
        <f t="shared" si="112"/>
        <v>0.53905122134318872</v>
      </c>
      <c r="BJ22" s="14">
        <f t="shared" si="112"/>
        <v>0.5392110892946107</v>
      </c>
      <c r="BK22" s="14">
        <f t="shared" si="112"/>
        <v>0.53941172155798434</v>
      </c>
      <c r="BL22" s="9"/>
      <c r="BN22" s="2" t="s">
        <v>69</v>
      </c>
      <c r="BO22" s="2">
        <f>MU!BO22+UMKC!BO22+'S&amp;T'!BO22+UMSL!BO22</f>
        <v>12229</v>
      </c>
      <c r="BP22" s="2">
        <f>MU!BP22+UMKC!BP22+'S&amp;T'!BP22+UMSL!BP22</f>
        <v>13561</v>
      </c>
      <c r="BQ22" s="2">
        <f>MU!BQ22+UMKC!BQ22+'S&amp;T'!BQ22+UMSL!BQ22</f>
        <v>15098</v>
      </c>
      <c r="BR22" s="2">
        <f>MU!BR22+UMKC!BR22+'S&amp;T'!BR22+UMSL!BR22</f>
        <v>16533</v>
      </c>
      <c r="CG22" s="2">
        <f>MU!CG22+UMKC!CG22+'S&amp;T'!CG22+UMSL!CG22</f>
        <v>24784</v>
      </c>
      <c r="CH22" s="2">
        <f>MU!CH22+UMKC!CH22+'S&amp;T'!CH22+UMSL!CH22</f>
        <v>24796</v>
      </c>
      <c r="CI22" s="2">
        <f>MU!CI22+UMKC!CI22+'S&amp;T'!CI22+UMSL!CI22</f>
        <v>25569</v>
      </c>
      <c r="CJ22" s="2">
        <f>MU!CJ22+UMKC!CJ22+'S&amp;T'!CJ22+UMSL!CJ22</f>
        <v>26530</v>
      </c>
      <c r="CK22" s="2">
        <f>MU!CK22+UMKC!CK22+'S&amp;T'!CK22+UMSL!CK22</f>
        <v>27071</v>
      </c>
      <c r="CL22" s="2">
        <f>MU!CL22+UMKC!CL22+'S&amp;T'!CL22+UMSL!CL22</f>
        <v>27967</v>
      </c>
      <c r="CM22" s="2">
        <f>MU!CM22+UMKC!CM22+'S&amp;T'!CM22+UMSL!CM22</f>
        <v>28987</v>
      </c>
      <c r="CN22" s="2">
        <f>MU!CN22+UMKC!CN22+'S&amp;T'!CN22+UMSL!CN22</f>
        <v>28991</v>
      </c>
      <c r="CO22" s="2">
        <f>MU!CO22+UMKC!CO22+'S&amp;T'!CO22+UMSL!CO22</f>
        <v>27540</v>
      </c>
      <c r="CP22" s="2">
        <f>MU!CP22+UMKC!CP22+'S&amp;T'!CP22+UMSL!CP22</f>
        <v>26756</v>
      </c>
      <c r="CQ22" s="2">
        <f>MU!CQ22+UMKC!CQ22+'S&amp;T'!CQ22+UMSL!CQ22</f>
        <v>27616</v>
      </c>
      <c r="CR22" s="2">
        <f>MU!CR22+UMKC!CR22+'S&amp;T'!CR22+UMSL!CR22</f>
        <v>28397</v>
      </c>
      <c r="CS22" s="2">
        <f>MU!CS22+UMKC!CS22+'S&amp;T'!CS22+UMSL!CS22</f>
        <v>28881</v>
      </c>
      <c r="CT22" s="2">
        <f>MU!CT22+UMKC!CT22+'S&amp;T'!CT22+UMSL!CT22</f>
        <v>28542</v>
      </c>
      <c r="CU22" s="2">
        <f>MU!CU22+UMKC!CU22+'S&amp;T'!CU22+UMSL!CU22</f>
        <v>28901</v>
      </c>
      <c r="CV22" s="2">
        <f>MU!CV22+UMKC!CV22+'S&amp;T'!CV22+UMSL!CV22</f>
        <v>29314</v>
      </c>
      <c r="CW22" s="2">
        <f>MU!CW22+UMKC!CW22+'S&amp;T'!CW22+UMSL!CW22</f>
        <v>30132</v>
      </c>
      <c r="CX22" s="2">
        <f>MU!CX22+UMKC!CX22+'S&amp;T'!CX22+UMSL!CX22</f>
        <v>30203</v>
      </c>
      <c r="CY22" s="2">
        <f>MU!CY22+UMKC!CY22+'S&amp;T'!CY22+UMSL!CY22</f>
        <v>32742</v>
      </c>
      <c r="CZ22" s="2">
        <f>MU!CZ22+UMKC!CZ22+'S&amp;T'!CZ22+UMSL!CZ22</f>
        <v>33424</v>
      </c>
      <c r="DA22" s="2">
        <f>MU!DA22+UMKC!DA22+'S&amp;T'!DA22+UMSL!DA22</f>
        <v>33368</v>
      </c>
      <c r="DB22" s="2">
        <f>MU!DB22+UMKC!DB22+'S&amp;T'!DB22+UMSL!DB22</f>
        <v>33938</v>
      </c>
      <c r="DC22" s="2">
        <f>MU!DC22+UMKC!DC22+'S&amp;T'!DC22+UMSL!DC22</f>
        <v>33920</v>
      </c>
      <c r="DD22" s="2">
        <f>MU!DD22+UMKC!DD22+'S&amp;T'!DD22+UMSL!DD22</f>
        <v>34389</v>
      </c>
      <c r="DE22" s="2">
        <f>MU!DE22+UMKC!DE22+'S&amp;T'!DE22+UMSL!DE22</f>
        <v>36116</v>
      </c>
      <c r="DF22" s="2">
        <f>MU!DF22+UMKC!DF22+'S&amp;T'!DF22+UMSL!DF22</f>
        <v>36853</v>
      </c>
      <c r="DG22" s="2">
        <f>MU!DG22+UMKC!DG22+'S&amp;T'!DG22+UMSL!DG22</f>
        <v>37751</v>
      </c>
      <c r="DH22" s="2">
        <f>MU!DH22+UMKC!DH22+'S&amp;T'!DH22+UMSL!DH22</f>
        <v>38639</v>
      </c>
      <c r="DI22" s="2">
        <f>MU!DI22+UMKC!DI22+'S&amp;T'!DI22+UMSL!DI22</f>
        <v>39292</v>
      </c>
      <c r="DJ22" s="2">
        <f>MU!DJ22+UMKC!DJ22+'S&amp;T'!DJ22+UMSL!DJ22</f>
        <v>39016</v>
      </c>
      <c r="DK22" s="2">
        <f>MU!DK22+UMKC!DK22+'S&amp;T'!DK22+UMSL!DK22</f>
        <v>39824</v>
      </c>
      <c r="DL22" s="2">
        <f>MU!DL22+UMKC!DL22+'S&amp;T'!DL22+UMSL!DL22</f>
        <v>39976</v>
      </c>
      <c r="DM22" s="2">
        <f>MU!DM22+UMKC!DM22+'S&amp;T'!DM22+UMSL!DM22</f>
        <v>39187</v>
      </c>
      <c r="DN22" s="2">
        <f>MU!DN22+UMKC!DN22+'S&amp;T'!DN22+UMSL!DN22</f>
        <v>37654</v>
      </c>
      <c r="DO22" s="2">
        <f>MU!DO22+UMKC!DO22+'S&amp;T'!DO22+UMSL!DO22</f>
        <v>37171</v>
      </c>
      <c r="DP22" s="2">
        <f>MU!DP22+UMKC!DP22+'S&amp;T'!DP22+UMSL!DP22</f>
        <v>37271</v>
      </c>
      <c r="DQ22" s="2">
        <f>MU!DQ22+UMKC!DQ22+'S&amp;T'!DQ22+UMSL!DQ22</f>
        <v>36651</v>
      </c>
      <c r="DR22" s="2">
        <f>MU!DR22+UMKC!DR22+'S&amp;T'!DR22+UMSL!DR22</f>
        <v>37599</v>
      </c>
      <c r="DS22" s="2">
        <f>MU!DS22+UMKC!DS22+'S&amp;T'!DS22+UMSL!DS22</f>
        <v>37339</v>
      </c>
      <c r="DT22" s="2">
        <f>MU!DT22+UMKC!DT22+'S&amp;T'!DT22+UMSL!DT22</f>
        <v>36799</v>
      </c>
      <c r="DU22" s="2">
        <f>MU!DU22+UMKC!DU22+'S&amp;T'!DU22+UMSL!DU22</f>
        <v>36769</v>
      </c>
    </row>
    <row r="23" spans="1:125" ht="13.5" customHeight="1" x14ac:dyDescent="0.2">
      <c r="A23" s="8"/>
      <c r="C23" s="3" t="s">
        <v>58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9"/>
      <c r="BN23" s="20" t="s">
        <v>56</v>
      </c>
      <c r="BO23" s="2">
        <f t="shared" ref="BO23:BR23" si="113">SUM(BO21:BO22)</f>
        <v>37210</v>
      </c>
      <c r="BP23" s="2">
        <f t="shared" si="113"/>
        <v>40364</v>
      </c>
      <c r="BQ23" s="2">
        <f>SUM(BQ21:BQ22)</f>
        <v>43134</v>
      </c>
      <c r="BR23" s="2">
        <f t="shared" si="113"/>
        <v>46442</v>
      </c>
      <c r="CG23" s="2">
        <f t="shared" ref="CG23:CH23" si="114">SUM(CG21:CG22)</f>
        <v>53612</v>
      </c>
      <c r="CH23" s="2">
        <f t="shared" si="114"/>
        <v>52564</v>
      </c>
      <c r="CI23" s="2">
        <f t="shared" ref="CI23:CK23" si="115">SUM(CI21:CI22)</f>
        <v>52956</v>
      </c>
      <c r="CJ23" s="2">
        <f t="shared" si="115"/>
        <v>53716</v>
      </c>
      <c r="CK23" s="2">
        <f t="shared" si="115"/>
        <v>54852</v>
      </c>
      <c r="CL23" s="2">
        <f t="shared" ref="CL23:CT23" si="116">SUM(CL21:CL22)</f>
        <v>56103</v>
      </c>
      <c r="CM23" s="2">
        <f t="shared" si="116"/>
        <v>57174</v>
      </c>
      <c r="CN23" s="2">
        <f t="shared" si="116"/>
        <v>57100</v>
      </c>
      <c r="CO23" s="2">
        <f t="shared" si="116"/>
        <v>54502</v>
      </c>
      <c r="CP23" s="2">
        <f t="shared" si="116"/>
        <v>53175</v>
      </c>
      <c r="CQ23" s="2">
        <f t="shared" si="116"/>
        <v>53197</v>
      </c>
      <c r="CR23" s="2">
        <f t="shared" si="116"/>
        <v>53963</v>
      </c>
      <c r="CS23" s="2">
        <f t="shared" si="116"/>
        <v>54175</v>
      </c>
      <c r="CT23" s="2">
        <f t="shared" si="116"/>
        <v>53547</v>
      </c>
      <c r="CU23" s="2">
        <f t="shared" ref="CU23:DD23" si="117">SUM(CU21:CU22)</f>
        <v>54188</v>
      </c>
      <c r="CV23" s="2">
        <f t="shared" si="117"/>
        <v>54757</v>
      </c>
      <c r="CW23" s="2">
        <f t="shared" si="117"/>
        <v>56030</v>
      </c>
      <c r="CX23" s="2">
        <f t="shared" si="117"/>
        <v>56512</v>
      </c>
      <c r="CY23" s="2">
        <f t="shared" si="117"/>
        <v>60903</v>
      </c>
      <c r="CZ23" s="2">
        <f t="shared" si="117"/>
        <v>62089</v>
      </c>
      <c r="DA23" s="2">
        <f t="shared" si="117"/>
        <v>62161</v>
      </c>
      <c r="DB23" s="2">
        <f t="shared" si="117"/>
        <v>63388</v>
      </c>
      <c r="DC23" s="2">
        <f t="shared" si="117"/>
        <v>63783</v>
      </c>
      <c r="DD23" s="2">
        <f t="shared" si="117"/>
        <v>64540</v>
      </c>
      <c r="DE23" s="2">
        <f t="shared" ref="DE23:DI23" si="118">SUM(DE21:DE22)</f>
        <v>66719</v>
      </c>
      <c r="DF23" s="2">
        <f t="shared" si="118"/>
        <v>69384</v>
      </c>
      <c r="DG23" s="2">
        <f t="shared" si="118"/>
        <v>71596</v>
      </c>
      <c r="DH23" s="2">
        <f t="shared" si="118"/>
        <v>73565</v>
      </c>
      <c r="DI23" s="2">
        <f t="shared" si="118"/>
        <v>75044</v>
      </c>
      <c r="DJ23" s="2">
        <f t="shared" ref="DJ23:DO23" si="119">SUM(DJ21:DJ22)</f>
        <v>75272</v>
      </c>
      <c r="DK23" s="2">
        <f t="shared" si="119"/>
        <v>77283</v>
      </c>
      <c r="DL23" s="2">
        <f t="shared" si="119"/>
        <v>77733</v>
      </c>
      <c r="DM23" s="2">
        <f t="shared" si="119"/>
        <v>75999</v>
      </c>
      <c r="DN23" s="2">
        <f t="shared" si="119"/>
        <v>72814</v>
      </c>
      <c r="DO23" s="2">
        <f t="shared" si="119"/>
        <v>71260</v>
      </c>
      <c r="DP23" s="2">
        <f t="shared" ref="DP23:DQ23" si="120">SUM(DP21:DP22)</f>
        <v>70478</v>
      </c>
      <c r="DQ23" s="2">
        <f t="shared" si="120"/>
        <v>68751</v>
      </c>
      <c r="DR23" s="2">
        <f t="shared" ref="DR23:DS23" si="121">SUM(DR21:DR22)</f>
        <v>69834</v>
      </c>
      <c r="DS23" s="2">
        <f t="shared" si="121"/>
        <v>69268</v>
      </c>
      <c r="DT23" s="2">
        <f t="shared" ref="DT23" si="122">SUM(DT21:DT22)</f>
        <v>68246</v>
      </c>
      <c r="DU23" s="2">
        <f t="shared" ref="DU23" si="123">SUM(DU21:DU22)</f>
        <v>68165</v>
      </c>
    </row>
    <row r="24" spans="1:125" ht="13.5" customHeight="1" x14ac:dyDescent="0.2">
      <c r="A24" s="8"/>
      <c r="D24" s="2" t="s">
        <v>80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>
        <f t="shared" ref="Y24:AH25" si="124">CI24/CI$26</f>
        <v>0.79153585011613958</v>
      </c>
      <c r="Z24" s="14">
        <f t="shared" si="124"/>
        <v>0.78472433749619253</v>
      </c>
      <c r="AA24" s="14">
        <f t="shared" si="124"/>
        <v>0.78893975009278738</v>
      </c>
      <c r="AB24" s="14">
        <f t="shared" si="124"/>
        <v>0.78639271176584613</v>
      </c>
      <c r="AC24" s="14">
        <f t="shared" si="124"/>
        <v>0.78606623395082198</v>
      </c>
      <c r="AD24" s="14">
        <f t="shared" si="124"/>
        <v>0.78804178918931844</v>
      </c>
      <c r="AE24" s="14">
        <f t="shared" si="124"/>
        <v>0.7905974589229614</v>
      </c>
      <c r="AF24" s="14">
        <f t="shared" si="124"/>
        <v>0.79825374748879618</v>
      </c>
      <c r="AG24" s="14">
        <f t="shared" si="124"/>
        <v>0.80029334568473054</v>
      </c>
      <c r="AH24" s="14">
        <f t="shared" si="124"/>
        <v>0.80286357542182085</v>
      </c>
      <c r="AI24" s="14">
        <f t="shared" ref="AI24:AR25" si="125">CS24/CS$26</f>
        <v>0.8084161975847447</v>
      </c>
      <c r="AJ24" s="14">
        <f t="shared" si="125"/>
        <v>0.81458239952188849</v>
      </c>
      <c r="AK24" s="14">
        <f t="shared" si="125"/>
        <v>0.82313690025175368</v>
      </c>
      <c r="AL24" s="14">
        <f t="shared" si="125"/>
        <v>0.82714799006486772</v>
      </c>
      <c r="AM24" s="14">
        <f t="shared" si="125"/>
        <v>0.83146252113469843</v>
      </c>
      <c r="AN24" s="14">
        <f t="shared" si="125"/>
        <v>0.84035346787614562</v>
      </c>
      <c r="AO24" s="14">
        <f t="shared" si="125"/>
        <v>0.84012956471580069</v>
      </c>
      <c r="AP24" s="14">
        <f t="shared" si="125"/>
        <v>0.84609067727017329</v>
      </c>
      <c r="AQ24" s="14">
        <f t="shared" si="125"/>
        <v>0.84732661882758764</v>
      </c>
      <c r="AR24" s="14">
        <f t="shared" si="125"/>
        <v>0.87072179632189683</v>
      </c>
      <c r="AS24" s="14">
        <f t="shared" ref="AS24:BD25" si="126">DC24/DC$26</f>
        <v>0.85334754708304594</v>
      </c>
      <c r="AT24" s="14">
        <f t="shared" si="126"/>
        <v>0.85614277056819843</v>
      </c>
      <c r="AU24" s="14">
        <f t="shared" si="126"/>
        <v>0.85969413523505522</v>
      </c>
      <c r="AV24" s="14">
        <f t="shared" si="126"/>
        <v>0.85534848396331131</v>
      </c>
      <c r="AW24" s="14">
        <f t="shared" si="126"/>
        <v>0.85143746017466926</v>
      </c>
      <c r="AX24" s="14">
        <f t="shared" si="126"/>
        <v>0.85282874617737003</v>
      </c>
      <c r="AY24" s="14">
        <f t="shared" si="126"/>
        <v>0.85878165254013283</v>
      </c>
      <c r="AZ24" s="14">
        <f t="shared" si="126"/>
        <v>0.86310643760220862</v>
      </c>
      <c r="BA24" s="14">
        <f t="shared" si="126"/>
        <v>0.86761613294807571</v>
      </c>
      <c r="BB24" s="14">
        <f t="shared" si="126"/>
        <v>0.88018782187215994</v>
      </c>
      <c r="BC24" s="14">
        <f t="shared" si="126"/>
        <v>0.88945790870942876</v>
      </c>
      <c r="BD24" s="14">
        <f t="shared" si="126"/>
        <v>0.8949657282960789</v>
      </c>
      <c r="BE24" s="14">
        <f t="shared" ref="BE24:BK25" si="127">DO24/DO$26</f>
        <v>0.89668428640076892</v>
      </c>
      <c r="BF24" s="14">
        <f t="shared" si="127"/>
        <v>0.90236087689713318</v>
      </c>
      <c r="BG24" s="14">
        <f t="shared" si="127"/>
        <v>0.90162437337271206</v>
      </c>
      <c r="BH24" s="14">
        <f t="shared" si="127"/>
        <v>0.91080725441958921</v>
      </c>
      <c r="BI24" s="14">
        <f t="shared" si="127"/>
        <v>0.91886104519937495</v>
      </c>
      <c r="BJ24" s="14">
        <f t="shared" si="127"/>
        <v>0.9241183450368613</v>
      </c>
      <c r="BK24" s="14">
        <f t="shared" si="127"/>
        <v>0.92691105860833778</v>
      </c>
      <c r="BL24" s="9"/>
      <c r="BN24" s="2" t="s">
        <v>80</v>
      </c>
      <c r="CI24" s="2">
        <f>MU!CI24+UMKC!CI24+'S&amp;T'!CI24+UMSL!CI24</f>
        <v>31010</v>
      </c>
      <c r="CJ24" s="2">
        <f>MU!CJ24+UMKC!CJ24+'S&amp;T'!CJ24+UMSL!CJ24</f>
        <v>30915</v>
      </c>
      <c r="CK24" s="2">
        <f>MU!CK24+UMKC!CK24+'S&amp;T'!CK24+UMSL!CK24</f>
        <v>31885</v>
      </c>
      <c r="CL24" s="2">
        <f>MU!CL24+UMKC!CL24+'S&amp;T'!CL24+UMSL!CL24</f>
        <v>32456</v>
      </c>
      <c r="CM24" s="2">
        <f>MU!CM24+UMKC!CM24+'S&amp;T'!CM24+UMSL!CM24</f>
        <v>33183</v>
      </c>
      <c r="CN24" s="2">
        <f>MU!CN24+UMKC!CN24+'S&amp;T'!CN24+UMSL!CN24</f>
        <v>32963</v>
      </c>
      <c r="CO24" s="2">
        <f>MU!CO24+UMKC!CO24+'S&amp;T'!CO24+UMSL!CO24</f>
        <v>28437</v>
      </c>
      <c r="CP24" s="2">
        <f>MU!CP24+UMKC!CP24+'S&amp;T'!CP24+UMSL!CP24</f>
        <v>30993</v>
      </c>
      <c r="CQ24" s="2">
        <f>MU!CQ24+UMKC!CQ24+'S&amp;T'!CQ24+UMSL!CQ24</f>
        <v>31101</v>
      </c>
      <c r="CR24" s="2">
        <f>MU!CR24+UMKC!CR24+'S&amp;T'!CR24+UMSL!CR24</f>
        <v>31738</v>
      </c>
      <c r="CS24" s="2">
        <f>MU!CS24+UMKC!CS24+'S&amp;T'!CS24+UMSL!CS24</f>
        <v>32601</v>
      </c>
      <c r="CT24" s="2">
        <f>MU!CT24+UMKC!CT24+'S&amp;T'!CT24+UMSL!CT24</f>
        <v>32712</v>
      </c>
      <c r="CU24" s="2">
        <f>MU!CU24+UMKC!CU24+'S&amp;T'!CU24+UMSL!CU24</f>
        <v>33677</v>
      </c>
      <c r="CV24" s="2">
        <f>MU!CV24+UMKC!CV24+'S&amp;T'!CV24+UMSL!CV24</f>
        <v>34301</v>
      </c>
      <c r="CW24" s="2">
        <f>MU!CW24+UMKC!CW24+'S&amp;T'!CW24+UMSL!CW24</f>
        <v>35407</v>
      </c>
      <c r="CX24" s="2">
        <f>MU!CX24+UMKC!CX24+'S&amp;T'!CX24+UMSL!CX24</f>
        <v>35852</v>
      </c>
      <c r="CY24" s="2">
        <f>MU!CY24+UMKC!CY24+'S&amp;T'!CY24+UMSL!CY24</f>
        <v>37868</v>
      </c>
      <c r="CZ24" s="2">
        <f>MU!CZ24+UMKC!CZ24+'S&amp;T'!CZ24+UMSL!CZ24</f>
        <v>39152</v>
      </c>
      <c r="DA24" s="2">
        <f>MU!DA24+UMKC!DA24+'S&amp;T'!DA24+UMSL!DA24</f>
        <v>39793</v>
      </c>
      <c r="DB24" s="2">
        <f>MU!DB24+UMKC!DB24+'S&amp;T'!DB24+UMSL!DB24</f>
        <v>41570</v>
      </c>
      <c r="DC24" s="2">
        <f>MU!DC24+UMKC!DC24+'S&amp;T'!DC24+UMSL!DC24</f>
        <v>40825</v>
      </c>
      <c r="DD24" s="2">
        <f>MU!DD24+UMKC!DD24+'S&amp;T'!DD24+UMSL!DD24</f>
        <v>40969</v>
      </c>
      <c r="DE24" s="2">
        <f>MU!DE24+UMKC!DE24+'S&amp;T'!DE24+UMSL!DE24</f>
        <v>42554</v>
      </c>
      <c r="DF24" s="2">
        <f>MU!DF24+UMKC!DF24+'S&amp;T'!DF24+UMSL!DF24</f>
        <v>43923</v>
      </c>
      <c r="DG24" s="2">
        <f>MU!DG24+UMKC!DG24+'S&amp;T'!DG24+UMSL!DG24</f>
        <v>45431</v>
      </c>
      <c r="DH24" s="2">
        <f>MU!DH24+UMKC!DH24+'S&amp;T'!DH24+UMSL!DH24</f>
        <v>46851</v>
      </c>
      <c r="DI24" s="2">
        <f>MU!DI24+UMKC!DI24+'S&amp;T'!DI24+UMSL!DI24</f>
        <v>48735</v>
      </c>
      <c r="DJ24" s="2">
        <f>MU!DJ24+UMKC!DJ24+'S&amp;T'!DJ24+UMSL!DJ24</f>
        <v>49084</v>
      </c>
      <c r="DK24" s="2">
        <f>MU!DK24+UMKC!DK24+'S&amp;T'!DK24+UMSL!DK24</f>
        <v>50746</v>
      </c>
      <c r="DL24" s="2">
        <f>MU!DL24+UMKC!DL24+'S&amp;T'!DL24+UMSL!DL24</f>
        <v>52299</v>
      </c>
      <c r="DM24" s="2">
        <f>MU!DM24+UMKC!DM24+'S&amp;T'!DM24+UMSL!DM24</f>
        <v>51931</v>
      </c>
      <c r="DN24" s="2">
        <f>MU!DN24+UMKC!DN24+'S&amp;T'!DN24+UMSL!DN24</f>
        <v>50008</v>
      </c>
      <c r="DO24" s="2">
        <f>MU!DO24+UMKC!DO24+'S&amp;T'!DO24+UMSL!DO24</f>
        <v>48516</v>
      </c>
      <c r="DP24" s="2">
        <f>MU!DP24+UMKC!DP24+'S&amp;T'!DP24+UMSL!DP24</f>
        <v>48159</v>
      </c>
      <c r="DQ24" s="2">
        <f>MU!DQ24+UMKC!DQ24+'S&amp;T'!DQ24+UMSL!DQ24</f>
        <v>46403</v>
      </c>
      <c r="DR24" s="2">
        <f>MU!DR24+UMKC!DR24+'S&amp;T'!DR24+UMSL!DR24</f>
        <v>47760</v>
      </c>
      <c r="DS24" s="2">
        <f>MU!DS24+UMKC!DS24+'S&amp;T'!DS24+UMSL!DS24</f>
        <v>47631</v>
      </c>
      <c r="DT24" s="2">
        <f>MU!DT24+UMKC!DT24+'S&amp;T'!DT24+UMSL!DT24</f>
        <v>47508</v>
      </c>
      <c r="DU24" s="2">
        <f>MU!DU24+UMKC!DU24+'S&amp;T'!DU24+UMSL!DU24</f>
        <v>48648</v>
      </c>
    </row>
    <row r="25" spans="1:125" ht="13.5" customHeight="1" x14ac:dyDescent="0.2">
      <c r="A25" s="8"/>
      <c r="D25" s="2" t="s">
        <v>79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>
        <f t="shared" si="124"/>
        <v>0.20846414988386042</v>
      </c>
      <c r="Z25" s="14">
        <f t="shared" si="124"/>
        <v>0.2152756625038075</v>
      </c>
      <c r="AA25" s="14">
        <f t="shared" si="124"/>
        <v>0.21106024990721267</v>
      </c>
      <c r="AB25" s="14">
        <f t="shared" si="124"/>
        <v>0.2136072882341539</v>
      </c>
      <c r="AC25" s="14">
        <f t="shared" si="124"/>
        <v>0.21393376604917799</v>
      </c>
      <c r="AD25" s="14">
        <f t="shared" si="124"/>
        <v>0.21195821081068159</v>
      </c>
      <c r="AE25" s="14">
        <f t="shared" si="124"/>
        <v>0.20940254107703857</v>
      </c>
      <c r="AF25" s="14">
        <f t="shared" si="124"/>
        <v>0.20174625251120384</v>
      </c>
      <c r="AG25" s="14">
        <f t="shared" si="124"/>
        <v>0.19970665431526941</v>
      </c>
      <c r="AH25" s="14">
        <f t="shared" si="124"/>
        <v>0.19713642457817915</v>
      </c>
      <c r="AI25" s="14">
        <f t="shared" si="125"/>
        <v>0.1915838024152553</v>
      </c>
      <c r="AJ25" s="14">
        <f t="shared" si="125"/>
        <v>0.18541760047811146</v>
      </c>
      <c r="AK25" s="14">
        <f t="shared" si="125"/>
        <v>0.17686309974824627</v>
      </c>
      <c r="AL25" s="14">
        <f t="shared" si="125"/>
        <v>0.17285200993513228</v>
      </c>
      <c r="AM25" s="14">
        <f t="shared" si="125"/>
        <v>0.16853747886530152</v>
      </c>
      <c r="AN25" s="14">
        <f t="shared" si="125"/>
        <v>0.15964653212385441</v>
      </c>
      <c r="AO25" s="14">
        <f t="shared" si="125"/>
        <v>0.15987043528419931</v>
      </c>
      <c r="AP25" s="14">
        <f t="shared" si="125"/>
        <v>0.15390932272982669</v>
      </c>
      <c r="AQ25" s="14">
        <f t="shared" si="125"/>
        <v>0.15267338117241233</v>
      </c>
      <c r="AR25" s="14">
        <f t="shared" si="125"/>
        <v>0.12927820367810314</v>
      </c>
      <c r="AS25" s="14">
        <f t="shared" si="126"/>
        <v>0.14665245291695408</v>
      </c>
      <c r="AT25" s="14">
        <f t="shared" si="126"/>
        <v>0.14385722943180157</v>
      </c>
      <c r="AU25" s="14">
        <f t="shared" si="126"/>
        <v>0.14030586476494475</v>
      </c>
      <c r="AV25" s="14">
        <f t="shared" si="126"/>
        <v>0.14465151603668866</v>
      </c>
      <c r="AW25" s="14">
        <f t="shared" si="126"/>
        <v>0.1485625398253308</v>
      </c>
      <c r="AX25" s="14">
        <f t="shared" si="126"/>
        <v>0.14717125382262997</v>
      </c>
      <c r="AY25" s="14">
        <f t="shared" si="126"/>
        <v>0.14121834745986714</v>
      </c>
      <c r="AZ25" s="14">
        <f t="shared" si="126"/>
        <v>0.13689356239779141</v>
      </c>
      <c r="BA25" s="14">
        <f t="shared" si="126"/>
        <v>0.13238386705192429</v>
      </c>
      <c r="BB25" s="14">
        <f t="shared" si="126"/>
        <v>0.11981217812784005</v>
      </c>
      <c r="BC25" s="14">
        <f t="shared" si="126"/>
        <v>0.11054209129057121</v>
      </c>
      <c r="BD25" s="14">
        <f t="shared" si="126"/>
        <v>0.10503427170392111</v>
      </c>
      <c r="BE25" s="14">
        <f t="shared" si="127"/>
        <v>0.10331571359923114</v>
      </c>
      <c r="BF25" s="14">
        <f t="shared" si="127"/>
        <v>9.7639123102866779E-2</v>
      </c>
      <c r="BG25" s="14">
        <f t="shared" si="127"/>
        <v>9.8375626627287924E-2</v>
      </c>
      <c r="BH25" s="14">
        <f t="shared" si="127"/>
        <v>8.9192745580410779E-2</v>
      </c>
      <c r="BI25" s="14">
        <f t="shared" si="127"/>
        <v>8.1138954800625038E-2</v>
      </c>
      <c r="BJ25" s="14">
        <f t="shared" si="127"/>
        <v>7.5881654963138756E-2</v>
      </c>
      <c r="BK25" s="14">
        <f t="shared" si="127"/>
        <v>7.3088941391662221E-2</v>
      </c>
      <c r="BL25" s="9"/>
      <c r="BN25" s="2" t="s">
        <v>79</v>
      </c>
      <c r="CI25" s="2">
        <f>MU!CI25+UMKC!CI25+'S&amp;T'!CI25+UMSL!CI25</f>
        <v>8167</v>
      </c>
      <c r="CJ25" s="2">
        <f>MU!CJ25+UMKC!CJ25+'S&amp;T'!CJ25+UMSL!CJ25</f>
        <v>8481</v>
      </c>
      <c r="CK25" s="2">
        <f>MU!CK25+UMKC!CK25+'S&amp;T'!CK25+UMSL!CK25</f>
        <v>8530</v>
      </c>
      <c r="CL25" s="2">
        <f>MU!CL25+UMKC!CL25+'S&amp;T'!CL25+UMSL!CL25</f>
        <v>8816</v>
      </c>
      <c r="CM25" s="2">
        <f>MU!CM25+UMKC!CM25+'S&amp;T'!CM25+UMSL!CM25</f>
        <v>9031</v>
      </c>
      <c r="CN25" s="2">
        <f>MU!CN25+UMKC!CN25+'S&amp;T'!CN25+UMSL!CN25</f>
        <v>8866</v>
      </c>
      <c r="CO25" s="2">
        <f>MU!CO25+UMKC!CO25+'S&amp;T'!CO25+UMSL!CO25</f>
        <v>7532</v>
      </c>
      <c r="CP25" s="2">
        <f>MU!CP25+UMKC!CP25+'S&amp;T'!CP25+UMSL!CP25</f>
        <v>7833</v>
      </c>
      <c r="CQ25" s="2">
        <f>MU!CQ25+UMKC!CQ25+'S&amp;T'!CQ25+UMSL!CQ25</f>
        <v>7761</v>
      </c>
      <c r="CR25" s="2">
        <f>MU!CR25+UMKC!CR25+'S&amp;T'!CR25+UMSL!CR25</f>
        <v>7793</v>
      </c>
      <c r="CS25" s="2">
        <f>MU!CS25+UMKC!CS25+'S&amp;T'!CS25+UMSL!CS25</f>
        <v>7726</v>
      </c>
      <c r="CT25" s="2">
        <f>MU!CT25+UMKC!CT25+'S&amp;T'!CT25+UMSL!CT25</f>
        <v>7446</v>
      </c>
      <c r="CU25" s="2">
        <f>MU!CU25+UMKC!CU25+'S&amp;T'!CU25+UMSL!CU25</f>
        <v>7236</v>
      </c>
      <c r="CV25" s="2">
        <f>MU!CV25+UMKC!CV25+'S&amp;T'!CV25+UMSL!CV25</f>
        <v>7168</v>
      </c>
      <c r="CW25" s="2">
        <f>MU!CW25+UMKC!CW25+'S&amp;T'!CW25+UMSL!CW25</f>
        <v>7177</v>
      </c>
      <c r="CX25" s="2">
        <f>MU!CX25+UMKC!CX25+'S&amp;T'!CX25+UMSL!CX25</f>
        <v>6811</v>
      </c>
      <c r="CY25" s="2">
        <f>MU!CY25+UMKC!CY25+'S&amp;T'!CY25+UMSL!CY25</f>
        <v>7206</v>
      </c>
      <c r="CZ25" s="2">
        <f>MU!CZ25+UMKC!CZ25+'S&amp;T'!CZ25+UMSL!CZ25</f>
        <v>7122</v>
      </c>
      <c r="DA25" s="2">
        <f>MU!DA25+UMKC!DA25+'S&amp;T'!DA25+UMSL!DA25</f>
        <v>7170</v>
      </c>
      <c r="DB25" s="2">
        <f>MU!DB25+UMKC!DB25+'S&amp;T'!DB25+UMSL!DB25</f>
        <v>6172</v>
      </c>
      <c r="DC25" s="2">
        <f>MU!DC25+UMKC!DC25+'S&amp;T'!DC25+UMSL!DC25</f>
        <v>7016</v>
      </c>
      <c r="DD25" s="2">
        <f>MU!DD25+UMKC!DD25+'S&amp;T'!DD25+UMSL!DD25</f>
        <v>6884</v>
      </c>
      <c r="DE25" s="2">
        <f>MU!DE25+UMKC!DE25+'S&amp;T'!DE25+UMSL!DE25</f>
        <v>6945</v>
      </c>
      <c r="DF25" s="2">
        <f>MU!DF25+UMKC!DF25+'S&amp;T'!DF25+UMSL!DF25</f>
        <v>7428</v>
      </c>
      <c r="DG25" s="2">
        <f>MU!DG25+UMKC!DG25+'S&amp;T'!DG25+UMSL!DG25</f>
        <v>7927</v>
      </c>
      <c r="DH25" s="2">
        <f>MU!DH25+UMKC!DH25+'S&amp;T'!DH25+UMSL!DH25</f>
        <v>8085</v>
      </c>
      <c r="DI25" s="2">
        <f>MU!DI25+UMKC!DI25+'S&amp;T'!DI25+UMSL!DI25</f>
        <v>8014</v>
      </c>
      <c r="DJ25" s="2">
        <f>MU!DJ25+UMKC!DJ25+'S&amp;T'!DJ25+UMSL!DJ25</f>
        <v>7785</v>
      </c>
      <c r="DK25" s="2">
        <f>MU!DK25+UMKC!DK25+'S&amp;T'!DK25+UMSL!DK25</f>
        <v>7743</v>
      </c>
      <c r="DL25" s="2">
        <f>MU!DL25+UMKC!DL25+'S&amp;T'!DL25+UMSL!DL25</f>
        <v>7119</v>
      </c>
      <c r="DM25" s="2">
        <f>MU!DM25+UMKC!DM25+'S&amp;T'!DM25+UMSL!DM25</f>
        <v>6454</v>
      </c>
      <c r="DN25" s="2">
        <f>MU!DN25+UMKC!DN25+'S&amp;T'!DN25+UMSL!DN25</f>
        <v>5869</v>
      </c>
      <c r="DO25" s="2">
        <f>MU!DO25+UMKC!DO25+'S&amp;T'!DO25+UMSL!DO25</f>
        <v>5590</v>
      </c>
      <c r="DP25" s="2">
        <f>MU!DP25+UMKC!DP25+'S&amp;T'!DP25+UMSL!DP25</f>
        <v>5211</v>
      </c>
      <c r="DQ25" s="2">
        <f>MU!DQ25+UMKC!DQ25+'S&amp;T'!DQ25+UMSL!DQ25</f>
        <v>5063</v>
      </c>
      <c r="DR25" s="2">
        <f>MU!DR25+UMKC!DR25+'S&amp;T'!DR25+UMSL!DR25</f>
        <v>4677</v>
      </c>
      <c r="DS25" s="2">
        <f>MU!DS25+UMKC!DS25+'S&amp;T'!DS25+UMSL!DS25</f>
        <v>4206</v>
      </c>
      <c r="DT25" s="2">
        <f>MU!DT25+UMKC!DT25+'S&amp;T'!DT25+UMSL!DT25</f>
        <v>3901</v>
      </c>
      <c r="DU25" s="2">
        <f>MU!DU25+UMKC!DU25+'S&amp;T'!DU25+UMSL!DU25</f>
        <v>3836</v>
      </c>
    </row>
    <row r="26" spans="1:125" ht="13.5" customHeight="1" x14ac:dyDescent="0.2">
      <c r="A26" s="8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9"/>
      <c r="BN26" s="20" t="s">
        <v>56</v>
      </c>
      <c r="CI26" s="2">
        <f t="shared" ref="CI26:DJ26" si="128">SUM(CI24:CI25)</f>
        <v>39177</v>
      </c>
      <c r="CJ26" s="2">
        <f t="shared" si="128"/>
        <v>39396</v>
      </c>
      <c r="CK26" s="2">
        <f t="shared" si="128"/>
        <v>40415</v>
      </c>
      <c r="CL26" s="2">
        <f t="shared" si="128"/>
        <v>41272</v>
      </c>
      <c r="CM26" s="2">
        <f t="shared" si="128"/>
        <v>42214</v>
      </c>
      <c r="CN26" s="2">
        <f t="shared" si="128"/>
        <v>41829</v>
      </c>
      <c r="CO26" s="2">
        <f t="shared" si="128"/>
        <v>35969</v>
      </c>
      <c r="CP26" s="2">
        <f t="shared" si="128"/>
        <v>38826</v>
      </c>
      <c r="CQ26" s="2">
        <f t="shared" si="128"/>
        <v>38862</v>
      </c>
      <c r="CR26" s="2">
        <f t="shared" si="128"/>
        <v>39531</v>
      </c>
      <c r="CS26" s="2">
        <f t="shared" si="128"/>
        <v>40327</v>
      </c>
      <c r="CT26" s="2">
        <f t="shared" si="128"/>
        <v>40158</v>
      </c>
      <c r="CU26" s="2">
        <f t="shared" si="128"/>
        <v>40913</v>
      </c>
      <c r="CV26" s="2">
        <f t="shared" si="128"/>
        <v>41469</v>
      </c>
      <c r="CW26" s="2">
        <f t="shared" si="128"/>
        <v>42584</v>
      </c>
      <c r="CX26" s="2">
        <f t="shared" si="128"/>
        <v>42663</v>
      </c>
      <c r="CY26" s="2">
        <f t="shared" si="128"/>
        <v>45074</v>
      </c>
      <c r="CZ26" s="2">
        <f t="shared" si="128"/>
        <v>46274</v>
      </c>
      <c r="DA26" s="2">
        <f t="shared" si="128"/>
        <v>46963</v>
      </c>
      <c r="DB26" s="2">
        <f t="shared" si="128"/>
        <v>47742</v>
      </c>
      <c r="DC26" s="2">
        <f t="shared" si="128"/>
        <v>47841</v>
      </c>
      <c r="DD26" s="2">
        <f t="shared" si="128"/>
        <v>47853</v>
      </c>
      <c r="DE26" s="2">
        <f t="shared" si="128"/>
        <v>49499</v>
      </c>
      <c r="DF26" s="2">
        <f t="shared" si="128"/>
        <v>51351</v>
      </c>
      <c r="DG26" s="2">
        <f t="shared" si="128"/>
        <v>53358</v>
      </c>
      <c r="DH26" s="2">
        <f t="shared" si="128"/>
        <v>54936</v>
      </c>
      <c r="DI26" s="2">
        <f t="shared" si="128"/>
        <v>56749</v>
      </c>
      <c r="DJ26" s="2">
        <f t="shared" si="128"/>
        <v>56869</v>
      </c>
      <c r="DK26" s="2">
        <f t="shared" ref="DK26:DL26" si="129">SUM(DK24:DK25)</f>
        <v>58489</v>
      </c>
      <c r="DL26" s="2">
        <f t="shared" si="129"/>
        <v>59418</v>
      </c>
      <c r="DM26" s="2">
        <f t="shared" ref="DM26:DN26" si="130">SUM(DM24:DM25)</f>
        <v>58385</v>
      </c>
      <c r="DN26" s="2">
        <f t="shared" si="130"/>
        <v>55877</v>
      </c>
      <c r="DO26" s="2">
        <f t="shared" ref="DO26:DP26" si="131">SUM(DO24:DO25)</f>
        <v>54106</v>
      </c>
      <c r="DP26" s="2">
        <f t="shared" si="131"/>
        <v>53370</v>
      </c>
      <c r="DQ26" s="2">
        <f t="shared" ref="DQ26:DR26" si="132">SUM(DQ24:DQ25)</f>
        <v>51466</v>
      </c>
      <c r="DR26" s="2">
        <f t="shared" si="132"/>
        <v>52437</v>
      </c>
      <c r="DS26" s="2">
        <f t="shared" ref="DS26:DT26" si="133">SUM(DS24:DS25)</f>
        <v>51837</v>
      </c>
      <c r="DT26" s="2">
        <f t="shared" si="133"/>
        <v>51409</v>
      </c>
      <c r="DU26" s="2">
        <f t="shared" ref="DU26" si="134">SUM(DU24:DU25)</f>
        <v>52484</v>
      </c>
    </row>
    <row r="27" spans="1:125" ht="13.5" customHeight="1" x14ac:dyDescent="0.2">
      <c r="A27" s="8"/>
      <c r="B27" s="36" t="s">
        <v>97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9"/>
    </row>
    <row r="28" spans="1:125" ht="13.5" customHeight="1" x14ac:dyDescent="0.2">
      <c r="A28" s="8"/>
      <c r="C28" s="3" t="s">
        <v>62</v>
      </c>
      <c r="BL28" s="9"/>
      <c r="BN28" s="2" t="s">
        <v>98</v>
      </c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</row>
    <row r="29" spans="1:125" ht="13.5" customHeight="1" x14ac:dyDescent="0.2">
      <c r="A29" s="8"/>
      <c r="D29" s="2" t="s">
        <v>59</v>
      </c>
      <c r="E29" s="14"/>
      <c r="F29" s="14">
        <f>BP29/BP$31</f>
        <v>0.8056436428500644</v>
      </c>
      <c r="G29" s="14">
        <f t="shared" ref="G29:G30" si="135">BQ29/BQ$31</f>
        <v>0.81119302638289981</v>
      </c>
      <c r="H29" s="14">
        <f t="shared" ref="H29:H30" si="136">BR29/BR$31</f>
        <v>0.81863399509065071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>
        <f t="shared" ref="Y29:Y30" si="137">CI29/CI$31</f>
        <v>0.90905615170902043</v>
      </c>
      <c r="Z29" s="14">
        <f t="shared" ref="Z29:Z30" si="138">CJ29/CJ$31</f>
        <v>0.9042777087506656</v>
      </c>
      <c r="AA29" s="14">
        <f t="shared" ref="AA29:AA30" si="139">CK29/CK$31</f>
        <v>0.89824058515370164</v>
      </c>
      <c r="AB29" s="14">
        <f t="shared" ref="AB29:AB30" si="140">CL29/CL$31</f>
        <v>0.89109342108446854</v>
      </c>
      <c r="AC29" s="14">
        <f t="shared" ref="AC29:AC30" si="141">CM29/CM$31</f>
        <v>0.8892595221197066</v>
      </c>
      <c r="AD29" s="14">
        <f t="shared" ref="AD29:AD30" si="142">CN29/CN$31</f>
        <v>0.88817029806935066</v>
      </c>
      <c r="AE29" s="14">
        <f t="shared" ref="AE29:AE30" si="143">CO29/CO$31</f>
        <v>0.88759321355287524</v>
      </c>
      <c r="AF29" s="14">
        <f t="shared" ref="AF29:AF30" si="144">CP29/CP$31</f>
        <v>0.88675026982576965</v>
      </c>
      <c r="AG29" s="14">
        <f t="shared" ref="AG29:AG30" si="145">CQ29/CQ$31</f>
        <v>0.87609164697421149</v>
      </c>
      <c r="AH29" s="14">
        <f t="shared" ref="AH29:AH30" si="146">CR29/CR$31</f>
        <v>0.86115665731039659</v>
      </c>
      <c r="AI29" s="14">
        <f t="shared" ref="AI29:AI30" si="147">CS29/CS$31</f>
        <v>0.85930213419652168</v>
      </c>
      <c r="AJ29" s="14">
        <f t="shared" ref="AJ29:AJ30" si="148">CT29/CT$31</f>
        <v>0.86957062231172766</v>
      </c>
      <c r="AK29" s="14">
        <f t="shared" ref="AK29:AK30" si="149">CU29/CU$31</f>
        <v>0.86865438955471108</v>
      </c>
      <c r="AL29" s="14">
        <f t="shared" ref="AL29:AL30" si="150">CV29/CV$31</f>
        <v>0.87214545805300348</v>
      </c>
      <c r="AM29" s="14">
        <f t="shared" ref="AM29:AM30" si="151">CW29/CW$31</f>
        <v>0.87518786398647375</v>
      </c>
      <c r="AN29" s="14">
        <f t="shared" ref="AN29:AN30" si="152">CX29/CX$31</f>
        <v>0.87383297844958696</v>
      </c>
      <c r="AO29" s="14">
        <f t="shared" ref="AO29:AO30" si="153">CY29/CY$31</f>
        <v>0.87093414871931218</v>
      </c>
      <c r="AP29" s="14">
        <f t="shared" ref="AP29:AP30" si="154">CZ29/CZ$31</f>
        <v>0.86865568532630988</v>
      </c>
      <c r="AQ29" s="14">
        <f t="shared" ref="AQ29:AQ30" si="155">DA29/DA$31</f>
        <v>0.86475610535056524</v>
      </c>
      <c r="AR29" s="14">
        <f t="shared" ref="AR29:AR30" si="156">DB29/DB$31</f>
        <v>0.858271015312428</v>
      </c>
      <c r="AS29" s="14">
        <f t="shared" ref="AS29:AS30" si="157">DC29/DC$31</f>
        <v>0.85539599924750742</v>
      </c>
      <c r="AT29" s="14">
        <f t="shared" ref="AT29:AT30" si="158">DD29/DD$31</f>
        <v>0.85287481196724046</v>
      </c>
      <c r="AU29" s="14">
        <f t="shared" ref="AU29:AY30" si="159">DE29/DE$31</f>
        <v>0.84362754998990108</v>
      </c>
      <c r="AV29" s="14">
        <f t="shared" si="159"/>
        <v>0.8368515345069325</v>
      </c>
      <c r="AW29" s="14">
        <f t="shared" si="159"/>
        <v>0.82536826717643086</v>
      </c>
      <c r="AX29" s="14">
        <f t="shared" si="159"/>
        <v>0.81503931847968547</v>
      </c>
      <c r="AY29" s="14">
        <f t="shared" si="159"/>
        <v>0.80407048458149777</v>
      </c>
      <c r="AZ29" s="14">
        <f t="shared" ref="AZ29:BD30" si="160">DJ29/DJ$31</f>
        <v>0.79254075155181203</v>
      </c>
      <c r="BA29" s="14">
        <f t="shared" si="160"/>
        <v>0.78291644582742059</v>
      </c>
      <c r="BB29" s="14">
        <f t="shared" si="160"/>
        <v>0.78684910296543131</v>
      </c>
      <c r="BC29" s="14">
        <f t="shared" si="160"/>
        <v>0.80537809368844737</v>
      </c>
      <c r="BD29" s="14">
        <f t="shared" si="160"/>
        <v>0.8183510209925372</v>
      </c>
      <c r="BE29" s="14">
        <f t="shared" ref="BE29:BK30" si="161">DO29/DO$31</f>
        <v>0.82587883044394339</v>
      </c>
      <c r="BF29" s="14">
        <f t="shared" si="161"/>
        <v>0.82611954281431521</v>
      </c>
      <c r="BG29" s="14">
        <f t="shared" si="161"/>
        <v>0.83239420199743519</v>
      </c>
      <c r="BH29" s="14">
        <f t="shared" si="161"/>
        <v>0.83235120239525529</v>
      </c>
      <c r="BI29" s="14">
        <f t="shared" si="161"/>
        <v>0.82985126454077207</v>
      </c>
      <c r="BJ29" s="14">
        <f t="shared" si="161"/>
        <v>0.82540022175105521</v>
      </c>
      <c r="BK29" s="14">
        <f t="shared" si="161"/>
        <v>0.81508650255315906</v>
      </c>
      <c r="BL29" s="9"/>
      <c r="BN29" s="2" t="s">
        <v>59</v>
      </c>
      <c r="BP29" s="2">
        <f>MU!BP29+UMKC!BP29+'S&amp;T'!BP29+UMSL!BP29</f>
        <v>32519</v>
      </c>
      <c r="BQ29" s="2">
        <f>MU!BQ29+UMKC!BQ29+'S&amp;T'!BQ29+UMSL!BQ29</f>
        <v>34990</v>
      </c>
      <c r="BR29" s="2">
        <f>MU!BR29+UMKC!BR29+'S&amp;T'!BR29+UMSL!BR29</f>
        <v>38019</v>
      </c>
      <c r="CI29" s="2">
        <f>MU!CI29+UMKC!CI29+'S&amp;T'!CI29+UMSL!CI29</f>
        <v>35665</v>
      </c>
      <c r="CJ29" s="2">
        <f>MU!CJ29+UMKC!CJ29+'S&amp;T'!CJ29+UMSL!CJ29</f>
        <v>35662</v>
      </c>
      <c r="CK29" s="2">
        <f>MU!CK29+UMKC!CK29+'S&amp;T'!CK29+UMSL!CK29</f>
        <v>36350</v>
      </c>
      <c r="CL29" s="2">
        <f>MU!CL29+UMKC!CL29+'S&amp;T'!CL29+UMSL!CL29</f>
        <v>36828</v>
      </c>
      <c r="CM29" s="2">
        <f>MU!CM29+UMKC!CM29+'S&amp;T'!CM29+UMSL!CM29</f>
        <v>37589</v>
      </c>
      <c r="CN29" s="2">
        <f>MU!CN29+UMKC!CN29+'S&amp;T'!CN29+UMSL!CN29</f>
        <v>37217</v>
      </c>
      <c r="CO29" s="2">
        <f>MU!CO29+UMKC!CO29+'S&amp;T'!CO29+UMSL!CO29</f>
        <v>35470</v>
      </c>
      <c r="CP29" s="2">
        <f>MU!CP29+UMKC!CP29+'S&amp;T'!CP29+UMSL!CP29</f>
        <v>34507</v>
      </c>
      <c r="CQ29" s="2">
        <f>MU!CQ29+UMKC!CQ29+'S&amp;T'!CQ29+UMSL!CQ29</f>
        <v>34108</v>
      </c>
      <c r="CR29" s="2">
        <f>MU!CR29+UMKC!CR29+'S&amp;T'!CR29+UMSL!CR29</f>
        <v>30987</v>
      </c>
      <c r="CS29" s="2">
        <f>MU!CS29+UMKC!CS29+'S&amp;T'!CS29+UMSL!CS29</f>
        <v>31325</v>
      </c>
      <c r="CT29" s="2">
        <f>MU!CT29+UMKC!CT29+'S&amp;T'!CT29+UMSL!CT29</f>
        <v>34975</v>
      </c>
      <c r="CU29" s="2">
        <f>MU!CU29+UMKC!CU29+'S&amp;T'!CU29+UMSL!CU29</f>
        <v>35660</v>
      </c>
      <c r="CV29" s="2">
        <f>MU!CV29+UMKC!CV29+'S&amp;T'!CV29+UMSL!CV29</f>
        <v>36167</v>
      </c>
      <c r="CW29" s="2">
        <f>MU!CW29+UMKC!CW29+'S&amp;T'!CW29+UMSL!CW29</f>
        <v>37269</v>
      </c>
      <c r="CX29" s="2">
        <f>MU!CX29+UMKC!CX29+'S&amp;T'!CX29+UMSL!CX29</f>
        <v>37345</v>
      </c>
      <c r="CY29" s="2">
        <f>MU!CY29+UMKC!CY29+'S&amp;T'!CY29+UMSL!CY29</f>
        <v>39307</v>
      </c>
      <c r="CZ29" s="2">
        <f>MU!CZ29+UMKC!CZ29+'S&amp;T'!CZ29+UMSL!CZ29</f>
        <v>40237</v>
      </c>
      <c r="DA29" s="2">
        <f>MU!DA29+UMKC!DA29+'S&amp;T'!DA29+UMSL!DA29</f>
        <v>40615</v>
      </c>
      <c r="DB29" s="2">
        <f>MU!DB29+UMKC!DB29+'S&amp;T'!DB29+UMSL!DB29</f>
        <v>40973</v>
      </c>
      <c r="DC29" s="2">
        <f>MU!DC29+UMKC!DC29+'S&amp;T'!DC29+UMSL!DC29</f>
        <v>40923</v>
      </c>
      <c r="DD29" s="2">
        <f>MU!DD29+UMKC!DD29+'S&amp;T'!DD29+UMSL!DD29</f>
        <v>40822</v>
      </c>
      <c r="DE29" s="2">
        <f>MU!DE29+UMKC!DE29+'S&amp;T'!DE29+UMSL!DE29</f>
        <v>41768</v>
      </c>
      <c r="DF29" s="2">
        <f>MU!DF29+UMKC!DF29+'S&amp;T'!DF29+UMSL!DF29</f>
        <v>42974</v>
      </c>
      <c r="DG29" s="2">
        <f>MU!DG29+UMKC!DG29+'S&amp;T'!DG29+UMSL!DG29</f>
        <v>44040</v>
      </c>
      <c r="DH29" s="2">
        <f>MU!DH29+UMKC!DH29+'S&amp;T'!DH29+UMSL!DH29</f>
        <v>44775</v>
      </c>
      <c r="DI29" s="2">
        <f>MU!DI29+UMKC!DI29+'S&amp;T'!DI29+UMSL!DI29</f>
        <v>45631</v>
      </c>
      <c r="DJ29" s="2">
        <f>MU!DJ29+UMKC!DJ29+'S&amp;T'!DJ29+UMSL!DJ29</f>
        <v>45071</v>
      </c>
      <c r="DK29" s="2">
        <f>MU!DK29+UMKC!DK29+'S&amp;T'!DK29+UMSL!DK29</f>
        <v>45792</v>
      </c>
      <c r="DL29" s="2">
        <f>MU!DL29+UMKC!DL29+'S&amp;T'!DL29+UMSL!DL29</f>
        <v>46753</v>
      </c>
      <c r="DM29" s="2">
        <f>MU!DM29+UMKC!DM29+'S&amp;T'!DM29+UMSL!DM29</f>
        <v>47022</v>
      </c>
      <c r="DN29" s="2">
        <f>MU!DN29+UMKC!DN29+'S&amp;T'!DN29+UMSL!DN29</f>
        <v>45727</v>
      </c>
      <c r="DO29" s="2">
        <f>MU!DO29+UMKC!DO29+'S&amp;T'!DO29+UMSL!DO29</f>
        <v>44685</v>
      </c>
      <c r="DP29" s="2">
        <f>MU!DP29+UMKC!DP29+'S&amp;T'!DP29+UMSL!DP29</f>
        <v>44090</v>
      </c>
      <c r="DQ29" s="2">
        <f>MU!DQ29+UMKC!DQ29+'S&amp;T'!DQ29+UMSL!DQ29</f>
        <v>42840</v>
      </c>
      <c r="DR29" s="2">
        <f>MU!DR29+UMKC!DR29+'S&amp;T'!DR29+UMSL!DR29</f>
        <v>43646</v>
      </c>
      <c r="DS29" s="2">
        <f>MU!DS29+UMKC!DS29+'S&amp;T'!DS29+UMSL!DS29</f>
        <v>43017</v>
      </c>
      <c r="DT29" s="2">
        <f>MU!DT29+UMKC!DT29+'S&amp;T'!DT29+UMSL!DT29</f>
        <v>42433</v>
      </c>
      <c r="DU29" s="2">
        <f>MU!DU29+UMKC!DU29+'S&amp;T'!DU29+UMSL!DU29</f>
        <v>42779</v>
      </c>
    </row>
    <row r="30" spans="1:125" ht="13.5" customHeight="1" x14ac:dyDescent="0.2">
      <c r="A30" s="8"/>
      <c r="D30" s="2" t="s">
        <v>60</v>
      </c>
      <c r="E30" s="14"/>
      <c r="F30" s="14">
        <f t="shared" ref="F30" si="162">BP30/BP$31</f>
        <v>0.1943563571499356</v>
      </c>
      <c r="G30" s="14">
        <f t="shared" si="135"/>
        <v>0.18880697361710019</v>
      </c>
      <c r="H30" s="14">
        <f t="shared" si="136"/>
        <v>0.18136600490934929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>
        <f t="shared" si="137"/>
        <v>9.0943848290979526E-2</v>
      </c>
      <c r="Z30" s="14">
        <f t="shared" si="138"/>
        <v>9.5722291249334387E-2</v>
      </c>
      <c r="AA30" s="14">
        <f t="shared" si="139"/>
        <v>0.10175941484629832</v>
      </c>
      <c r="AB30" s="14">
        <f t="shared" si="140"/>
        <v>0.10890657891553146</v>
      </c>
      <c r="AC30" s="14">
        <f t="shared" si="141"/>
        <v>0.11074047788029336</v>
      </c>
      <c r="AD30" s="14">
        <f t="shared" si="142"/>
        <v>0.11182970193064935</v>
      </c>
      <c r="AE30" s="14">
        <f t="shared" si="143"/>
        <v>0.11240678644712476</v>
      </c>
      <c r="AF30" s="14">
        <f t="shared" si="144"/>
        <v>0.11324973017423036</v>
      </c>
      <c r="AG30" s="14">
        <f t="shared" si="145"/>
        <v>0.12390835302578855</v>
      </c>
      <c r="AH30" s="14">
        <f t="shared" si="146"/>
        <v>0.13884334268960341</v>
      </c>
      <c r="AI30" s="14">
        <f t="shared" si="147"/>
        <v>0.14069786580347834</v>
      </c>
      <c r="AJ30" s="14">
        <f t="shared" si="148"/>
        <v>0.13042937768827229</v>
      </c>
      <c r="AK30" s="14">
        <f t="shared" si="149"/>
        <v>0.13134561044528889</v>
      </c>
      <c r="AL30" s="14">
        <f t="shared" si="150"/>
        <v>0.12785454194699655</v>
      </c>
      <c r="AM30" s="14">
        <f t="shared" si="151"/>
        <v>0.12481213601352621</v>
      </c>
      <c r="AN30" s="14">
        <f t="shared" si="152"/>
        <v>0.12616702155041298</v>
      </c>
      <c r="AO30" s="14">
        <f t="shared" si="153"/>
        <v>0.12906585128068776</v>
      </c>
      <c r="AP30" s="14">
        <f t="shared" si="154"/>
        <v>0.13134431467369012</v>
      </c>
      <c r="AQ30" s="14">
        <f t="shared" si="155"/>
        <v>0.1352438946494347</v>
      </c>
      <c r="AR30" s="14">
        <f t="shared" si="156"/>
        <v>0.141728984687572</v>
      </c>
      <c r="AS30" s="14">
        <f t="shared" si="157"/>
        <v>0.14460400075249263</v>
      </c>
      <c r="AT30" s="14">
        <f t="shared" si="158"/>
        <v>0.14712518803275948</v>
      </c>
      <c r="AU30" s="14">
        <f t="shared" si="159"/>
        <v>0.15637245001009897</v>
      </c>
      <c r="AV30" s="14">
        <f t="shared" si="159"/>
        <v>0.16314846549306747</v>
      </c>
      <c r="AW30" s="14">
        <f t="shared" si="159"/>
        <v>0.17463173282356909</v>
      </c>
      <c r="AX30" s="14">
        <f t="shared" si="159"/>
        <v>0.18496068152031456</v>
      </c>
      <c r="AY30" s="14">
        <f t="shared" si="159"/>
        <v>0.1959295154185022</v>
      </c>
      <c r="AZ30" s="14">
        <f t="shared" si="160"/>
        <v>0.20745924844818794</v>
      </c>
      <c r="BA30" s="14">
        <f t="shared" si="160"/>
        <v>0.21708355417257946</v>
      </c>
      <c r="BB30" s="14">
        <f t="shared" si="160"/>
        <v>0.21315089703456866</v>
      </c>
      <c r="BC30" s="14">
        <f t="shared" si="160"/>
        <v>0.19462190631155263</v>
      </c>
      <c r="BD30" s="14">
        <f t="shared" si="160"/>
        <v>0.18164897900746282</v>
      </c>
      <c r="BE30" s="14">
        <f t="shared" si="161"/>
        <v>0.17412116955605664</v>
      </c>
      <c r="BF30" s="14">
        <f t="shared" si="161"/>
        <v>0.17388045718568484</v>
      </c>
      <c r="BG30" s="14">
        <f t="shared" si="161"/>
        <v>0.16760579800256481</v>
      </c>
      <c r="BH30" s="14">
        <f t="shared" si="161"/>
        <v>0.16764879760474474</v>
      </c>
      <c r="BI30" s="14">
        <f t="shared" si="161"/>
        <v>0.17014873545922796</v>
      </c>
      <c r="BJ30" s="14">
        <f t="shared" si="161"/>
        <v>0.17459977824894474</v>
      </c>
      <c r="BK30" s="14">
        <f t="shared" si="161"/>
        <v>0.18491349744684094</v>
      </c>
      <c r="BL30" s="9"/>
      <c r="BN30" s="2" t="s">
        <v>60</v>
      </c>
      <c r="BP30" s="2">
        <f>MU!BP30+UMKC!BP30+'S&amp;T'!BP30+UMSL!BP30</f>
        <v>7845</v>
      </c>
      <c r="BQ30" s="2">
        <f>MU!BQ30+UMKC!BQ30+'S&amp;T'!BQ30+UMSL!BQ30</f>
        <v>8144</v>
      </c>
      <c r="BR30" s="2">
        <f>MU!BR30+UMKC!BR30+'S&amp;T'!BR30+UMSL!BR30</f>
        <v>8423</v>
      </c>
      <c r="CI30" s="2">
        <f>MU!CI30+UMKC!CI30+'S&amp;T'!CI30+UMSL!CI30</f>
        <v>3568</v>
      </c>
      <c r="CJ30" s="2">
        <f>MU!CJ30+UMKC!CJ30+'S&amp;T'!CJ30+UMSL!CJ30</f>
        <v>3775</v>
      </c>
      <c r="CK30" s="2">
        <f>MU!CK30+UMKC!CK30+'S&amp;T'!CK30+UMSL!CK30</f>
        <v>4118</v>
      </c>
      <c r="CL30" s="2">
        <f>MU!CL30+UMKC!CL30+'S&amp;T'!CL30+UMSL!CL30</f>
        <v>4501</v>
      </c>
      <c r="CM30" s="2">
        <f>MU!CM30+UMKC!CM30+'S&amp;T'!CM30+UMSL!CM30</f>
        <v>4681</v>
      </c>
      <c r="CN30" s="2">
        <f>MU!CN30+UMKC!CN30+'S&amp;T'!CN30+UMSL!CN30</f>
        <v>4686</v>
      </c>
      <c r="CO30" s="2">
        <f>MU!CO30+UMKC!CO30+'S&amp;T'!CO30+UMSL!CO30</f>
        <v>4492</v>
      </c>
      <c r="CP30" s="2">
        <f>MU!CP30+UMKC!CP30+'S&amp;T'!CP30+UMSL!CP30</f>
        <v>4407</v>
      </c>
      <c r="CQ30" s="2">
        <f>MU!CQ30+UMKC!CQ30+'S&amp;T'!CQ30+UMSL!CQ30</f>
        <v>4824</v>
      </c>
      <c r="CR30" s="2">
        <f>MU!CR30+UMKC!CR30+'S&amp;T'!CR30+UMSL!CR30</f>
        <v>4996</v>
      </c>
      <c r="CS30" s="2">
        <f>MU!CS30+UMKC!CS30+'S&amp;T'!CS30+UMSL!CS30</f>
        <v>5129</v>
      </c>
      <c r="CT30" s="2">
        <f>MU!CT30+UMKC!CT30+'S&amp;T'!CT30+UMSL!CT30</f>
        <v>5246</v>
      </c>
      <c r="CU30" s="2">
        <f>MU!CU30+UMKC!CU30+'S&amp;T'!CU30+UMSL!CU30</f>
        <v>5392</v>
      </c>
      <c r="CV30" s="2">
        <f>MU!CV30+UMKC!CV30+'S&amp;T'!CV30+UMSL!CV30</f>
        <v>5302</v>
      </c>
      <c r="CW30" s="2">
        <f>MU!CW30+UMKC!CW30+'S&amp;T'!CW30+UMSL!CW30</f>
        <v>5315</v>
      </c>
      <c r="CX30" s="2">
        <f>MU!CX30+UMKC!CX30+'S&amp;T'!CX30+UMSL!CX30</f>
        <v>5392</v>
      </c>
      <c r="CY30" s="2">
        <f>MU!CY30+UMKC!CY30+'S&amp;T'!CY30+UMSL!CY30</f>
        <v>5825</v>
      </c>
      <c r="CZ30" s="2">
        <f>MU!CZ30+UMKC!CZ30+'S&amp;T'!CZ30+UMSL!CZ30</f>
        <v>6084</v>
      </c>
      <c r="DA30" s="2">
        <f>MU!DA30+UMKC!DA30+'S&amp;T'!DA30+UMSL!DA30</f>
        <v>6352</v>
      </c>
      <c r="DB30" s="2">
        <f>MU!DB30+UMKC!DB30+'S&amp;T'!DB30+UMSL!DB30</f>
        <v>6766</v>
      </c>
      <c r="DC30" s="2">
        <f>MU!DC30+UMKC!DC30+'S&amp;T'!DC30+UMSL!DC30</f>
        <v>6918</v>
      </c>
      <c r="DD30" s="2">
        <f>MU!DD30+UMKC!DD30+'S&amp;T'!DD30+UMSL!DD30</f>
        <v>7042</v>
      </c>
      <c r="DE30" s="2">
        <f>MU!DE30+UMKC!DE30+'S&amp;T'!DE30+UMSL!DE30</f>
        <v>7742</v>
      </c>
      <c r="DF30" s="2">
        <f>MU!DF30+UMKC!DF30+'S&amp;T'!DF30+UMSL!DF30</f>
        <v>8378</v>
      </c>
      <c r="DG30" s="2">
        <f>MU!DG30+UMKC!DG30+'S&amp;T'!DG30+UMSL!DG30</f>
        <v>9318</v>
      </c>
      <c r="DH30" s="2">
        <f>MU!DH30+UMKC!DH30+'S&amp;T'!DH30+UMSL!DH30</f>
        <v>10161</v>
      </c>
      <c r="DI30" s="2">
        <f>MU!DI30+UMKC!DI30+'S&amp;T'!DI30+UMSL!DI30</f>
        <v>11119</v>
      </c>
      <c r="DJ30" s="2">
        <f>MU!DJ30+UMKC!DJ30+'S&amp;T'!DJ30+UMSL!DJ30</f>
        <v>11798</v>
      </c>
      <c r="DK30" s="2">
        <f>MU!DK30+UMKC!DK30+'S&amp;T'!DK30+UMSL!DK30</f>
        <v>12697</v>
      </c>
      <c r="DL30" s="2">
        <f>MU!DL30+UMKC!DL30+'S&amp;T'!DL30+UMSL!DL30</f>
        <v>12665</v>
      </c>
      <c r="DM30" s="2">
        <f>MU!DM30+UMKC!DM30+'S&amp;T'!DM30+UMSL!DM30</f>
        <v>11363</v>
      </c>
      <c r="DN30" s="2">
        <f>MU!DN30+UMKC!DN30+'S&amp;T'!DN30+UMSL!DN30</f>
        <v>10150</v>
      </c>
      <c r="DO30" s="2">
        <f>MU!DO30+UMKC!DO30+'S&amp;T'!DO30+UMSL!DO30</f>
        <v>9421</v>
      </c>
      <c r="DP30" s="2">
        <f>MU!DP30+UMKC!DP30+'S&amp;T'!DP30+UMSL!DP30</f>
        <v>9280</v>
      </c>
      <c r="DQ30" s="2">
        <f>MU!DQ30+UMKC!DQ30+'S&amp;T'!DQ30+UMSL!DQ30</f>
        <v>8626</v>
      </c>
      <c r="DR30" s="2">
        <f>MU!DR30+UMKC!DR30+'S&amp;T'!DR30+UMSL!DR30</f>
        <v>8791</v>
      </c>
      <c r="DS30" s="2">
        <f>MU!DS30+UMKC!DS30+'S&amp;T'!DS30+UMSL!DS30</f>
        <v>8820</v>
      </c>
      <c r="DT30" s="2">
        <f>MU!DT30+UMKC!DT30+'S&amp;T'!DT30+UMSL!DT30</f>
        <v>8976</v>
      </c>
      <c r="DU30" s="2">
        <f>MU!DU30+UMKC!DU30+'S&amp;T'!DU30+UMSL!DU30</f>
        <v>9705</v>
      </c>
    </row>
    <row r="31" spans="1:125" ht="13.5" customHeight="1" x14ac:dyDescent="0.2">
      <c r="A31" s="39"/>
      <c r="C31" s="3" t="s">
        <v>63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9"/>
      <c r="BN31" s="20" t="s">
        <v>56</v>
      </c>
      <c r="BP31" s="2">
        <f t="shared" ref="BP31:BR31" si="163">SUM(BP29:BP30)</f>
        <v>40364</v>
      </c>
      <c r="BQ31" s="2">
        <f t="shared" si="163"/>
        <v>43134</v>
      </c>
      <c r="BR31" s="2">
        <f t="shared" si="163"/>
        <v>46442</v>
      </c>
      <c r="CI31" s="2">
        <f t="shared" ref="CI31:CK31" si="164">SUM(CI29:CI30)</f>
        <v>39233</v>
      </c>
      <c r="CJ31" s="2">
        <f t="shared" si="164"/>
        <v>39437</v>
      </c>
      <c r="CK31" s="2">
        <f t="shared" si="164"/>
        <v>40468</v>
      </c>
      <c r="CL31" s="2">
        <f t="shared" ref="CL31:CT31" si="165">SUM(CL29:CL30)</f>
        <v>41329</v>
      </c>
      <c r="CM31" s="2">
        <f t="shared" si="165"/>
        <v>42270</v>
      </c>
      <c r="CN31" s="2">
        <f t="shared" si="165"/>
        <v>41903</v>
      </c>
      <c r="CO31" s="2">
        <f t="shared" si="165"/>
        <v>39962</v>
      </c>
      <c r="CP31" s="2">
        <f t="shared" si="165"/>
        <v>38914</v>
      </c>
      <c r="CQ31" s="2">
        <f t="shared" si="165"/>
        <v>38932</v>
      </c>
      <c r="CR31" s="2">
        <f t="shared" si="165"/>
        <v>35983</v>
      </c>
      <c r="CS31" s="2">
        <f t="shared" si="165"/>
        <v>36454</v>
      </c>
      <c r="CT31" s="2">
        <f t="shared" si="165"/>
        <v>40221</v>
      </c>
      <c r="CU31" s="2">
        <f t="shared" ref="CU31:DD31" si="166">SUM(CU29:CU30)</f>
        <v>41052</v>
      </c>
      <c r="CV31" s="2">
        <f t="shared" si="166"/>
        <v>41469</v>
      </c>
      <c r="CW31" s="2">
        <f t="shared" si="166"/>
        <v>42584</v>
      </c>
      <c r="CX31" s="2">
        <f t="shared" si="166"/>
        <v>42737</v>
      </c>
      <c r="CY31" s="2">
        <f t="shared" si="166"/>
        <v>45132</v>
      </c>
      <c r="CZ31" s="2">
        <f t="shared" si="166"/>
        <v>46321</v>
      </c>
      <c r="DA31" s="2">
        <f t="shared" si="166"/>
        <v>46967</v>
      </c>
      <c r="DB31" s="2">
        <f t="shared" si="166"/>
        <v>47739</v>
      </c>
      <c r="DC31" s="2">
        <f t="shared" si="166"/>
        <v>47841</v>
      </c>
      <c r="DD31" s="2">
        <f t="shared" si="166"/>
        <v>47864</v>
      </c>
      <c r="DE31" s="2">
        <f t="shared" ref="DE31:DI31" si="167">SUM(DE29:DE30)</f>
        <v>49510</v>
      </c>
      <c r="DF31" s="2">
        <f t="shared" si="167"/>
        <v>51352</v>
      </c>
      <c r="DG31" s="2">
        <f t="shared" si="167"/>
        <v>53358</v>
      </c>
      <c r="DH31" s="2">
        <f t="shared" si="167"/>
        <v>54936</v>
      </c>
      <c r="DI31" s="2">
        <f t="shared" si="167"/>
        <v>56750</v>
      </c>
      <c r="DJ31" s="2">
        <f t="shared" ref="DJ31:DO31" si="168">SUM(DJ29:DJ30)</f>
        <v>56869</v>
      </c>
      <c r="DK31" s="2">
        <f t="shared" si="168"/>
        <v>58489</v>
      </c>
      <c r="DL31" s="2">
        <f t="shared" si="168"/>
        <v>59418</v>
      </c>
      <c r="DM31" s="2">
        <f t="shared" si="168"/>
        <v>58385</v>
      </c>
      <c r="DN31" s="2">
        <f t="shared" si="168"/>
        <v>55877</v>
      </c>
      <c r="DO31" s="2">
        <f t="shared" si="168"/>
        <v>54106</v>
      </c>
      <c r="DP31" s="2">
        <f t="shared" ref="DP31:DQ31" si="169">SUM(DP29:DP30)</f>
        <v>53370</v>
      </c>
      <c r="DQ31" s="2">
        <f t="shared" si="169"/>
        <v>51466</v>
      </c>
      <c r="DR31" s="2">
        <f t="shared" ref="DR31:DS31" si="170">SUM(DR29:DR30)</f>
        <v>52437</v>
      </c>
      <c r="DS31" s="2">
        <f t="shared" si="170"/>
        <v>51837</v>
      </c>
      <c r="DT31" s="2">
        <f t="shared" ref="DT31" si="171">SUM(DT29:DT30)</f>
        <v>51409</v>
      </c>
      <c r="DU31" s="2">
        <f t="shared" ref="DU31" si="172">SUM(DU29:DU30)</f>
        <v>52484</v>
      </c>
    </row>
    <row r="32" spans="1:125" ht="13.5" customHeight="1" x14ac:dyDescent="0.2">
      <c r="A32" s="39"/>
      <c r="D32" s="2" t="s">
        <v>59</v>
      </c>
      <c r="Y32" s="14">
        <f t="shared" ref="Y32" si="173">CI32/CI34</f>
        <v>0.69941886455073754</v>
      </c>
      <c r="Z32" s="14">
        <f t="shared" ref="Z32" si="174">CJ32/CJ34</f>
        <v>0.6932118218209693</v>
      </c>
      <c r="AA32" s="14">
        <f t="shared" ref="AA32" si="175">CK32/CK34</f>
        <v>0.69000421762969211</v>
      </c>
      <c r="AB32" s="14">
        <f t="shared" ref="AB32" si="176">CL32/CL34</f>
        <v>0.69180732811856727</v>
      </c>
      <c r="AC32" s="14"/>
      <c r="AD32" s="14"/>
      <c r="AE32" s="14">
        <f t="shared" ref="AE32" si="177">CO32/CO34</f>
        <v>0.66460140437835602</v>
      </c>
      <c r="AF32" s="14">
        <f t="shared" ref="AF32" si="178">CP32/CP34</f>
        <v>0.6578858207691004</v>
      </c>
      <c r="AG32" s="14">
        <f t="shared" ref="AG32" si="179">CQ32/CQ34</f>
        <v>0.66115772523095173</v>
      </c>
      <c r="AH32" s="14">
        <f t="shared" ref="AH32" si="180">CR32/CR34</f>
        <v>0.66080887917262254</v>
      </c>
      <c r="AI32" s="14">
        <f t="shared" ref="AI32" si="181">CS32/CS34</f>
        <v>0.65354330708661412</v>
      </c>
      <c r="AJ32" s="14">
        <f t="shared" ref="AJ32" si="182">CT32/CT34</f>
        <v>0.65122539918306721</v>
      </c>
      <c r="AK32" s="14">
        <f t="shared" ref="AK32" si="183">CU32/CU34</f>
        <v>0.65545419992398324</v>
      </c>
      <c r="AL32" s="14">
        <f t="shared" ref="AL32" si="184">CV32/CV34</f>
        <v>0.64771334276284775</v>
      </c>
      <c r="AM32" s="14">
        <f t="shared" ref="AM32" si="185">CW32/CW34</f>
        <v>0.63342918096651513</v>
      </c>
      <c r="AN32" s="14">
        <f t="shared" ref="AN32" si="186">CX32/CX34</f>
        <v>0.61184448462929475</v>
      </c>
      <c r="AO32" s="14">
        <f t="shared" ref="AO32" si="187">CY32/CY34</f>
        <v>0.61797666564322995</v>
      </c>
      <c r="AP32" s="14">
        <f t="shared" ref="AP32" si="188">CZ32/CZ34</f>
        <v>0.61033295063145809</v>
      </c>
      <c r="AQ32" s="14">
        <f t="shared" ref="AQ32" si="189">DA32/DA34</f>
        <v>0.61583507139419225</v>
      </c>
      <c r="AR32" s="14">
        <f t="shared" ref="AR32" si="190">DB32/DB34</f>
        <v>0.62058252427184468</v>
      </c>
      <c r="AS32" s="14">
        <f t="shared" ref="AS32" si="191">DC32/DC34</f>
        <v>0.60617115063079496</v>
      </c>
      <c r="AT32" s="14">
        <f t="shared" ref="AT32" si="192">DD32/DD34</f>
        <v>0.61404015600173334</v>
      </c>
      <c r="AU32" s="14">
        <f t="shared" ref="AU32:BD32" si="193">DE32/DE34</f>
        <v>0.6028878348214286</v>
      </c>
      <c r="AV32" s="14">
        <f t="shared" si="193"/>
        <v>0.60782493368700263</v>
      </c>
      <c r="AW32" s="14">
        <f t="shared" si="193"/>
        <v>0.60241596638655459</v>
      </c>
      <c r="AX32" s="14">
        <f t="shared" si="193"/>
        <v>0.58327978408944869</v>
      </c>
      <c r="AY32" s="14">
        <f t="shared" si="193"/>
        <v>0.55961665565102447</v>
      </c>
      <c r="AZ32" s="14">
        <f t="shared" si="193"/>
        <v>0.53514188124014717</v>
      </c>
      <c r="BA32" s="14">
        <f t="shared" si="193"/>
        <v>0.51376969386448057</v>
      </c>
      <c r="BB32" s="14">
        <f t="shared" si="193"/>
        <v>0.50085616438356162</v>
      </c>
      <c r="BC32" s="14">
        <f t="shared" si="193"/>
        <v>0.51000137950062074</v>
      </c>
      <c r="BD32" s="14">
        <f t="shared" si="193"/>
        <v>0.5166123778501629</v>
      </c>
      <c r="BE32" s="14">
        <f t="shared" ref="BE32:BK32" si="194">DO32/DO34</f>
        <v>0.51800333260885312</v>
      </c>
      <c r="BF32" s="14">
        <f t="shared" si="194"/>
        <v>0.51995622035753375</v>
      </c>
      <c r="BG32" s="14">
        <f t="shared" si="194"/>
        <v>0.52807767553075868</v>
      </c>
      <c r="BH32" s="14">
        <f t="shared" si="194"/>
        <v>0.50504395446029682</v>
      </c>
      <c r="BI32" s="14">
        <f t="shared" si="194"/>
        <v>0.48796147672552165</v>
      </c>
      <c r="BJ32" s="14">
        <f t="shared" si="194"/>
        <v>0.48630189548000918</v>
      </c>
      <c r="BK32" s="14">
        <f t="shared" si="194"/>
        <v>0.50494883408824021</v>
      </c>
      <c r="BL32" s="38"/>
      <c r="BN32" s="2" t="s">
        <v>59</v>
      </c>
      <c r="CI32" s="2">
        <f>MU!CI32+UMKC!CI32+'S&amp;T'!CI32+UMSL!CI32</f>
        <v>7823</v>
      </c>
      <c r="CJ32" s="2">
        <f>MU!CJ32+UMKC!CJ32+'S&amp;T'!CJ32+UMSL!CJ32</f>
        <v>8139</v>
      </c>
      <c r="CK32" s="2">
        <f>MU!CK32+UMKC!CK32+'S&amp;T'!CK32+UMSL!CK32</f>
        <v>8180</v>
      </c>
      <c r="CL32" s="2">
        <f>MU!CL32+UMKC!CL32+'S&amp;T'!CL32+UMSL!CL32</f>
        <v>8402</v>
      </c>
      <c r="CO32" s="2">
        <f>MU!CO32+UMKC!CO32+'S&amp;T'!CO32+UMSL!CO32</f>
        <v>8045</v>
      </c>
      <c r="CP32" s="2">
        <f>MU!CP32+UMKC!CP32+'S&amp;T'!CP32+UMSL!CP32</f>
        <v>7767</v>
      </c>
      <c r="CQ32" s="2">
        <f>MU!CQ32+UMKC!CQ32+'S&amp;T'!CQ32+UMSL!CQ32</f>
        <v>7801</v>
      </c>
      <c r="CR32" s="2">
        <f>MU!CR32+UMKC!CR32+'S&amp;T'!CR32+UMSL!CR32</f>
        <v>7859</v>
      </c>
      <c r="CS32" s="2">
        <f>MU!CS32+UMKC!CS32+'S&amp;T'!CS32+UMSL!CS32</f>
        <v>7387</v>
      </c>
      <c r="CT32" s="2">
        <f>MU!CT32+UMKC!CT32+'S&amp;T'!CT32+UMSL!CT32</f>
        <v>7015</v>
      </c>
      <c r="CU32" s="2">
        <f>MU!CU32+UMKC!CU32+'S&amp;T'!CU32+UMSL!CU32</f>
        <v>6898</v>
      </c>
      <c r="CV32" s="2">
        <f>MU!CV32+UMKC!CV32+'S&amp;T'!CV32+UMSL!CV32</f>
        <v>6869</v>
      </c>
      <c r="CW32" s="2">
        <f>MU!CW32+UMKC!CW32+'S&amp;T'!CW32+UMSL!CW32</f>
        <v>6829</v>
      </c>
      <c r="CX32" s="2">
        <f>MU!CX32+UMKC!CX32+'S&amp;T'!CX32+UMSL!CX32</f>
        <v>6767</v>
      </c>
      <c r="CY32" s="2">
        <f>MU!CY32+UMKC!CY32+'S&amp;T'!CY32+UMSL!CY32</f>
        <v>8051</v>
      </c>
      <c r="CZ32" s="2">
        <f>MU!CZ32+UMKC!CZ32+'S&amp;T'!CZ32+UMSL!CZ32</f>
        <v>7974</v>
      </c>
      <c r="DA32" s="2">
        <f>MU!DA32+UMKC!DA32+'S&amp;T'!DA32+UMSL!DA32</f>
        <v>7677</v>
      </c>
      <c r="DB32" s="2">
        <f>MU!DB32+UMKC!DB32+'S&amp;T'!DB32+UMSL!DB32</f>
        <v>7990</v>
      </c>
      <c r="DC32" s="2">
        <f>MU!DC32+UMKC!DC32+'S&amp;T'!DC32+UMSL!DC32</f>
        <v>7976</v>
      </c>
      <c r="DD32" s="2">
        <f>MU!DD32+UMKC!DD32+'S&amp;T'!DD32+UMSL!DD32</f>
        <v>8502</v>
      </c>
      <c r="DE32" s="2">
        <f>MU!DE32+UMKC!DE32+'S&amp;T'!DE32+UMSL!DE32</f>
        <v>8643</v>
      </c>
      <c r="DF32" s="2">
        <f>MU!DF32+UMKC!DF32+'S&amp;T'!DF32+UMSL!DF32</f>
        <v>9166</v>
      </c>
      <c r="DG32" s="2">
        <f>MU!DG32+UMKC!DG32+'S&amp;T'!DG32+UMSL!DG32</f>
        <v>9176</v>
      </c>
      <c r="DH32" s="2">
        <f>MU!DH32+UMKC!DH32+'S&amp;T'!DH32+UMSL!DH32</f>
        <v>9077</v>
      </c>
      <c r="DI32" s="2">
        <f>MU!DI32+UMKC!DI32+'S&amp;T'!DI32+UMSL!DI32</f>
        <v>8467</v>
      </c>
      <c r="DJ32" s="2">
        <f>MU!DJ32+UMKC!DJ32+'S&amp;T'!DJ32+UMSL!DJ32</f>
        <v>8147</v>
      </c>
      <c r="DK32" s="2">
        <f>MU!DK32+UMKC!DK32+'S&amp;T'!DK32+UMSL!DK32</f>
        <v>8022</v>
      </c>
      <c r="DL32" s="2">
        <f>MU!DL32+UMKC!DL32+'S&amp;T'!DL32+UMSL!DL32</f>
        <v>7605</v>
      </c>
      <c r="DM32" s="2">
        <f>MU!DM32+UMKC!DM32+'S&amp;T'!DM32+UMSL!DM32</f>
        <v>7394</v>
      </c>
      <c r="DN32" s="2">
        <f>MU!DN32+UMKC!DN32+'S&amp;T'!DN32+UMSL!DN32</f>
        <v>7137</v>
      </c>
      <c r="DO32" s="2">
        <f>MU!DO32+UMKC!DO32+'S&amp;T'!DO32+UMSL!DO32</f>
        <v>7150</v>
      </c>
      <c r="DP32" s="2">
        <f>MU!DP32+UMKC!DP32+'S&amp;T'!DP32+UMSL!DP32</f>
        <v>7126</v>
      </c>
      <c r="DQ32" s="2">
        <f>MU!DQ32+UMKC!DQ32+'S&amp;T'!DQ32+UMSL!DQ32</f>
        <v>7288</v>
      </c>
      <c r="DR32" s="2">
        <f>MU!DR32+UMKC!DR32+'S&amp;T'!DR32+UMSL!DR32</f>
        <v>7009</v>
      </c>
      <c r="DS32" s="2">
        <f>MU!DS32+UMKC!DS32+'S&amp;T'!DS32+UMSL!DS32</f>
        <v>6688</v>
      </c>
      <c r="DT32" s="2">
        <f>MU!DT32+UMKC!DT32+'S&amp;T'!DT32+UMSL!DT32</f>
        <v>6337</v>
      </c>
      <c r="DU32" s="2">
        <f>MU!DU32+UMKC!DU32+'S&amp;T'!DU32+UMSL!DU32</f>
        <v>6020</v>
      </c>
    </row>
    <row r="33" spans="1:125" ht="13.5" customHeight="1" x14ac:dyDescent="0.2">
      <c r="A33" s="39"/>
      <c r="D33" s="2" t="s">
        <v>60</v>
      </c>
      <c r="Y33" s="14">
        <f t="shared" ref="Y33" si="195">CI33/CI34</f>
        <v>0.3005811354492624</v>
      </c>
      <c r="Z33" s="14">
        <f t="shared" ref="Z33" si="196">CJ33/CJ34</f>
        <v>0.30678817817903076</v>
      </c>
      <c r="AA33" s="14">
        <f t="shared" ref="AA33" si="197">CK33/CK34</f>
        <v>0.30999578237030789</v>
      </c>
      <c r="AB33" s="14">
        <f t="shared" ref="AB33" si="198">CL33/CL34</f>
        <v>0.30819267188143268</v>
      </c>
      <c r="AC33" s="14"/>
      <c r="AD33" s="14"/>
      <c r="AE33" s="14">
        <f t="shared" ref="AE33:AT33" si="199">CO33/CO34</f>
        <v>0.33539859562164392</v>
      </c>
      <c r="AF33" s="14">
        <f t="shared" si="199"/>
        <v>0.34211417923089954</v>
      </c>
      <c r="AG33" s="14">
        <f t="shared" si="199"/>
        <v>0.33884227476904821</v>
      </c>
      <c r="AH33" s="14">
        <f t="shared" si="199"/>
        <v>0.33919112082737746</v>
      </c>
      <c r="AI33" s="14">
        <f t="shared" si="199"/>
        <v>0.34645669291338582</v>
      </c>
      <c r="AJ33" s="14">
        <f t="shared" si="199"/>
        <v>0.34877460081693279</v>
      </c>
      <c r="AK33" s="14">
        <f t="shared" si="199"/>
        <v>0.34454580007601671</v>
      </c>
      <c r="AL33" s="14">
        <f t="shared" si="199"/>
        <v>0.3522866572371523</v>
      </c>
      <c r="AM33" s="14">
        <f t="shared" si="199"/>
        <v>0.36657081903348482</v>
      </c>
      <c r="AN33" s="14">
        <f t="shared" si="199"/>
        <v>0.38815551537070525</v>
      </c>
      <c r="AO33" s="14">
        <f t="shared" si="199"/>
        <v>0.38202333435677005</v>
      </c>
      <c r="AP33" s="14">
        <f t="shared" si="199"/>
        <v>0.38966704936854191</v>
      </c>
      <c r="AQ33" s="14">
        <f t="shared" si="199"/>
        <v>0.38416492860580781</v>
      </c>
      <c r="AR33" s="14">
        <f t="shared" si="199"/>
        <v>0.37941747572815532</v>
      </c>
      <c r="AS33" s="14">
        <f t="shared" si="199"/>
        <v>0.39382884936920504</v>
      </c>
      <c r="AT33" s="14">
        <f t="shared" si="199"/>
        <v>0.38595984399826666</v>
      </c>
      <c r="AU33" s="14">
        <f>DE33/DE34</f>
        <v>0.39711216517857145</v>
      </c>
      <c r="AV33" s="14">
        <f t="shared" ref="AV33:BD33" si="200">DF33/DF34</f>
        <v>0.39217506631299737</v>
      </c>
      <c r="AW33" s="14">
        <f t="shared" si="200"/>
        <v>0.39758403361344535</v>
      </c>
      <c r="AX33" s="14">
        <f t="shared" si="200"/>
        <v>0.41672021591055136</v>
      </c>
      <c r="AY33" s="14">
        <f t="shared" si="200"/>
        <v>0.44038334434897553</v>
      </c>
      <c r="AZ33" s="14">
        <f t="shared" si="200"/>
        <v>0.46485811875985289</v>
      </c>
      <c r="BA33" s="14">
        <f t="shared" si="200"/>
        <v>0.48623030613551943</v>
      </c>
      <c r="BB33" s="14">
        <f t="shared" si="200"/>
        <v>0.49914383561643838</v>
      </c>
      <c r="BC33" s="14">
        <f t="shared" si="200"/>
        <v>0.4899986204993792</v>
      </c>
      <c r="BD33" s="14">
        <f t="shared" si="200"/>
        <v>0.48338762214983716</v>
      </c>
      <c r="BE33" s="14">
        <f t="shared" ref="BE33:BK33" si="201">DO33/DO34</f>
        <v>0.48199666739114683</v>
      </c>
      <c r="BF33" s="14">
        <f t="shared" si="201"/>
        <v>0.48004377964246625</v>
      </c>
      <c r="BG33" s="14">
        <f t="shared" si="201"/>
        <v>0.47192232446924137</v>
      </c>
      <c r="BH33" s="14">
        <f t="shared" si="201"/>
        <v>0.49495604553970313</v>
      </c>
      <c r="BI33" s="14">
        <f t="shared" si="201"/>
        <v>0.5120385232744783</v>
      </c>
      <c r="BJ33" s="14">
        <f t="shared" si="201"/>
        <v>0.51369810451999076</v>
      </c>
      <c r="BK33" s="14">
        <f t="shared" si="201"/>
        <v>0.49505116591175979</v>
      </c>
      <c r="BL33" s="38"/>
      <c r="BN33" s="2" t="s">
        <v>60</v>
      </c>
      <c r="CI33" s="2">
        <f>MU!CI33+UMKC!CI33+'S&amp;T'!CI33+UMSL!CI33</f>
        <v>3362</v>
      </c>
      <c r="CJ33" s="2">
        <f>MU!CJ33+UMKC!CJ33+'S&amp;T'!CJ33+UMSL!CJ33</f>
        <v>3602</v>
      </c>
      <c r="CK33" s="2">
        <f>MU!CK33+UMKC!CK33+'S&amp;T'!CK33+UMSL!CK33</f>
        <v>3675</v>
      </c>
      <c r="CL33" s="2">
        <f>MU!CL33+UMKC!CL33+'S&amp;T'!CL33+UMSL!CL33</f>
        <v>3743</v>
      </c>
      <c r="CO33" s="2">
        <f>MU!CO33+UMKC!CO33+'S&amp;T'!CO33+UMSL!CO33</f>
        <v>4060</v>
      </c>
      <c r="CP33" s="2">
        <f>MU!CP33+UMKC!CP33+'S&amp;T'!CP33+UMSL!CP33</f>
        <v>4039</v>
      </c>
      <c r="CQ33" s="2">
        <f>MU!CQ33+UMKC!CQ33+'S&amp;T'!CQ33+UMSL!CQ33</f>
        <v>3998</v>
      </c>
      <c r="CR33" s="2">
        <f>MU!CR33+UMKC!CR33+'S&amp;T'!CR33+UMSL!CR33</f>
        <v>4034</v>
      </c>
      <c r="CS33" s="2">
        <f>MU!CS33+UMKC!CS33+'S&amp;T'!CS33+UMSL!CS33</f>
        <v>3916</v>
      </c>
      <c r="CT33" s="2">
        <f>MU!CT33+UMKC!CT33+'S&amp;T'!CT33+UMSL!CT33</f>
        <v>3757</v>
      </c>
      <c r="CU33" s="2">
        <f>MU!CU33+UMKC!CU33+'S&amp;T'!CU33+UMSL!CU33</f>
        <v>3626</v>
      </c>
      <c r="CV33" s="2">
        <f>MU!CV33+UMKC!CV33+'S&amp;T'!CV33+UMSL!CV33</f>
        <v>3736</v>
      </c>
      <c r="CW33" s="2">
        <f>MU!CW33+UMKC!CW33+'S&amp;T'!CW33+UMSL!CW33</f>
        <v>3952</v>
      </c>
      <c r="CX33" s="2">
        <f>MU!CX33+UMKC!CX33+'S&amp;T'!CX33+UMSL!CX33</f>
        <v>4293</v>
      </c>
      <c r="CY33" s="2">
        <f>MU!CY33+UMKC!CY33+'S&amp;T'!CY33+UMSL!CY33</f>
        <v>4977</v>
      </c>
      <c r="CZ33" s="2">
        <f>MU!CZ33+UMKC!CZ33+'S&amp;T'!CZ33+UMSL!CZ33</f>
        <v>5091</v>
      </c>
      <c r="DA33" s="2">
        <f>MU!DA33+UMKC!DA33+'S&amp;T'!DA33+UMSL!DA33</f>
        <v>4789</v>
      </c>
      <c r="DB33" s="2">
        <f>MU!DB33+UMKC!DB33+'S&amp;T'!DB33+UMSL!DB33</f>
        <v>4885</v>
      </c>
      <c r="DC33" s="2">
        <f>MU!DC33+UMKC!DC33+'S&amp;T'!DC33+UMSL!DC33</f>
        <v>5182</v>
      </c>
      <c r="DD33" s="2">
        <f>MU!DD33+UMKC!DD33+'S&amp;T'!DD33+UMSL!DD33</f>
        <v>5344</v>
      </c>
      <c r="DE33" s="2">
        <f>MU!DE33+UMKC!DE33+'S&amp;T'!DE33+UMSL!DE33</f>
        <v>5693</v>
      </c>
      <c r="DF33" s="2">
        <f>MU!DF33+UMKC!DF33+'S&amp;T'!DF33+UMSL!DF33</f>
        <v>5914</v>
      </c>
      <c r="DG33" s="2">
        <f>MU!DG33+UMKC!DG33+'S&amp;T'!DG33+UMSL!DG33</f>
        <v>6056</v>
      </c>
      <c r="DH33" s="2">
        <f>MU!DH33+UMKC!DH33+'S&amp;T'!DH33+UMSL!DH33</f>
        <v>6485</v>
      </c>
      <c r="DI33" s="2">
        <f>MU!DI33+UMKC!DI33+'S&amp;T'!DI33+UMSL!DI33</f>
        <v>6663</v>
      </c>
      <c r="DJ33" s="2">
        <f>MU!DJ33+UMKC!DJ33+'S&amp;T'!DJ33+UMSL!DJ33</f>
        <v>7077</v>
      </c>
      <c r="DK33" s="2">
        <f>MU!DK33+UMKC!DK33+'S&amp;T'!DK33+UMSL!DK33</f>
        <v>7592</v>
      </c>
      <c r="DL33" s="2">
        <f>MU!DL33+UMKC!DL33+'S&amp;T'!DL33+UMSL!DL33</f>
        <v>7579</v>
      </c>
      <c r="DM33" s="2">
        <f>MU!DM33+UMKC!DM33+'S&amp;T'!DM33+UMSL!DM33</f>
        <v>7104</v>
      </c>
      <c r="DN33" s="2">
        <f>MU!DN33+UMKC!DN33+'S&amp;T'!DN33+UMSL!DN33</f>
        <v>6678</v>
      </c>
      <c r="DO33" s="2">
        <f>MU!DO33+UMKC!DO33+'S&amp;T'!DO33+UMSL!DO33</f>
        <v>6653</v>
      </c>
      <c r="DP33" s="2">
        <f>MU!DP33+UMKC!DP33+'S&amp;T'!DP33+UMSL!DP33</f>
        <v>6579</v>
      </c>
      <c r="DQ33" s="2">
        <f>MU!DQ33+UMKC!DQ33+'S&amp;T'!DQ33+UMSL!DQ33</f>
        <v>6513</v>
      </c>
      <c r="DR33" s="2">
        <f>MU!DR33+UMKC!DR33+'S&amp;T'!DR33+UMSL!DR33</f>
        <v>6869</v>
      </c>
      <c r="DS33" s="2">
        <f>MU!DS33+UMKC!DS33+'S&amp;T'!DS33+UMSL!DS33</f>
        <v>7018</v>
      </c>
      <c r="DT33" s="2">
        <f>MU!DT33+UMKC!DT33+'S&amp;T'!DT33+UMSL!DT33</f>
        <v>6694</v>
      </c>
      <c r="DU33" s="2">
        <f>MU!DU33+UMKC!DU33+'S&amp;T'!DU33+UMSL!DU33</f>
        <v>5902</v>
      </c>
    </row>
    <row r="34" spans="1:125" ht="13.5" customHeight="1" x14ac:dyDescent="0.2">
      <c r="A34" s="39"/>
      <c r="BL34" s="38"/>
      <c r="BN34" s="20" t="s">
        <v>56</v>
      </c>
      <c r="CI34" s="1">
        <f t="shared" ref="CI34:CL34" si="202">SUM(CI32:CI33)</f>
        <v>11185</v>
      </c>
      <c r="CJ34" s="1">
        <f t="shared" si="202"/>
        <v>11741</v>
      </c>
      <c r="CK34" s="1">
        <f t="shared" si="202"/>
        <v>11855</v>
      </c>
      <c r="CL34" s="1">
        <f t="shared" si="202"/>
        <v>12145</v>
      </c>
      <c r="CM34" s="1"/>
      <c r="CN34" s="1"/>
      <c r="CO34" s="1">
        <f t="shared" ref="CO34:DD34" si="203">SUM(CO32:CO33)</f>
        <v>12105</v>
      </c>
      <c r="CP34" s="1">
        <f t="shared" si="203"/>
        <v>11806</v>
      </c>
      <c r="CQ34" s="1">
        <f t="shared" si="203"/>
        <v>11799</v>
      </c>
      <c r="CR34" s="1">
        <f t="shared" si="203"/>
        <v>11893</v>
      </c>
      <c r="CS34" s="1">
        <f t="shared" si="203"/>
        <v>11303</v>
      </c>
      <c r="CT34" s="1">
        <f t="shared" si="203"/>
        <v>10772</v>
      </c>
      <c r="CU34" s="1">
        <f t="shared" si="203"/>
        <v>10524</v>
      </c>
      <c r="CV34" s="1">
        <f t="shared" si="203"/>
        <v>10605</v>
      </c>
      <c r="CW34" s="1">
        <f t="shared" si="203"/>
        <v>10781</v>
      </c>
      <c r="CX34" s="1">
        <f t="shared" si="203"/>
        <v>11060</v>
      </c>
      <c r="CY34" s="1">
        <f t="shared" si="203"/>
        <v>13028</v>
      </c>
      <c r="CZ34" s="1">
        <f t="shared" si="203"/>
        <v>13065</v>
      </c>
      <c r="DA34" s="1">
        <f t="shared" si="203"/>
        <v>12466</v>
      </c>
      <c r="DB34" s="1">
        <f t="shared" si="203"/>
        <v>12875</v>
      </c>
      <c r="DC34" s="1">
        <f t="shared" si="203"/>
        <v>13158</v>
      </c>
      <c r="DD34" s="1">
        <f t="shared" si="203"/>
        <v>13846</v>
      </c>
      <c r="DE34" s="1">
        <f t="shared" ref="DE34:DJ34" si="204">SUM(DE32:DE33)</f>
        <v>14336</v>
      </c>
      <c r="DF34" s="1">
        <f t="shared" si="204"/>
        <v>15080</v>
      </c>
      <c r="DG34" s="1">
        <f t="shared" si="204"/>
        <v>15232</v>
      </c>
      <c r="DH34" s="1">
        <f t="shared" si="204"/>
        <v>15562</v>
      </c>
      <c r="DI34" s="1">
        <f t="shared" si="204"/>
        <v>15130</v>
      </c>
      <c r="DJ34" s="1">
        <f t="shared" si="204"/>
        <v>15224</v>
      </c>
      <c r="DK34" s="1">
        <f t="shared" ref="DK34:DL34" si="205">SUM(DK32:DK33)</f>
        <v>15614</v>
      </c>
      <c r="DL34" s="1">
        <f t="shared" si="205"/>
        <v>15184</v>
      </c>
      <c r="DM34" s="1">
        <f t="shared" ref="DM34:DN34" si="206">SUM(DM32:DM33)</f>
        <v>14498</v>
      </c>
      <c r="DN34" s="1">
        <f t="shared" si="206"/>
        <v>13815</v>
      </c>
      <c r="DO34" s="1">
        <f t="shared" ref="DO34:DP34" si="207">SUM(DO32:DO33)</f>
        <v>13803</v>
      </c>
      <c r="DP34" s="1">
        <f t="shared" si="207"/>
        <v>13705</v>
      </c>
      <c r="DQ34" s="1">
        <f t="shared" ref="DQ34:DR34" si="208">SUM(DQ32:DQ33)</f>
        <v>13801</v>
      </c>
      <c r="DR34" s="1">
        <f t="shared" si="208"/>
        <v>13878</v>
      </c>
      <c r="DS34" s="1">
        <f t="shared" ref="DS34:DT34" si="209">SUM(DS32:DS33)</f>
        <v>13706</v>
      </c>
      <c r="DT34" s="1">
        <f t="shared" si="209"/>
        <v>13031</v>
      </c>
      <c r="DU34" s="1">
        <f t="shared" ref="DU34" si="210">SUM(DU32:DU33)</f>
        <v>11922</v>
      </c>
    </row>
    <row r="35" spans="1:125" ht="13.5" customHeight="1" x14ac:dyDescent="0.2">
      <c r="A35" s="8"/>
      <c r="B35" s="36" t="s">
        <v>67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9"/>
    </row>
    <row r="36" spans="1:125" ht="13.5" customHeight="1" x14ac:dyDescent="0.2">
      <c r="A36" s="8"/>
      <c r="C36" s="3" t="s">
        <v>62</v>
      </c>
      <c r="BL36" s="9"/>
      <c r="BN36" s="2" t="s">
        <v>61</v>
      </c>
    </row>
    <row r="37" spans="1:125" ht="13.5" customHeight="1" x14ac:dyDescent="0.2">
      <c r="A37" s="8"/>
      <c r="D37" s="2" t="s">
        <v>75</v>
      </c>
      <c r="E37" s="14">
        <f t="shared" ref="E37:E38" si="211">BO37/BO$39</f>
        <v>0.85803982137460966</v>
      </c>
      <c r="F37" s="14">
        <f t="shared" ref="F37:F38" si="212">BP37/BP$39</f>
        <v>0.85001707173231522</v>
      </c>
      <c r="G37" s="14">
        <f t="shared" ref="G37:G38" si="213">BQ37/BQ$39</f>
        <v>0.8569194914004189</v>
      </c>
      <c r="H37" s="14">
        <f t="shared" ref="H37:H38" si="214">BR37/BR$39</f>
        <v>0.85896161281413974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>
        <f t="shared" ref="W37:Y38" si="215">CG37/CG$39</f>
        <v>0.77057797708021925</v>
      </c>
      <c r="X37" s="14">
        <f t="shared" si="215"/>
        <v>0.76282100618281634</v>
      </c>
      <c r="Y37" s="14">
        <f t="shared" si="215"/>
        <v>0.73226620447072621</v>
      </c>
      <c r="Z37" s="14">
        <f t="shared" ref="Z37:Z38" si="216">CJ37/CJ$39</f>
        <v>0.72328016836980502</v>
      </c>
      <c r="AA37" s="14">
        <f t="shared" ref="AA37:AA38" si="217">CK37/CK$39</f>
        <v>0.72098942374221608</v>
      </c>
      <c r="AB37" s="14">
        <f t="shared" ref="AB37:AB38" si="218">CL37/CL$39</f>
        <v>0.72278545331365385</v>
      </c>
      <c r="AC37" s="14">
        <f t="shared" ref="AC37:AC38" si="219">CM37/CM$39</f>
        <v>0.7154483084930211</v>
      </c>
      <c r="AD37" s="14">
        <f t="shared" ref="AD37:AD38" si="220">CN37/CN$39</f>
        <v>0.71006849151612061</v>
      </c>
      <c r="AE37" s="14">
        <f t="shared" ref="AE37:AE38" si="221">CO37/CO$39</f>
        <v>0.70314298583654467</v>
      </c>
      <c r="AF37" s="14">
        <f t="shared" ref="AF37:AF38" si="222">CP37/CP$39</f>
        <v>0.69191036644909287</v>
      </c>
      <c r="AG37" s="14">
        <f t="shared" ref="AG37:AG38" si="223">CQ37/CQ$39</f>
        <v>0.69554608034521725</v>
      </c>
      <c r="AH37" s="14">
        <f t="shared" ref="AH37:AH38" si="224">CR37/CR$39</f>
        <v>0.69514626820464931</v>
      </c>
      <c r="AI37" s="14">
        <f t="shared" ref="AI37:AI38" si="225">CS37/CS$39</f>
        <v>0.6980851643587902</v>
      </c>
      <c r="AJ37" s="14">
        <f t="shared" ref="AJ37:AJ38" si="226">CT37/CT$39</f>
        <v>0.69806817334228388</v>
      </c>
      <c r="AK37" s="14">
        <f t="shared" ref="AK37:AK38" si="227">CU37/CU$39</f>
        <v>0.70359543992984508</v>
      </c>
      <c r="AL37" s="14">
        <f t="shared" ref="AL37:AL38" si="228">CV37/CV$39</f>
        <v>0.70578022137018015</v>
      </c>
      <c r="AM37" s="14">
        <f t="shared" ref="AM37:AM38" si="229">CW37/CW$39</f>
        <v>0.69735111779071957</v>
      </c>
      <c r="AN37" s="14">
        <f t="shared" ref="AN37:AN38" si="230">CX37/CX$39</f>
        <v>0.71551582937501468</v>
      </c>
      <c r="AO37" s="14">
        <f t="shared" ref="AO37:AO38" si="231">CY37/CY$39</f>
        <v>0.71155720996188954</v>
      </c>
      <c r="AP37" s="14">
        <f t="shared" ref="AP37:AP38" si="232">CZ37/CZ$39</f>
        <v>0.72083936011744132</v>
      </c>
      <c r="AQ37" s="14">
        <f t="shared" ref="AQ37:AQ38" si="233">DA37/DA$39</f>
        <v>0.72944833606574833</v>
      </c>
      <c r="AR37" s="14">
        <f t="shared" ref="AR37:AR38" si="234">DB37/DB$39</f>
        <v>0.74195102536710023</v>
      </c>
      <c r="AS37" s="14">
        <f t="shared" ref="AS37:AS38" si="235">DC37/DC$39</f>
        <v>0.74839572751405703</v>
      </c>
      <c r="AT37" s="14">
        <f t="shared" ref="AT37:AT38" si="236">DD37/DD$39</f>
        <v>0.75503509944843727</v>
      </c>
      <c r="AU37" s="14">
        <f t="shared" ref="AU37:AY38" si="237">DE37/DE$39</f>
        <v>0.76388608361947086</v>
      </c>
      <c r="AV37" s="14">
        <f t="shared" si="237"/>
        <v>0.76873344757750428</v>
      </c>
      <c r="AW37" s="14">
        <f t="shared" si="237"/>
        <v>0.77306120919074928</v>
      </c>
      <c r="AX37" s="14">
        <f t="shared" si="237"/>
        <v>0.77217125382262997</v>
      </c>
      <c r="AY37" s="14">
        <f t="shared" si="237"/>
        <v>0.76477533039647572</v>
      </c>
      <c r="AZ37" s="14">
        <f t="shared" ref="AZ37:BD38" si="238">DJ37/DJ$39</f>
        <v>0.76628743252035381</v>
      </c>
      <c r="BA37" s="14">
        <f t="shared" si="238"/>
        <v>0.76205782283848245</v>
      </c>
      <c r="BB37" s="14">
        <f t="shared" si="238"/>
        <v>0.74963815678750545</v>
      </c>
      <c r="BC37" s="14">
        <f t="shared" si="238"/>
        <v>0.7269332876595016</v>
      </c>
      <c r="BD37" s="14">
        <f t="shared" si="238"/>
        <v>0.72618429765377523</v>
      </c>
      <c r="BE37" s="14">
        <f t="shared" ref="BE37:BK38" si="239">DO37/DO$39</f>
        <v>0.71663031826414814</v>
      </c>
      <c r="BF37" s="14">
        <f t="shared" si="239"/>
        <v>0.71112984822934233</v>
      </c>
      <c r="BG37" s="14">
        <f t="shared" si="239"/>
        <v>0.73283332685656555</v>
      </c>
      <c r="BH37" s="14">
        <f t="shared" si="239"/>
        <v>0.7081831531170738</v>
      </c>
      <c r="BI37" s="14">
        <f t="shared" si="239"/>
        <v>0.70742905646545906</v>
      </c>
      <c r="BJ37" s="14">
        <f t="shared" si="239"/>
        <v>0.72053531482814293</v>
      </c>
      <c r="BK37" s="14">
        <f t="shared" si="239"/>
        <v>0.73168965780047257</v>
      </c>
      <c r="BL37" s="9"/>
      <c r="BN37" s="2" t="s">
        <v>75</v>
      </c>
      <c r="BO37" s="2">
        <f>MU!BO37+UMKC!BO37+'S&amp;T'!BO37+UMSL!BO37</f>
        <v>25555</v>
      </c>
      <c r="BP37" s="2">
        <f>MU!BP37+UMKC!BP37+'S&amp;T'!BP37+UMSL!BP37</f>
        <v>27385</v>
      </c>
      <c r="BQ37" s="2">
        <f>MU!BQ37+UMKC!BQ37+'S&amp;T'!BQ37+UMSL!BQ37</f>
        <v>29047</v>
      </c>
      <c r="BR37" s="2">
        <f>MU!BR37+UMKC!BR37+'S&amp;T'!BR37+UMSL!BR37</f>
        <v>31103</v>
      </c>
      <c r="CG37" s="2">
        <f>MU!CG37+UMKC!CG37+'S&amp;T'!CG37+UMSL!CG37</f>
        <v>30931</v>
      </c>
      <c r="CH37" s="2">
        <f>MU!CH37+UMKC!CH37+'S&amp;T'!CH37+UMSL!CH37</f>
        <v>29734</v>
      </c>
      <c r="CI37" s="2">
        <f>MU!CI37+UMKC!CI37+'S&amp;T'!CI37+UMSL!CI37</f>
        <v>28729</v>
      </c>
      <c r="CJ37" s="2">
        <f>MU!CJ37+UMKC!CJ37+'S&amp;T'!CJ37+UMSL!CJ37</f>
        <v>28524</v>
      </c>
      <c r="CK37" s="2">
        <f>MU!CK37+UMKC!CK37+'S&amp;T'!CK37+UMSL!CK37</f>
        <v>29177</v>
      </c>
      <c r="CL37" s="2">
        <f>MU!CL37+UMKC!CL37+'S&amp;T'!CL37+UMSL!CL37</f>
        <v>29872</v>
      </c>
      <c r="CM37" s="2">
        <f>MU!CM37+UMKC!CM37+'S&amp;T'!CM37+UMSL!CM37</f>
        <v>30242</v>
      </c>
      <c r="CN37" s="2">
        <f>MU!CN37+UMKC!CN37+'S&amp;T'!CN37+UMSL!CN37</f>
        <v>29754</v>
      </c>
      <c r="CO37" s="2">
        <f>MU!CO37+UMKC!CO37+'S&amp;T'!CO37+UMSL!CO37</f>
        <v>28099</v>
      </c>
      <c r="CP37" s="2">
        <f>MU!CP37+UMKC!CP37+'S&amp;T'!CP37+UMSL!CP37</f>
        <v>26925</v>
      </c>
      <c r="CQ37" s="2">
        <f>MU!CQ37+UMKC!CQ37+'S&amp;T'!CQ37+UMSL!CQ37</f>
        <v>27079</v>
      </c>
      <c r="CR37" s="2">
        <f>MU!CR37+UMKC!CR37+'S&amp;T'!CR37+UMSL!CR37</f>
        <v>27541</v>
      </c>
      <c r="CS37" s="2">
        <f>MU!CS37+UMKC!CS37+'S&amp;T'!CS37+UMSL!CS37</f>
        <v>28181</v>
      </c>
      <c r="CT37" s="2">
        <f>MU!CT37+UMKC!CT37+'S&amp;T'!CT37+UMSL!CT37</f>
        <v>28077</v>
      </c>
      <c r="CU37" s="2">
        <f>MU!CU37+UMKC!CU37+'S&amp;T'!CU37+UMSL!CU37</f>
        <v>28884</v>
      </c>
      <c r="CV37" s="2">
        <f>MU!CV37+UMKC!CV37+'S&amp;T'!CV37+UMSL!CV37</f>
        <v>29268</v>
      </c>
      <c r="CW37" s="2">
        <f>MU!CW37+UMKC!CW37+'S&amp;T'!CW37+UMSL!CW37</f>
        <v>29696</v>
      </c>
      <c r="CX37" s="2">
        <f>MU!CX37+UMKC!CX37+'S&amp;T'!CX37+UMSL!CX37</f>
        <v>30579</v>
      </c>
      <c r="CY37" s="2">
        <f>MU!CY37+UMKC!CY37+'S&amp;T'!CY37+UMSL!CY37</f>
        <v>32114</v>
      </c>
      <c r="CZ37" s="2">
        <f>MU!CZ37+UMKC!CZ37+'S&amp;T'!CZ37+UMSL!CZ37</f>
        <v>33390</v>
      </c>
      <c r="DA37" s="2">
        <f>MU!DA37+UMKC!DA37+'S&amp;T'!DA37+UMSL!DA37</f>
        <v>34260</v>
      </c>
      <c r="DB37" s="2">
        <f>MU!DB37+UMKC!DB37+'S&amp;T'!DB37+UMSL!DB37</f>
        <v>35420</v>
      </c>
      <c r="DC37" s="2">
        <f>MU!DC37+UMKC!DC37+'S&amp;T'!DC37+UMSL!DC37</f>
        <v>35804</v>
      </c>
      <c r="DD37" s="2">
        <f>MU!DD37+UMKC!DD37+'S&amp;T'!DD37+UMSL!DD37</f>
        <v>36139</v>
      </c>
      <c r="DE37" s="2">
        <f>MU!DE37+UMKC!DE37+'S&amp;T'!DE37+UMSL!DE37</f>
        <v>37820</v>
      </c>
      <c r="DF37" s="2">
        <f>MU!DF37+UMKC!DF37+'S&amp;T'!DF37+UMSL!DF37</f>
        <v>39476</v>
      </c>
      <c r="DG37" s="2">
        <f>MU!DG37+UMKC!DG37+'S&amp;T'!DG37+UMSL!DG37</f>
        <v>41249</v>
      </c>
      <c r="DH37" s="2">
        <f>MU!DH37+UMKC!DH37+'S&amp;T'!DH37+UMSL!DH37</f>
        <v>42420</v>
      </c>
      <c r="DI37" s="2">
        <f>MU!DI37+UMKC!DI37+'S&amp;T'!DI37+UMSL!DI37</f>
        <v>43401</v>
      </c>
      <c r="DJ37" s="2">
        <f>MU!DJ37+UMKC!DJ37+'S&amp;T'!DJ37+UMSL!DJ37</f>
        <v>43578</v>
      </c>
      <c r="DK37" s="2">
        <f>MU!DK37+UMKC!DK37+'S&amp;T'!DK37+UMSL!DK37</f>
        <v>44572</v>
      </c>
      <c r="DL37" s="2">
        <f>MU!DL37+UMKC!DL37+'S&amp;T'!DL37+UMSL!DL37</f>
        <v>44542</v>
      </c>
      <c r="DM37" s="2">
        <f>MU!DM37+UMKC!DM37+'S&amp;T'!DM37+UMSL!DM37</f>
        <v>42442</v>
      </c>
      <c r="DN37" s="2">
        <f>MU!DN37+UMKC!DN37+'S&amp;T'!DN37+UMSL!DN37</f>
        <v>40577</v>
      </c>
      <c r="DO37" s="2">
        <f>MU!DO37+UMKC!DO37+'S&amp;T'!DO37+UMSL!DO37</f>
        <v>38774</v>
      </c>
      <c r="DP37" s="2">
        <f>MU!DP37+UMKC!DP37+'S&amp;T'!DP37+UMSL!DP37</f>
        <v>37953</v>
      </c>
      <c r="DQ37" s="2">
        <f>MU!DQ37+UMKC!DQ37+'S&amp;T'!DQ37+UMSL!DQ37</f>
        <v>37716</v>
      </c>
      <c r="DR37" s="2">
        <f>MU!DR37+UMKC!DR37+'S&amp;T'!DR37+UMSL!DR37</f>
        <v>37135</v>
      </c>
      <c r="DS37" s="2">
        <f>MU!DS37+UMKC!DS37+'S&amp;T'!DS37+UMSL!DS37</f>
        <v>36671</v>
      </c>
      <c r="DT37" s="2">
        <f>MU!DT37+UMKC!DT37+'S&amp;T'!DT37+UMSL!DT37</f>
        <v>37042</v>
      </c>
      <c r="DU37" s="2">
        <f>MU!DU37+UMKC!DU37+'S&amp;T'!DU37+UMSL!DU37</f>
        <v>38402</v>
      </c>
    </row>
    <row r="38" spans="1:125" ht="13.5" customHeight="1" x14ac:dyDescent="0.2">
      <c r="A38" s="8"/>
      <c r="D38" s="2" t="s">
        <v>76</v>
      </c>
      <c r="E38" s="14">
        <f t="shared" si="211"/>
        <v>0.14196017862539032</v>
      </c>
      <c r="F38" s="14">
        <f t="shared" si="212"/>
        <v>0.14998292826768475</v>
      </c>
      <c r="G38" s="14">
        <f t="shared" si="213"/>
        <v>0.14308050859958107</v>
      </c>
      <c r="H38" s="14">
        <f t="shared" si="214"/>
        <v>0.14103838718586026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>
        <f t="shared" si="215"/>
        <v>0.22942202291978075</v>
      </c>
      <c r="X38" s="14">
        <f t="shared" si="215"/>
        <v>0.2371789938171836</v>
      </c>
      <c r="Y38" s="14">
        <f t="shared" si="215"/>
        <v>0.26773379552927384</v>
      </c>
      <c r="Z38" s="14">
        <f t="shared" si="216"/>
        <v>0.27671983163019498</v>
      </c>
      <c r="AA38" s="14">
        <f t="shared" si="217"/>
        <v>0.27901057625778392</v>
      </c>
      <c r="AB38" s="14">
        <f t="shared" si="218"/>
        <v>0.27721454668634615</v>
      </c>
      <c r="AC38" s="14">
        <f t="shared" si="219"/>
        <v>0.28455169150697895</v>
      </c>
      <c r="AD38" s="14">
        <f t="shared" si="220"/>
        <v>0.28993150848387944</v>
      </c>
      <c r="AE38" s="14">
        <f t="shared" si="221"/>
        <v>0.29685701416345528</v>
      </c>
      <c r="AF38" s="14">
        <f t="shared" si="222"/>
        <v>0.30808963355090713</v>
      </c>
      <c r="AG38" s="14">
        <f t="shared" si="223"/>
        <v>0.30445391965478269</v>
      </c>
      <c r="AH38" s="14">
        <f t="shared" si="224"/>
        <v>0.30485373179535069</v>
      </c>
      <c r="AI38" s="14">
        <f t="shared" si="225"/>
        <v>0.30191483564120986</v>
      </c>
      <c r="AJ38" s="14">
        <f t="shared" si="226"/>
        <v>0.30193182665771612</v>
      </c>
      <c r="AK38" s="14">
        <f t="shared" si="227"/>
        <v>0.29640456007015492</v>
      </c>
      <c r="AL38" s="14">
        <f t="shared" si="228"/>
        <v>0.29421977862981985</v>
      </c>
      <c r="AM38" s="14">
        <f t="shared" si="229"/>
        <v>0.30264888220928049</v>
      </c>
      <c r="AN38" s="14">
        <f t="shared" si="230"/>
        <v>0.28448417062498538</v>
      </c>
      <c r="AO38" s="14">
        <f t="shared" si="231"/>
        <v>0.28844279003811041</v>
      </c>
      <c r="AP38" s="14">
        <f t="shared" si="232"/>
        <v>0.27916063988255868</v>
      </c>
      <c r="AQ38" s="14">
        <f t="shared" si="233"/>
        <v>0.27055166393425173</v>
      </c>
      <c r="AR38" s="14">
        <f t="shared" si="234"/>
        <v>0.25804897463289972</v>
      </c>
      <c r="AS38" s="14">
        <f t="shared" si="235"/>
        <v>0.25160427248594303</v>
      </c>
      <c r="AT38" s="14">
        <f t="shared" si="236"/>
        <v>0.24496490055156275</v>
      </c>
      <c r="AU38" s="14">
        <f t="shared" si="237"/>
        <v>0.2361139163805292</v>
      </c>
      <c r="AV38" s="14">
        <f t="shared" si="237"/>
        <v>0.23126655242249572</v>
      </c>
      <c r="AW38" s="14">
        <f t="shared" si="237"/>
        <v>0.22693879080925072</v>
      </c>
      <c r="AX38" s="14">
        <f t="shared" si="237"/>
        <v>0.22782874617737003</v>
      </c>
      <c r="AY38" s="14">
        <f t="shared" si="237"/>
        <v>0.23522466960352423</v>
      </c>
      <c r="AZ38" s="14">
        <f t="shared" si="238"/>
        <v>0.23371256747964619</v>
      </c>
      <c r="BA38" s="14">
        <f t="shared" si="238"/>
        <v>0.23794217716151755</v>
      </c>
      <c r="BB38" s="14">
        <f t="shared" si="238"/>
        <v>0.25036184321249455</v>
      </c>
      <c r="BC38" s="14">
        <f t="shared" si="238"/>
        <v>0.2730667123404984</v>
      </c>
      <c r="BD38" s="14">
        <f t="shared" si="238"/>
        <v>0.27381570234622477</v>
      </c>
      <c r="BE38" s="14">
        <f t="shared" si="239"/>
        <v>0.28336968173585186</v>
      </c>
      <c r="BF38" s="14">
        <f t="shared" si="239"/>
        <v>0.28887015177065767</v>
      </c>
      <c r="BG38" s="14">
        <f t="shared" si="239"/>
        <v>0.26716667314343451</v>
      </c>
      <c r="BH38" s="14">
        <f t="shared" si="239"/>
        <v>0.2918168468829262</v>
      </c>
      <c r="BI38" s="14">
        <f t="shared" si="239"/>
        <v>0.29257094353454094</v>
      </c>
      <c r="BJ38" s="14">
        <f t="shared" si="239"/>
        <v>0.27946468517185707</v>
      </c>
      <c r="BK38" s="14">
        <f t="shared" si="239"/>
        <v>0.26831034219952749</v>
      </c>
      <c r="BL38" s="9"/>
      <c r="BN38" s="2" t="s">
        <v>76</v>
      </c>
      <c r="BO38" s="2">
        <f>MU!BO38+UMKC!BO38+'S&amp;T'!BO38+UMSL!BO38</f>
        <v>4228</v>
      </c>
      <c r="BP38" s="2">
        <f>MU!BP38+UMKC!BP38+'S&amp;T'!BP38+UMSL!BP38</f>
        <v>4832</v>
      </c>
      <c r="BQ38" s="2">
        <f>MU!BQ38+UMKC!BQ38+'S&amp;T'!BQ38+UMSL!BQ38</f>
        <v>4850</v>
      </c>
      <c r="BR38" s="2">
        <f>MU!BR38+UMKC!BR38+'S&amp;T'!BR38+UMSL!BR38</f>
        <v>5107</v>
      </c>
      <c r="CG38" s="2">
        <f>MU!CG38+UMKC!CG38+'S&amp;T'!CG38+UMSL!CG38</f>
        <v>9209</v>
      </c>
      <c r="CH38" s="2">
        <f>MU!CH38+UMKC!CH38+'S&amp;T'!CH38+UMSL!CH38</f>
        <v>9245</v>
      </c>
      <c r="CI38" s="2">
        <f>MU!CI38+UMKC!CI38+'S&amp;T'!CI38+UMSL!CI38</f>
        <v>10504</v>
      </c>
      <c r="CJ38" s="2">
        <f>MU!CJ38+UMKC!CJ38+'S&amp;T'!CJ38+UMSL!CJ38</f>
        <v>10913</v>
      </c>
      <c r="CK38" s="2">
        <f>MU!CK38+UMKC!CK38+'S&amp;T'!CK38+UMSL!CK38</f>
        <v>11291</v>
      </c>
      <c r="CL38" s="2">
        <f>MU!CL38+UMKC!CL38+'S&amp;T'!CL38+UMSL!CL38</f>
        <v>11457</v>
      </c>
      <c r="CM38" s="2">
        <f>MU!CM38+UMKC!CM38+'S&amp;T'!CM38+UMSL!CM38</f>
        <v>12028</v>
      </c>
      <c r="CN38" s="2">
        <f>MU!CN38+UMKC!CN38+'S&amp;T'!CN38+UMSL!CN38</f>
        <v>12149</v>
      </c>
      <c r="CO38" s="2">
        <f>MU!CO38+UMKC!CO38+'S&amp;T'!CO38+UMSL!CO38</f>
        <v>11863</v>
      </c>
      <c r="CP38" s="2">
        <f>MU!CP38+UMKC!CP38+'S&amp;T'!CP38+UMSL!CP38</f>
        <v>11989</v>
      </c>
      <c r="CQ38" s="2">
        <f>MU!CQ38+UMKC!CQ38+'S&amp;T'!CQ38+UMSL!CQ38</f>
        <v>11853</v>
      </c>
      <c r="CR38" s="2">
        <f>MU!CR38+UMKC!CR38+'S&amp;T'!CR38+UMSL!CR38</f>
        <v>12078</v>
      </c>
      <c r="CS38" s="2">
        <f>MU!CS38+UMKC!CS38+'S&amp;T'!CS38+UMSL!CS38</f>
        <v>12188</v>
      </c>
      <c r="CT38" s="2">
        <f>MU!CT38+UMKC!CT38+'S&amp;T'!CT38+UMSL!CT38</f>
        <v>12144</v>
      </c>
      <c r="CU38" s="2">
        <f>MU!CU38+UMKC!CU38+'S&amp;T'!CU38+UMSL!CU38</f>
        <v>12168</v>
      </c>
      <c r="CV38" s="2">
        <f>MU!CV38+UMKC!CV38+'S&amp;T'!CV38+UMSL!CV38</f>
        <v>12201</v>
      </c>
      <c r="CW38" s="2">
        <f>MU!CW38+UMKC!CW38+'S&amp;T'!CW38+UMSL!CW38</f>
        <v>12888</v>
      </c>
      <c r="CX38" s="2">
        <f>MU!CX38+UMKC!CX38+'S&amp;T'!CX38+UMSL!CX38</f>
        <v>12158</v>
      </c>
      <c r="CY38" s="2">
        <f>MU!CY38+UMKC!CY38+'S&amp;T'!CY38+UMSL!CY38</f>
        <v>13018</v>
      </c>
      <c r="CZ38" s="2">
        <f>MU!CZ38+UMKC!CZ38+'S&amp;T'!CZ38+UMSL!CZ38</f>
        <v>12931</v>
      </c>
      <c r="DA38" s="2">
        <f>MU!DA38+UMKC!DA38+'S&amp;T'!DA38+UMSL!DA38</f>
        <v>12707</v>
      </c>
      <c r="DB38" s="2">
        <f>MU!DB38+UMKC!DB38+'S&amp;T'!DB38+UMSL!DB38</f>
        <v>12319</v>
      </c>
      <c r="DC38" s="2">
        <f>MU!DC38+UMKC!DC38+'S&amp;T'!DC38+UMSL!DC38</f>
        <v>12037</v>
      </c>
      <c r="DD38" s="2">
        <f>MU!DD38+UMKC!DD38+'S&amp;T'!DD38+UMSL!DD38</f>
        <v>11725</v>
      </c>
      <c r="DE38" s="2">
        <f>MU!DE38+UMKC!DE38+'S&amp;T'!DE38+UMSL!DE38</f>
        <v>11690</v>
      </c>
      <c r="DF38" s="2">
        <f>MU!DF38+UMKC!DF38+'S&amp;T'!DF38+UMSL!DF38</f>
        <v>11876</v>
      </c>
      <c r="DG38" s="2">
        <f>MU!DG38+UMKC!DG38+'S&amp;T'!DG38+UMSL!DG38</f>
        <v>12109</v>
      </c>
      <c r="DH38" s="2">
        <f>MU!DH38+UMKC!DH38+'S&amp;T'!DH38+UMSL!DH38</f>
        <v>12516</v>
      </c>
      <c r="DI38" s="2">
        <f>MU!DI38+UMKC!DI38+'S&amp;T'!DI38+UMSL!DI38</f>
        <v>13349</v>
      </c>
      <c r="DJ38" s="2">
        <f>MU!DJ38+UMKC!DJ38+'S&amp;T'!DJ38+UMSL!DJ38</f>
        <v>13291</v>
      </c>
      <c r="DK38" s="2">
        <f>MU!DK38+UMKC!DK38+'S&amp;T'!DK38+UMSL!DK38</f>
        <v>13917</v>
      </c>
      <c r="DL38" s="2">
        <f>MU!DL38+UMKC!DL38+'S&amp;T'!DL38+UMSL!DL38</f>
        <v>14876</v>
      </c>
      <c r="DM38" s="2">
        <f>MU!DM38+UMKC!DM38+'S&amp;T'!DM38+UMSL!DM38</f>
        <v>15943</v>
      </c>
      <c r="DN38" s="2">
        <f>MU!DN38+UMKC!DN38+'S&amp;T'!DN38+UMSL!DN38</f>
        <v>15300</v>
      </c>
      <c r="DO38" s="2">
        <f>MU!DO38+UMKC!DO38+'S&amp;T'!DO38+UMSL!DO38</f>
        <v>15332</v>
      </c>
      <c r="DP38" s="2">
        <f>MU!DP38+UMKC!DP38+'S&amp;T'!DP38+UMSL!DP38</f>
        <v>15417</v>
      </c>
      <c r="DQ38" s="2">
        <f>MU!DQ38+UMKC!DQ38+'S&amp;T'!DQ38+UMSL!DQ38</f>
        <v>13750</v>
      </c>
      <c r="DR38" s="2">
        <f>MU!DR38+UMKC!DR38+'S&amp;T'!DR38+UMSL!DR38</f>
        <v>15302</v>
      </c>
      <c r="DS38" s="2">
        <f>MU!DS38+UMKC!DS38+'S&amp;T'!DS38+UMSL!DS38</f>
        <v>15166</v>
      </c>
      <c r="DT38" s="2">
        <f>MU!DT38+UMKC!DT38+'S&amp;T'!DT38+UMSL!DT38</f>
        <v>14367</v>
      </c>
      <c r="DU38" s="2">
        <f>MU!DU38+UMKC!DU38+'S&amp;T'!DU38+UMSL!DU38</f>
        <v>14082</v>
      </c>
    </row>
    <row r="39" spans="1:125" ht="13.5" customHeight="1" x14ac:dyDescent="0.2">
      <c r="A39" s="8"/>
      <c r="C39" s="3" t="s">
        <v>63</v>
      </c>
      <c r="BL39" s="9"/>
      <c r="BN39" s="20" t="s">
        <v>111</v>
      </c>
      <c r="BO39" s="2">
        <f t="shared" ref="BO39:BR39" si="240">SUM(BO37:BO38)</f>
        <v>29783</v>
      </c>
      <c r="BP39" s="2">
        <f t="shared" si="240"/>
        <v>32217</v>
      </c>
      <c r="BQ39" s="2">
        <f t="shared" si="240"/>
        <v>33897</v>
      </c>
      <c r="BR39" s="2">
        <f t="shared" si="240"/>
        <v>36210</v>
      </c>
      <c r="CG39" s="2">
        <f t="shared" ref="CG39:CH39" si="241">SUM(CG37:CG38)</f>
        <v>40140</v>
      </c>
      <c r="CH39" s="2">
        <f t="shared" si="241"/>
        <v>38979</v>
      </c>
      <c r="CI39" s="2">
        <f t="shared" ref="CI39:CK39" si="242">SUM(CI37:CI38)</f>
        <v>39233</v>
      </c>
      <c r="CJ39" s="2">
        <f t="shared" si="242"/>
        <v>39437</v>
      </c>
      <c r="CK39" s="2">
        <f t="shared" si="242"/>
        <v>40468</v>
      </c>
      <c r="CL39" s="2">
        <f t="shared" ref="CL39:CT39" si="243">SUM(CL37:CL38)</f>
        <v>41329</v>
      </c>
      <c r="CM39" s="2">
        <f t="shared" si="243"/>
        <v>42270</v>
      </c>
      <c r="CN39" s="2">
        <f t="shared" si="243"/>
        <v>41903</v>
      </c>
      <c r="CO39" s="2">
        <f t="shared" si="243"/>
        <v>39962</v>
      </c>
      <c r="CP39" s="2">
        <f t="shared" si="243"/>
        <v>38914</v>
      </c>
      <c r="CQ39" s="2">
        <f t="shared" si="243"/>
        <v>38932</v>
      </c>
      <c r="CR39" s="2">
        <f t="shared" si="243"/>
        <v>39619</v>
      </c>
      <c r="CS39" s="2">
        <f t="shared" si="243"/>
        <v>40369</v>
      </c>
      <c r="CT39" s="2">
        <f t="shared" si="243"/>
        <v>40221</v>
      </c>
      <c r="CU39" s="2">
        <f t="shared" ref="CU39:DD39" si="244">SUM(CU37:CU38)</f>
        <v>41052</v>
      </c>
      <c r="CV39" s="2">
        <f t="shared" si="244"/>
        <v>41469</v>
      </c>
      <c r="CW39" s="2">
        <f t="shared" si="244"/>
        <v>42584</v>
      </c>
      <c r="CX39" s="2">
        <f t="shared" si="244"/>
        <v>42737</v>
      </c>
      <c r="CY39" s="2">
        <f t="shared" si="244"/>
        <v>45132</v>
      </c>
      <c r="CZ39" s="2">
        <f t="shared" si="244"/>
        <v>46321</v>
      </c>
      <c r="DA39" s="2">
        <f t="shared" si="244"/>
        <v>46967</v>
      </c>
      <c r="DB39" s="2">
        <f t="shared" si="244"/>
        <v>47739</v>
      </c>
      <c r="DC39" s="2">
        <f t="shared" si="244"/>
        <v>47841</v>
      </c>
      <c r="DD39" s="2">
        <f t="shared" si="244"/>
        <v>47864</v>
      </c>
      <c r="DE39" s="2">
        <f t="shared" ref="DE39:DI39" si="245">SUM(DE37:DE38)</f>
        <v>49510</v>
      </c>
      <c r="DF39" s="2">
        <f t="shared" si="245"/>
        <v>51352</v>
      </c>
      <c r="DG39" s="2">
        <f t="shared" si="245"/>
        <v>53358</v>
      </c>
      <c r="DH39" s="2">
        <f t="shared" si="245"/>
        <v>54936</v>
      </c>
      <c r="DI39" s="2">
        <f t="shared" si="245"/>
        <v>56750</v>
      </c>
      <c r="DJ39" s="2">
        <f t="shared" ref="DJ39:DO39" si="246">SUM(DJ37:DJ38)</f>
        <v>56869</v>
      </c>
      <c r="DK39" s="2">
        <f t="shared" si="246"/>
        <v>58489</v>
      </c>
      <c r="DL39" s="2">
        <f t="shared" si="246"/>
        <v>59418</v>
      </c>
      <c r="DM39" s="2">
        <f t="shared" si="246"/>
        <v>58385</v>
      </c>
      <c r="DN39" s="2">
        <f t="shared" si="246"/>
        <v>55877</v>
      </c>
      <c r="DO39" s="2">
        <f t="shared" si="246"/>
        <v>54106</v>
      </c>
      <c r="DP39" s="2">
        <f t="shared" ref="DP39:DQ39" si="247">SUM(DP37:DP38)</f>
        <v>53370</v>
      </c>
      <c r="DQ39" s="2">
        <f t="shared" si="247"/>
        <v>51466</v>
      </c>
      <c r="DR39" s="2">
        <f t="shared" ref="DR39:DS39" si="248">SUM(DR37:DR38)</f>
        <v>52437</v>
      </c>
      <c r="DS39" s="2">
        <f t="shared" si="248"/>
        <v>51837</v>
      </c>
      <c r="DT39" s="2">
        <f t="shared" ref="DT39" si="249">SUM(DT37:DT38)</f>
        <v>51409</v>
      </c>
      <c r="DU39" s="2">
        <f t="shared" ref="DU39" si="250">SUM(DU37:DU38)</f>
        <v>52484</v>
      </c>
    </row>
    <row r="40" spans="1:125" ht="13.5" customHeight="1" x14ac:dyDescent="0.2">
      <c r="A40" s="8"/>
      <c r="D40" s="2" t="s">
        <v>75</v>
      </c>
      <c r="E40" s="14">
        <f>BO40/BO$42</f>
        <v>0.54167227682779051</v>
      </c>
      <c r="F40" s="14">
        <f t="shared" ref="F40:F41" si="251">BP40/BP$42</f>
        <v>0.56978028722229046</v>
      </c>
      <c r="G40" s="14">
        <f t="shared" ref="G40:G41" si="252">BQ40/BQ$42</f>
        <v>0.54617299989173973</v>
      </c>
      <c r="H40" s="14">
        <f t="shared" ref="H40:H41" si="253">BR40/BR$42</f>
        <v>0.52032838154808447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>
        <f t="shared" ref="W40:Y41" si="254">CG40/CG$42</f>
        <v>0.29023358469744343</v>
      </c>
      <c r="X40" s="14">
        <f t="shared" si="254"/>
        <v>0.2936796222302942</v>
      </c>
      <c r="Y40" s="14">
        <f t="shared" si="254"/>
        <v>0.28958426464014303</v>
      </c>
      <c r="Z40" s="14">
        <f t="shared" ref="Z40:Z41" si="255">CJ40/CJ$42</f>
        <v>0.2977599863725407</v>
      </c>
      <c r="AA40" s="14">
        <f t="shared" ref="AA40:AA41" si="256">CK40/CK$42</f>
        <v>0.3003795866722902</v>
      </c>
      <c r="AB40" s="14">
        <f t="shared" ref="AB40:AB41" si="257">CL40/CL$42</f>
        <v>0.30185261424454507</v>
      </c>
      <c r="AC40" s="14">
        <f t="shared" ref="AC40:AC41" si="258">CM40/CM$42</f>
        <v>0.30406333306406008</v>
      </c>
      <c r="AD40" s="14">
        <f t="shared" ref="AD40:AD41" si="259">CN40/CN$42</f>
        <v>0.30864584967833048</v>
      </c>
      <c r="AE40" s="14">
        <f t="shared" ref="AE40:AE41" si="260">CO40/CO$42</f>
        <v>0.31639818256918628</v>
      </c>
      <c r="AF40" s="14">
        <f t="shared" ref="AF40:AF41" si="261">CP40/CP$42</f>
        <v>0.39158055226156191</v>
      </c>
      <c r="AG40" s="14">
        <f t="shared" ref="AG40:AG41" si="262">CQ40/CQ$42</f>
        <v>0.38681244173235019</v>
      </c>
      <c r="AH40" s="14">
        <f t="shared" ref="AH40:AH41" si="263">CR40/CR$42</f>
        <v>0.3300848525581786</v>
      </c>
      <c r="AI40" s="14">
        <f t="shared" ref="AI40:AI41" si="264">CS40/CS$42</f>
        <v>0.33168185437494468</v>
      </c>
      <c r="AJ40" s="14">
        <f t="shared" ref="AJ40:AJ41" si="265">CT40/CT$42</f>
        <v>0.34608243594504268</v>
      </c>
      <c r="AK40" s="14">
        <f t="shared" ref="AK40:AK41" si="266">CU40/CU$42</f>
        <v>0.35180081725743612</v>
      </c>
      <c r="AL40" s="14">
        <f t="shared" ref="AL40:AL41" si="267">CV40/CV$42</f>
        <v>0.3668081093823668</v>
      </c>
      <c r="AM40" s="14">
        <f t="shared" ref="AM40:AM41" si="268">CW40/CW$42</f>
        <v>0.39458306279565902</v>
      </c>
      <c r="AN40" s="14">
        <f t="shared" ref="AN40:AN41" si="269">CX40/CX$42</f>
        <v>0.39638336347197106</v>
      </c>
      <c r="AO40" s="14">
        <f t="shared" ref="AO40:AO41" si="270">CY40/CY$42</f>
        <v>0.39292293521645688</v>
      </c>
      <c r="AP40" s="14">
        <f t="shared" ref="AP40:AP41" si="271">CZ40/CZ$42</f>
        <v>0.39127105666156203</v>
      </c>
      <c r="AQ40" s="14">
        <f t="shared" ref="AQ40:AQ41" si="272">DA40/DA$42</f>
        <v>0.39443285737205197</v>
      </c>
      <c r="AR40" s="14">
        <f t="shared" ref="AR40:AR41" si="273">DB40/DB$42</f>
        <v>0.40365048543689319</v>
      </c>
      <c r="AS40" s="14">
        <f t="shared" ref="AS40:AS41" si="274">DC40/DC$42</f>
        <v>0.41024471804225565</v>
      </c>
      <c r="AT40" s="14">
        <f t="shared" ref="AT40:AT41" si="275">DD40/DD$42</f>
        <v>0.38817072290026722</v>
      </c>
      <c r="AU40" s="14">
        <f t="shared" ref="AU40:AY41" si="276">DE40/DE$42</f>
        <v>0.38413783482142855</v>
      </c>
      <c r="AV40" s="14">
        <f t="shared" si="276"/>
        <v>0.40033156498673739</v>
      </c>
      <c r="AW40" s="14">
        <f t="shared" si="276"/>
        <v>0.44892331932773111</v>
      </c>
      <c r="AX40" s="14">
        <f t="shared" si="276"/>
        <v>0.45315512144968512</v>
      </c>
      <c r="AY40" s="14">
        <f t="shared" si="276"/>
        <v>0.46060806345009914</v>
      </c>
      <c r="AZ40" s="14">
        <f t="shared" ref="AZ40:BD41" si="277">DJ40/DJ$42</f>
        <v>0.47260903836048346</v>
      </c>
      <c r="BA40" s="14">
        <f t="shared" si="277"/>
        <v>0.48962469578583323</v>
      </c>
      <c r="BB40" s="14">
        <f t="shared" si="277"/>
        <v>0.49420442571127504</v>
      </c>
      <c r="BC40" s="14">
        <f t="shared" si="277"/>
        <v>0.49744792385156572</v>
      </c>
      <c r="BD40" s="14">
        <f t="shared" si="277"/>
        <v>0.4777415852334419</v>
      </c>
      <c r="BE40" s="14">
        <f t="shared" ref="BE40:BK41" si="278">DO40/DO$42</f>
        <v>0.45301745997246973</v>
      </c>
      <c r="BF40" s="14">
        <f t="shared" si="278"/>
        <v>0.42743524261218535</v>
      </c>
      <c r="BG40" s="14">
        <f t="shared" si="278"/>
        <v>0.40192739656546628</v>
      </c>
      <c r="BH40" s="14">
        <f t="shared" si="278"/>
        <v>0.42138636691165876</v>
      </c>
      <c r="BI40" s="14">
        <f t="shared" si="278"/>
        <v>0.45571282649934336</v>
      </c>
      <c r="BJ40" s="14">
        <f t="shared" si="278"/>
        <v>0.46788427595733251</v>
      </c>
      <c r="BK40" s="14">
        <f t="shared" si="278"/>
        <v>0.46644858245260862</v>
      </c>
      <c r="BL40" s="15"/>
      <c r="BN40" s="2" t="s">
        <v>75</v>
      </c>
      <c r="BO40" s="2">
        <f>MU!BO40+UMKC!BO40+'S&amp;T'!BO40</f>
        <v>4023</v>
      </c>
      <c r="BP40" s="2">
        <f>MU!BP40+UMKC!BP40+'S&amp;T'!BP40</f>
        <v>4642</v>
      </c>
      <c r="BQ40" s="2">
        <f>MU!BQ40+UMKC!BQ40+'S&amp;T'!BQ40+UMSL!BQ40</f>
        <v>5045</v>
      </c>
      <c r="BR40" s="2">
        <f>MU!BR40+UMKC!BR40+'S&amp;T'!BR40+UMSL!BR40</f>
        <v>5324</v>
      </c>
      <c r="CG40" s="2">
        <f>MU!CG40+UMKC!CG40+'S&amp;T'!CG40+UMSL!CG40</f>
        <v>3156</v>
      </c>
      <c r="CH40" s="2">
        <f>MU!CH40+UMKC!CH40+'S&amp;T'!CH40+UMSL!CH40</f>
        <v>3234</v>
      </c>
      <c r="CI40" s="2">
        <f>MU!CI40+UMKC!CI40+'S&amp;T'!CI40+UMSL!CI40</f>
        <v>3239</v>
      </c>
      <c r="CJ40" s="2">
        <f>MU!CJ40+UMKC!CJ40+'S&amp;T'!CJ40+UMSL!CJ40</f>
        <v>3496</v>
      </c>
      <c r="CK40" s="2">
        <f>MU!CK40+UMKC!CK40+'S&amp;T'!CK40+UMSL!CK40</f>
        <v>3561</v>
      </c>
      <c r="CL40" s="2">
        <f>MU!CL40+UMKC!CL40+'S&amp;T'!CL40+UMSL!CL40</f>
        <v>3666</v>
      </c>
      <c r="CM40" s="2">
        <f>MU!CM40+UMKC!CM40+'S&amp;T'!CM40+UMSL!CM40</f>
        <v>3764</v>
      </c>
      <c r="CN40" s="2">
        <f>MU!CN40+UMKC!CN40+'S&amp;T'!CN40+UMSL!CN40</f>
        <v>3934</v>
      </c>
      <c r="CO40" s="2">
        <f>MU!CO40+UMKC!CO40+'S&amp;T'!CO40+UMSL!CO40</f>
        <v>3830</v>
      </c>
      <c r="CP40" s="2">
        <f>MU!CP40+UMKC!CP40+'S&amp;T'!CP40+UMSL!CP40</f>
        <v>4623</v>
      </c>
      <c r="CQ40" s="2">
        <f>MU!CQ40+UMKC!CQ40+'S&amp;T'!CQ40+UMSL!CQ40</f>
        <v>4564</v>
      </c>
      <c r="CR40" s="2">
        <f>MU!CR40+UMKC!CR40+'S&amp;T'!CR40+UMSL!CR40</f>
        <v>3929</v>
      </c>
      <c r="CS40" s="2">
        <f>MU!CS40+UMKC!CS40+'S&amp;T'!CS40+UMSL!CS40</f>
        <v>3749</v>
      </c>
      <c r="CT40" s="2">
        <f>MU!CT40+UMKC!CT40+'S&amp;T'!CT40+UMSL!CT40</f>
        <v>3728</v>
      </c>
      <c r="CU40" s="2">
        <f>MU!CU40+UMKC!CU40+'S&amp;T'!CU40+UMSL!CU40</f>
        <v>3702</v>
      </c>
      <c r="CV40" s="2">
        <f>MU!CV40+UMKC!CV40+'S&amp;T'!CV40+UMSL!CV40</f>
        <v>3890</v>
      </c>
      <c r="CW40" s="2">
        <f>MU!CW40+UMKC!CW40+'S&amp;T'!CW40+UMSL!CW40</f>
        <v>4254</v>
      </c>
      <c r="CX40" s="2">
        <f>MU!CX40+UMKC!CX40+'S&amp;T'!CX40+UMSL!CX40</f>
        <v>4384</v>
      </c>
      <c r="CY40" s="2">
        <f>MU!CY40+UMKC!CY40+'S&amp;T'!CY40+UMSL!CY40</f>
        <v>5119</v>
      </c>
      <c r="CZ40" s="2">
        <f>MU!CZ40+UMKC!CZ40+'S&amp;T'!CZ40+UMSL!CZ40</f>
        <v>5110</v>
      </c>
      <c r="DA40" s="2">
        <f>MU!DA40+UMKC!DA40+'S&amp;T'!DA40+UMSL!DA40</f>
        <v>4917</v>
      </c>
      <c r="DB40" s="2">
        <f>MU!DB40+UMKC!DB40+'S&amp;T'!DB40+UMSL!DB40</f>
        <v>5197</v>
      </c>
      <c r="DC40" s="2">
        <f>MU!DC40+UMKC!DC40+'S&amp;T'!DC40+UMSL!DC40</f>
        <v>5398</v>
      </c>
      <c r="DD40" s="2">
        <f>MU!DD40+UMKC!DD40+'S&amp;T'!DD40+UMSL!DD40</f>
        <v>5375</v>
      </c>
      <c r="DE40" s="2">
        <f>MU!DE40+UMKC!DE40+'S&amp;T'!DE40+UMSL!DE40</f>
        <v>5507</v>
      </c>
      <c r="DF40" s="2">
        <f>MU!DF40+UMKC!DF40+'S&amp;T'!DF40+UMSL!DF40</f>
        <v>6037</v>
      </c>
      <c r="DG40" s="2">
        <f>MU!DG40+UMKC!DG40+'S&amp;T'!DG40+UMSL!DG40</f>
        <v>6838</v>
      </c>
      <c r="DH40" s="2">
        <f>MU!DH40+UMKC!DH40+'S&amp;T'!DH40+UMSL!DH40</f>
        <v>7052</v>
      </c>
      <c r="DI40" s="2">
        <f>MU!DI40+UMKC!DI40+'S&amp;T'!DI40+UMSL!DI40</f>
        <v>6969</v>
      </c>
      <c r="DJ40" s="2">
        <f>MU!DJ40+UMKC!DJ40+'S&amp;T'!DJ40+UMSL!DJ40</f>
        <v>7195</v>
      </c>
      <c r="DK40" s="2">
        <f>MU!DK40+UMKC!DK40+'S&amp;T'!DK40+UMSL!DK40</f>
        <v>7645</v>
      </c>
      <c r="DL40" s="2">
        <f>MU!DL40+UMKC!DL40+'S&amp;T'!DL40+UMSL!DL40</f>
        <v>7504</v>
      </c>
      <c r="DM40" s="2">
        <f>MU!DM40+UMKC!DM40+'S&amp;T'!DM40+UMSL!DM40</f>
        <v>7212</v>
      </c>
      <c r="DN40" s="2">
        <f>MU!DN40+UMKC!DN40+'S&amp;T'!DN40+UMSL!DN40</f>
        <v>6600</v>
      </c>
      <c r="DO40" s="2">
        <f>MU!DO40+UMKC!DO40+'S&amp;T'!DO40+UMSL!DO40</f>
        <v>6253</v>
      </c>
      <c r="DP40" s="2">
        <f>MU!DP40+UMKC!DP40+'S&amp;T'!DP40+UMSL!DP40</f>
        <v>5858</v>
      </c>
      <c r="DQ40" s="2">
        <f>MU!DQ40+UMKC!DQ40+'S&amp;T'!DQ40+UMSL!DQ40</f>
        <v>5547</v>
      </c>
      <c r="DR40" s="2">
        <f>MU!DR40+UMKC!DR40+'S&amp;T'!DR40+UMSL!DR40</f>
        <v>5848</v>
      </c>
      <c r="DS40" s="2">
        <f>MU!DS40+UMKC!DS40+'S&amp;T'!DS40+UMSL!DS40</f>
        <v>6246</v>
      </c>
      <c r="DT40" s="2">
        <f>MU!DT40+UMKC!DT40+'S&amp;T'!DT40+UMSL!DT40</f>
        <v>6097</v>
      </c>
      <c r="DU40" s="2">
        <f>MU!DU40+UMKC!DU40+'S&amp;T'!DU40+UMSL!DU40</f>
        <v>5561</v>
      </c>
    </row>
    <row r="41" spans="1:125" ht="13.5" customHeight="1" x14ac:dyDescent="0.2">
      <c r="A41" s="8"/>
      <c r="D41" s="2" t="s">
        <v>76</v>
      </c>
      <c r="E41" s="14">
        <f t="shared" ref="E41" si="279">BO41/BO$42</f>
        <v>0.45832772317220949</v>
      </c>
      <c r="F41" s="14">
        <f t="shared" si="251"/>
        <v>0.4302197127777096</v>
      </c>
      <c r="G41" s="14">
        <f t="shared" si="252"/>
        <v>0.45382700010826027</v>
      </c>
      <c r="H41" s="14">
        <f t="shared" si="253"/>
        <v>0.47967161845191558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>
        <f t="shared" si="254"/>
        <v>0.70976641530255657</v>
      </c>
      <c r="X41" s="14">
        <f t="shared" si="254"/>
        <v>0.7063203777697058</v>
      </c>
      <c r="Y41" s="14">
        <f t="shared" si="254"/>
        <v>0.71041573535985691</v>
      </c>
      <c r="Z41" s="14">
        <f t="shared" si="255"/>
        <v>0.70224001362745936</v>
      </c>
      <c r="AA41" s="14">
        <f t="shared" si="256"/>
        <v>0.69962041332770986</v>
      </c>
      <c r="AB41" s="14">
        <f t="shared" si="257"/>
        <v>0.69814738575545487</v>
      </c>
      <c r="AC41" s="14">
        <f t="shared" si="258"/>
        <v>0.69593666693593992</v>
      </c>
      <c r="AD41" s="14">
        <f t="shared" si="259"/>
        <v>0.69135415032166958</v>
      </c>
      <c r="AE41" s="14">
        <f t="shared" si="260"/>
        <v>0.68360181743081372</v>
      </c>
      <c r="AF41" s="14">
        <f t="shared" si="261"/>
        <v>0.60841944773843804</v>
      </c>
      <c r="AG41" s="14">
        <f t="shared" si="262"/>
        <v>0.61318755826764981</v>
      </c>
      <c r="AH41" s="14">
        <f t="shared" si="263"/>
        <v>0.66991514744182135</v>
      </c>
      <c r="AI41" s="14">
        <f t="shared" si="264"/>
        <v>0.66831814562505532</v>
      </c>
      <c r="AJ41" s="14">
        <f t="shared" si="265"/>
        <v>0.65391756405495727</v>
      </c>
      <c r="AK41" s="14">
        <f t="shared" si="266"/>
        <v>0.64819918274256394</v>
      </c>
      <c r="AL41" s="14">
        <f t="shared" si="267"/>
        <v>0.63319189061763315</v>
      </c>
      <c r="AM41" s="14">
        <f t="shared" si="268"/>
        <v>0.60541693720434098</v>
      </c>
      <c r="AN41" s="14">
        <f t="shared" si="269"/>
        <v>0.60361663652802888</v>
      </c>
      <c r="AO41" s="14">
        <f t="shared" si="270"/>
        <v>0.60707706478354317</v>
      </c>
      <c r="AP41" s="14">
        <f t="shared" si="271"/>
        <v>0.60872894333843797</v>
      </c>
      <c r="AQ41" s="14">
        <f t="shared" si="272"/>
        <v>0.60556714262794797</v>
      </c>
      <c r="AR41" s="14">
        <f t="shared" si="273"/>
        <v>0.59634951456310681</v>
      </c>
      <c r="AS41" s="14">
        <f t="shared" si="274"/>
        <v>0.58975528195774429</v>
      </c>
      <c r="AT41" s="14">
        <f t="shared" si="275"/>
        <v>0.61182927709973278</v>
      </c>
      <c r="AU41" s="14">
        <f t="shared" si="276"/>
        <v>0.6158621651785714</v>
      </c>
      <c r="AV41" s="14">
        <f t="shared" si="276"/>
        <v>0.59966843501326261</v>
      </c>
      <c r="AW41" s="14">
        <f t="shared" si="276"/>
        <v>0.55107668067226889</v>
      </c>
      <c r="AX41" s="14">
        <f t="shared" si="276"/>
        <v>0.54684487855031483</v>
      </c>
      <c r="AY41" s="14">
        <f t="shared" si="276"/>
        <v>0.53939193654990081</v>
      </c>
      <c r="AZ41" s="14">
        <f t="shared" si="277"/>
        <v>0.5273909616395166</v>
      </c>
      <c r="BA41" s="14">
        <f t="shared" si="277"/>
        <v>0.51037530421416677</v>
      </c>
      <c r="BB41" s="14">
        <f t="shared" si="277"/>
        <v>0.50579557428872501</v>
      </c>
      <c r="BC41" s="14">
        <f t="shared" si="277"/>
        <v>0.50255207614843422</v>
      </c>
      <c r="BD41" s="14">
        <f t="shared" si="277"/>
        <v>0.5222584147665581</v>
      </c>
      <c r="BE41" s="14">
        <f t="shared" si="278"/>
        <v>0.54698254002753022</v>
      </c>
      <c r="BF41" s="14">
        <f t="shared" si="278"/>
        <v>0.57256475738781465</v>
      </c>
      <c r="BG41" s="14">
        <f t="shared" si="278"/>
        <v>0.59807260343453372</v>
      </c>
      <c r="BH41" s="14">
        <f t="shared" si="278"/>
        <v>0.57861363308834124</v>
      </c>
      <c r="BI41" s="14">
        <f t="shared" si="278"/>
        <v>0.5442871735006567</v>
      </c>
      <c r="BJ41" s="14">
        <f t="shared" si="278"/>
        <v>0.53211572404266749</v>
      </c>
      <c r="BK41" s="14">
        <f t="shared" si="278"/>
        <v>0.53355141754739133</v>
      </c>
      <c r="BL41" s="15"/>
      <c r="BN41" s="2" t="s">
        <v>76</v>
      </c>
      <c r="BO41" s="2">
        <f>MU!BO41+UMKC!BO41+'S&amp;T'!BO41</f>
        <v>3404</v>
      </c>
      <c r="BP41" s="2">
        <f>MU!BP41+UMKC!BP41+'S&amp;T'!BP41</f>
        <v>3505</v>
      </c>
      <c r="BQ41" s="2">
        <f>MU!BQ41+UMKC!BQ41+'S&amp;T'!BQ41+UMSL!BQ41</f>
        <v>4192</v>
      </c>
      <c r="BR41" s="2">
        <f>MU!BR41+UMKC!BR41+'S&amp;T'!BR41+UMSL!BR41</f>
        <v>4908</v>
      </c>
      <c r="CG41" s="2">
        <f>MU!CG41+UMKC!CG41+'S&amp;T'!CG41+UMSL!CG41</f>
        <v>7718</v>
      </c>
      <c r="CH41" s="2">
        <f>MU!CH41+UMKC!CH41+'S&amp;T'!CH41+UMSL!CH41</f>
        <v>7778</v>
      </c>
      <c r="CI41" s="2">
        <f>MU!CI41+UMKC!CI41+'S&amp;T'!CI41+UMSL!CI41</f>
        <v>7946</v>
      </c>
      <c r="CJ41" s="2">
        <f>MU!CJ41+UMKC!CJ41+'S&amp;T'!CJ41+UMSL!CJ41</f>
        <v>8245</v>
      </c>
      <c r="CK41" s="2">
        <f>MU!CK41+UMKC!CK41+'S&amp;T'!CK41+UMSL!CK41</f>
        <v>8294</v>
      </c>
      <c r="CL41" s="2">
        <f>MU!CL41+UMKC!CL41+'S&amp;T'!CL41+UMSL!CL41</f>
        <v>8479</v>
      </c>
      <c r="CM41" s="2">
        <f>MU!CM41+UMKC!CM41+'S&amp;T'!CM41+UMSL!CM41</f>
        <v>8615</v>
      </c>
      <c r="CN41" s="2">
        <f>MU!CN41+UMKC!CN41+'S&amp;T'!CN41+UMSL!CN41</f>
        <v>8812</v>
      </c>
      <c r="CO41" s="2">
        <f>MU!CO41+UMKC!CO41+'S&amp;T'!CO41+UMSL!CO41</f>
        <v>8275</v>
      </c>
      <c r="CP41" s="2">
        <f>MU!CP41+UMKC!CP41+'S&amp;T'!CP41+UMSL!CP41</f>
        <v>7183</v>
      </c>
      <c r="CQ41" s="2">
        <f>MU!CQ41+UMKC!CQ41+'S&amp;T'!CQ41+UMSL!CQ41</f>
        <v>7235</v>
      </c>
      <c r="CR41" s="2">
        <f>MU!CR41+UMKC!CR41+'S&amp;T'!CR41+UMSL!CR41</f>
        <v>7974</v>
      </c>
      <c r="CS41" s="2">
        <f>MU!CS41+UMKC!CS41+'S&amp;T'!CS41+UMSL!CS41</f>
        <v>7554</v>
      </c>
      <c r="CT41" s="2">
        <f>MU!CT41+UMKC!CT41+'S&amp;T'!CT41+UMSL!CT41</f>
        <v>7044</v>
      </c>
      <c r="CU41" s="2">
        <f>MU!CU41+UMKC!CU41+'S&amp;T'!CU41+UMSL!CU41</f>
        <v>6821</v>
      </c>
      <c r="CV41" s="2">
        <f>MU!CV41+UMKC!CV41+'S&amp;T'!CV41+UMSL!CV41</f>
        <v>6715</v>
      </c>
      <c r="CW41" s="2">
        <f>MU!CW41+UMKC!CW41+'S&amp;T'!CW41+UMSL!CW41</f>
        <v>6527</v>
      </c>
      <c r="CX41" s="2">
        <f>MU!CX41+UMKC!CX41+'S&amp;T'!CX41+UMSL!CX41</f>
        <v>6676</v>
      </c>
      <c r="CY41" s="2">
        <f>MU!CY41+UMKC!CY41+'S&amp;T'!CY41+UMSL!CY41</f>
        <v>7909</v>
      </c>
      <c r="CZ41" s="2">
        <f>MU!CZ41+UMKC!CZ41+'S&amp;T'!CZ41+UMSL!CZ41</f>
        <v>7950</v>
      </c>
      <c r="DA41" s="2">
        <f>MU!DA41+UMKC!DA41+'S&amp;T'!DA41+UMSL!DA41</f>
        <v>7549</v>
      </c>
      <c r="DB41" s="2">
        <f>MU!DB41+UMKC!DB41+'S&amp;T'!DB41+UMSL!DB41</f>
        <v>7678</v>
      </c>
      <c r="DC41" s="2">
        <f>MU!DC41+UMKC!DC41+'S&amp;T'!DC41+UMSL!DC41</f>
        <v>7760</v>
      </c>
      <c r="DD41" s="2">
        <f>MU!DD41+UMKC!DD41+'S&amp;T'!DD41+UMSL!DD41</f>
        <v>8472</v>
      </c>
      <c r="DE41" s="2">
        <f>MU!DE41+UMKC!DE41+'S&amp;T'!DE41+UMSL!DE41</f>
        <v>8829</v>
      </c>
      <c r="DF41" s="2">
        <f>MU!DF41+UMKC!DF41+'S&amp;T'!DF41+UMSL!DF41</f>
        <v>9043</v>
      </c>
      <c r="DG41" s="2">
        <f>MU!DG41+UMKC!DG41+'S&amp;T'!DG41+UMSL!DG41</f>
        <v>8394</v>
      </c>
      <c r="DH41" s="2">
        <f>MU!DH41+UMKC!DH41+'S&amp;T'!DH41+UMSL!DH41</f>
        <v>8510</v>
      </c>
      <c r="DI41" s="2">
        <f>MU!DI41+UMKC!DI41+'S&amp;T'!DI41+UMSL!DI41</f>
        <v>8161</v>
      </c>
      <c r="DJ41" s="2">
        <f>MU!DJ41+UMKC!DJ41+'S&amp;T'!DJ41+UMSL!DJ41</f>
        <v>8029</v>
      </c>
      <c r="DK41" s="2">
        <f>MU!DK41+UMKC!DK41+'S&amp;T'!DK41+UMSL!DK41</f>
        <v>7969</v>
      </c>
      <c r="DL41" s="2">
        <f>MU!DL41+UMKC!DL41+'S&amp;T'!DL41+UMSL!DL41</f>
        <v>7680</v>
      </c>
      <c r="DM41" s="2">
        <f>MU!DM41+UMKC!DM41+'S&amp;T'!DM41+UMSL!DM41</f>
        <v>7286</v>
      </c>
      <c r="DN41" s="2">
        <f>MU!DN41+UMKC!DN41+'S&amp;T'!DN41+UMSL!DN41</f>
        <v>7215</v>
      </c>
      <c r="DO41" s="2">
        <f>MU!DO41+UMKC!DO41+'S&amp;T'!DO41+UMSL!DO41</f>
        <v>7550</v>
      </c>
      <c r="DP41" s="2">
        <f>MU!DP41+UMKC!DP41+'S&amp;T'!DP41+UMSL!DP41</f>
        <v>7847</v>
      </c>
      <c r="DQ41" s="2">
        <f>MU!DQ41+UMKC!DQ41+'S&amp;T'!DQ41+UMSL!DQ41</f>
        <v>8254</v>
      </c>
      <c r="DR41" s="2">
        <f>MU!DR41+UMKC!DR41+'S&amp;T'!DR41+UMSL!DR41</f>
        <v>8030</v>
      </c>
      <c r="DS41" s="2">
        <f>MU!DS41+UMKC!DS41+'S&amp;T'!DS41+UMSL!DS41</f>
        <v>7460</v>
      </c>
      <c r="DT41" s="2">
        <f>MU!DT41+UMKC!DT41+'S&amp;T'!DT41+UMSL!DT41</f>
        <v>6934</v>
      </c>
      <c r="DU41" s="2">
        <f>MU!DU41+UMKC!DU41+'S&amp;T'!DU41+UMSL!DU41</f>
        <v>6361</v>
      </c>
    </row>
    <row r="42" spans="1:125" ht="13.5" customHeight="1" x14ac:dyDescent="0.2">
      <c r="A42" s="8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9"/>
      <c r="BN42" s="20" t="s">
        <v>110</v>
      </c>
      <c r="BO42" s="2">
        <f t="shared" ref="BO42:BR42" si="280">SUM(BO40:BO41)</f>
        <v>7427</v>
      </c>
      <c r="BP42" s="2">
        <f t="shared" si="280"/>
        <v>8147</v>
      </c>
      <c r="BQ42" s="2">
        <f t="shared" si="280"/>
        <v>9237</v>
      </c>
      <c r="BR42" s="2">
        <f t="shared" si="280"/>
        <v>10232</v>
      </c>
      <c r="CG42" s="2">
        <f t="shared" ref="CG42:CH42" si="281">SUM(CG40:CG41)</f>
        <v>10874</v>
      </c>
      <c r="CH42" s="2">
        <f t="shared" si="281"/>
        <v>11012</v>
      </c>
      <c r="CI42" s="2">
        <f t="shared" ref="CI42:CK42" si="282">SUM(CI40:CI41)</f>
        <v>11185</v>
      </c>
      <c r="CJ42" s="2">
        <f t="shared" si="282"/>
        <v>11741</v>
      </c>
      <c r="CK42" s="2">
        <f t="shared" si="282"/>
        <v>11855</v>
      </c>
      <c r="CL42" s="2">
        <f t="shared" ref="CL42:CT42" si="283">SUM(CL40:CL41)</f>
        <v>12145</v>
      </c>
      <c r="CM42" s="2">
        <f t="shared" si="283"/>
        <v>12379</v>
      </c>
      <c r="CN42" s="2">
        <f t="shared" si="283"/>
        <v>12746</v>
      </c>
      <c r="CO42" s="2">
        <f t="shared" si="283"/>
        <v>12105</v>
      </c>
      <c r="CP42" s="2">
        <f t="shared" si="283"/>
        <v>11806</v>
      </c>
      <c r="CQ42" s="2">
        <f t="shared" si="283"/>
        <v>11799</v>
      </c>
      <c r="CR42" s="2">
        <f t="shared" si="283"/>
        <v>11903</v>
      </c>
      <c r="CS42" s="2">
        <f t="shared" si="283"/>
        <v>11303</v>
      </c>
      <c r="CT42" s="2">
        <f t="shared" si="283"/>
        <v>10772</v>
      </c>
      <c r="CU42" s="2">
        <f t="shared" ref="CU42:DD42" si="284">SUM(CU40:CU41)</f>
        <v>10523</v>
      </c>
      <c r="CV42" s="2">
        <f t="shared" si="284"/>
        <v>10605</v>
      </c>
      <c r="CW42" s="2">
        <f t="shared" si="284"/>
        <v>10781</v>
      </c>
      <c r="CX42" s="2">
        <f t="shared" si="284"/>
        <v>11060</v>
      </c>
      <c r="CY42" s="2">
        <f t="shared" si="284"/>
        <v>13028</v>
      </c>
      <c r="CZ42" s="2">
        <f t="shared" si="284"/>
        <v>13060</v>
      </c>
      <c r="DA42" s="2">
        <f t="shared" si="284"/>
        <v>12466</v>
      </c>
      <c r="DB42" s="2">
        <f t="shared" si="284"/>
        <v>12875</v>
      </c>
      <c r="DC42" s="2">
        <f t="shared" si="284"/>
        <v>13158</v>
      </c>
      <c r="DD42" s="2">
        <f t="shared" si="284"/>
        <v>13847</v>
      </c>
      <c r="DE42" s="2">
        <f t="shared" ref="DE42:DI42" si="285">SUM(DE40:DE41)</f>
        <v>14336</v>
      </c>
      <c r="DF42" s="2">
        <f t="shared" si="285"/>
        <v>15080</v>
      </c>
      <c r="DG42" s="2">
        <f t="shared" si="285"/>
        <v>15232</v>
      </c>
      <c r="DH42" s="2">
        <f t="shared" si="285"/>
        <v>15562</v>
      </c>
      <c r="DI42" s="2">
        <f t="shared" si="285"/>
        <v>15130</v>
      </c>
      <c r="DJ42" s="2">
        <f t="shared" ref="DJ42:DO42" si="286">SUM(DJ40:DJ41)</f>
        <v>15224</v>
      </c>
      <c r="DK42" s="2">
        <f t="shared" si="286"/>
        <v>15614</v>
      </c>
      <c r="DL42" s="2">
        <f t="shared" si="286"/>
        <v>15184</v>
      </c>
      <c r="DM42" s="2">
        <f t="shared" si="286"/>
        <v>14498</v>
      </c>
      <c r="DN42" s="2">
        <f t="shared" si="286"/>
        <v>13815</v>
      </c>
      <c r="DO42" s="2">
        <f t="shared" si="286"/>
        <v>13803</v>
      </c>
      <c r="DP42" s="2">
        <f t="shared" ref="DP42:DQ42" si="287">SUM(DP40:DP41)</f>
        <v>13705</v>
      </c>
      <c r="DQ42" s="2">
        <f t="shared" si="287"/>
        <v>13801</v>
      </c>
      <c r="DR42" s="2">
        <f t="shared" ref="DR42:DS42" si="288">SUM(DR40:DR41)</f>
        <v>13878</v>
      </c>
      <c r="DS42" s="2">
        <f t="shared" si="288"/>
        <v>13706</v>
      </c>
      <c r="DT42" s="2">
        <f t="shared" ref="DT42" si="289">SUM(DT40:DT41)</f>
        <v>13031</v>
      </c>
      <c r="DU42" s="2">
        <f t="shared" ref="DU42" si="290">SUM(DU40:DU41)</f>
        <v>11922</v>
      </c>
    </row>
    <row r="43" spans="1:125" ht="13.5" customHeight="1" x14ac:dyDescent="0.2">
      <c r="A43" s="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9"/>
    </row>
    <row r="44" spans="1:125" ht="13.5" customHeight="1" x14ac:dyDescent="0.2">
      <c r="A44" s="8"/>
      <c r="B44" s="2" t="s">
        <v>72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9"/>
      <c r="BN44" s="2" t="s">
        <v>75</v>
      </c>
      <c r="CG44" s="2">
        <f>MU!CG44+UMKC!CG44+UMSL!CG44</f>
        <v>2578</v>
      </c>
      <c r="CH44" s="2">
        <f>MU!CH44+UMKC!CH44+UMSL!CH44</f>
        <v>2549</v>
      </c>
      <c r="CI44" s="2">
        <f>MU!CI44+UMKC!CI44+UMSL!CI44</f>
        <v>2515</v>
      </c>
      <c r="CJ44" s="2">
        <f>MU!CJ44+UMKC!CJ44+UMSL!CJ44</f>
        <v>2517</v>
      </c>
      <c r="CK44" s="2">
        <f>MU!CK44+UMKC!CK44+UMSL!CK44</f>
        <v>2508</v>
      </c>
      <c r="CL44" s="2">
        <f>MU!CL44+UMKC!CL44+UMSL!CL44</f>
        <v>2482</v>
      </c>
      <c r="CO44" s="2">
        <f>MU!CO44+UMKC!CO44+UMSL!CO44</f>
        <v>2410</v>
      </c>
      <c r="CQ44" s="2">
        <f>MU!CQ44+UMKC!CQ44+UMSL!CQ44</f>
        <v>2435</v>
      </c>
      <c r="CR44" s="2">
        <f>MU!CR44+UMKC!CR44+UMSL!CR44</f>
        <v>2407</v>
      </c>
      <c r="CS44" s="2">
        <f>MU!CS44+UMKC!CS44+UMSL!CS44</f>
        <v>2455</v>
      </c>
      <c r="CT44" s="2">
        <f>MU!CT44+UMKC!CT44+UMSL!CT44</f>
        <v>2514</v>
      </c>
      <c r="CU44" s="2">
        <f>MU!CU44+UMKC!CU44+UMSL!CU44</f>
        <v>2561</v>
      </c>
      <c r="CV44" s="2">
        <f>MU!CV44+UMKC!CV44+UMSL!CV44</f>
        <v>2591</v>
      </c>
      <c r="CW44" s="2">
        <f>MU!CW44+UMKC!CW44+UMSL!CW44</f>
        <v>2606</v>
      </c>
      <c r="CX44" s="2">
        <f>MU!CX44+UMKC!CX44+UMSL!CX44</f>
        <v>2628</v>
      </c>
      <c r="CY44" s="2">
        <f>MU!CY44+UMKC!CY44+UMSL!CY44</f>
        <v>2633</v>
      </c>
      <c r="CZ44" s="2">
        <f>MU!CZ44+UMKC!CZ44+UMSL!CZ44</f>
        <v>2637</v>
      </c>
      <c r="DA44" s="2">
        <f>MU!DA44+UMKC!DA44+UMSL!DA44</f>
        <v>2618</v>
      </c>
      <c r="DB44" s="2">
        <f>MU!DB44+UMKC!DB44+UMSL!DB44</f>
        <v>2719</v>
      </c>
      <c r="DC44" s="2">
        <f>MU!DC44+UMKC!DC44+UMSL!DC44</f>
        <v>2738</v>
      </c>
      <c r="DD44" s="2">
        <f>MU!DD44+UMKC!DD44+UMSL!DD44</f>
        <v>2782</v>
      </c>
      <c r="DE44" s="2">
        <f>MU!DE44+UMKC!DE44+UMSL!DE44</f>
        <v>2830</v>
      </c>
      <c r="DF44" s="2">
        <f>MU!DF44+UMKC!DF44+UMSL!DF44</f>
        <v>2918</v>
      </c>
      <c r="DG44" s="2">
        <f>MU!DG44+UMKC!DG44+UMSL!DG44</f>
        <v>2965</v>
      </c>
      <c r="DH44" s="2">
        <f>MU!DH44+UMKC!DH44+UMSL!DH44</f>
        <v>3025</v>
      </c>
      <c r="DI44" s="2">
        <f>MU!DI44+UMKC!DI44+UMSL!DI44</f>
        <v>3113</v>
      </c>
      <c r="DJ44" s="2">
        <f>MU!DJ44+UMKC!DJ44+UMSL!DJ44</f>
        <v>3113</v>
      </c>
      <c r="DK44" s="2">
        <f>MU!DK44+UMKC!DK44+UMSL!DK44</f>
        <v>3126</v>
      </c>
      <c r="DL44" s="2">
        <f>MU!DL44+UMKC!DL44+UMSL!DL44</f>
        <v>3076</v>
      </c>
      <c r="DM44" s="2">
        <f>MU!DM44+UMKC!DM44+UMSL!DM44</f>
        <v>3066</v>
      </c>
      <c r="DN44" s="2">
        <f>MU!DN44+UMKC!DN44+UMSL!DN44</f>
        <v>3052</v>
      </c>
      <c r="DO44" s="2">
        <f>MU!DO44+UMKC!DO44+UMSL!DO44</f>
        <v>3282</v>
      </c>
      <c r="DP44" s="2">
        <f>MU!DP44+UMKC!DP44+UMSL!DP44</f>
        <v>3339</v>
      </c>
      <c r="DQ44" s="2">
        <f>MU!DQ44+UMKC!DQ44+UMSL!DQ44</f>
        <v>3430</v>
      </c>
      <c r="DR44" s="2">
        <f>MU!DR44+UMKC!DR44+UMSL!DR44</f>
        <v>3463</v>
      </c>
      <c r="DS44" s="2">
        <f>MU!DS44+UMKC!DS44+UMSL!DS44</f>
        <v>3520</v>
      </c>
      <c r="DT44" s="2">
        <f>MU!DT44+UMKC!DT44+UMSL!DT44</f>
        <v>3539</v>
      </c>
      <c r="DU44" s="2">
        <f>MU!DU44+UMKC!DU44+UMSL!DU44</f>
        <v>3512</v>
      </c>
    </row>
    <row r="45" spans="1:125" ht="13.5" customHeight="1" x14ac:dyDescent="0.2">
      <c r="A45" s="8"/>
      <c r="BL45" s="9"/>
      <c r="BN45" s="2" t="s">
        <v>76</v>
      </c>
      <c r="CG45" s="2">
        <f>MU!CG45+UMKC!CG45+UMSL!CG45</f>
        <v>20</v>
      </c>
      <c r="CH45" s="2">
        <f>MU!CH45+UMKC!CH45+UMSL!CH45</f>
        <v>24</v>
      </c>
      <c r="CI45" s="2">
        <f>MU!CI45+UMKC!CI45+UMSL!CI45</f>
        <v>23</v>
      </c>
      <c r="CJ45" s="2">
        <f>MU!CJ45+UMKC!CJ45+UMSL!CJ45</f>
        <v>21</v>
      </c>
      <c r="CK45" s="2">
        <f>MU!CK45+UMKC!CK45+UMSL!CK45</f>
        <v>21</v>
      </c>
      <c r="CL45" s="2">
        <f>MU!CL45+UMKC!CL45+UMSL!CL45</f>
        <v>29</v>
      </c>
      <c r="CO45" s="2">
        <f>MU!CO45+UMKC!CO45+UMSL!CO45</f>
        <v>25</v>
      </c>
      <c r="CQ45" s="2">
        <f>MU!CQ45+UMKC!CQ45+UMSL!CQ45</f>
        <v>31</v>
      </c>
      <c r="CR45" s="2">
        <f>MU!CR45+UMKC!CR45+UMSL!CR45</f>
        <v>34</v>
      </c>
      <c r="CS45" s="2">
        <f>MU!CS45+UMKC!CS45+UMSL!CS45</f>
        <v>48</v>
      </c>
      <c r="CT45" s="2">
        <f>MU!CT45+UMKC!CT45+UMSL!CT45</f>
        <v>40</v>
      </c>
      <c r="CU45" s="2">
        <f>MU!CU45+UMKC!CU45+UMSL!CU45</f>
        <v>52</v>
      </c>
      <c r="CV45" s="2">
        <f>MU!CV45+UMKC!CV45+UMSL!CV45</f>
        <v>92</v>
      </c>
      <c r="CW45" s="2">
        <f>MU!CW45+UMKC!CW45+UMSL!CW45</f>
        <v>36</v>
      </c>
      <c r="CX45" s="2">
        <f>MU!CX45+UMKC!CX45+UMSL!CX45</f>
        <v>87</v>
      </c>
      <c r="CY45" s="2">
        <f>MU!CY45+UMKC!CY45+UMSL!CY45</f>
        <v>111</v>
      </c>
      <c r="CZ45" s="2">
        <f>MU!CZ45+UMKC!CZ45+UMSL!CZ45</f>
        <v>71</v>
      </c>
      <c r="DA45" s="2">
        <f>MU!DA45+UMKC!DA45+UMSL!DA45</f>
        <v>108</v>
      </c>
      <c r="DB45" s="2">
        <f>MU!DB45+UMKC!DB45+UMSL!DB45</f>
        <v>51</v>
      </c>
      <c r="DC45" s="2">
        <f>MU!DC45+UMKC!DC45+UMSL!DC45</f>
        <v>46</v>
      </c>
      <c r="DD45" s="2">
        <f>MU!DD45+UMKC!DD45+UMSL!DD45</f>
        <v>48</v>
      </c>
      <c r="DE45" s="2">
        <f>MU!DE45+UMKC!DE45+UMSL!DE45</f>
        <v>43</v>
      </c>
      <c r="DF45" s="2">
        <f>MU!DF45+UMKC!DF45+UMSL!DF45</f>
        <v>34</v>
      </c>
      <c r="DG45" s="2">
        <f>MU!DG45+UMKC!DG45+UMSL!DG45</f>
        <v>41</v>
      </c>
      <c r="DH45" s="2">
        <f>MU!DH45+UMKC!DH45+UMSL!DH45</f>
        <v>42</v>
      </c>
      <c r="DI45" s="2">
        <f>MU!DI45+UMKC!DI45+UMSL!DI45</f>
        <v>51</v>
      </c>
      <c r="DJ45" s="2">
        <f>MU!DJ45+UMKC!DJ45+UMSL!DJ45</f>
        <v>66</v>
      </c>
      <c r="DK45" s="2">
        <f>MU!DK45+UMKC!DK45+UMSL!DK45</f>
        <v>54</v>
      </c>
      <c r="DL45" s="2">
        <f>MU!DL45+UMKC!DL45+UMSL!DL45</f>
        <v>55</v>
      </c>
      <c r="DM45" s="2">
        <f>MU!DM45+UMKC!DM45+UMSL!DM45</f>
        <v>50</v>
      </c>
      <c r="DN45" s="2">
        <f>MU!DN45+UMKC!DN45+UMSL!DN45</f>
        <v>70</v>
      </c>
      <c r="DO45" s="2">
        <f>MU!DO45+UMKC!DO45+UMSL!DO45</f>
        <v>69</v>
      </c>
      <c r="DP45" s="2">
        <f>MU!DP45+UMKC!DP45+UMSL!DP45</f>
        <v>64</v>
      </c>
      <c r="DQ45" s="2">
        <f>MU!DQ45+UMKC!DQ45+UMSL!DQ45</f>
        <v>55</v>
      </c>
      <c r="DR45" s="2">
        <f>MU!DR45+UMKC!DR45+UMSL!DR45</f>
        <v>56</v>
      </c>
      <c r="DS45" s="2">
        <f>MU!DS45+UMKC!DS45+UMSL!DS45</f>
        <v>205</v>
      </c>
      <c r="DT45" s="2">
        <f>MU!DT45+UMKC!DT45+UMSL!DT45</f>
        <v>267</v>
      </c>
      <c r="DU45" s="2">
        <f>MU!DU45+UMKC!DU45+UMSL!DU45</f>
        <v>247</v>
      </c>
    </row>
    <row r="46" spans="1:125" ht="13.5" customHeight="1" x14ac:dyDescent="0.2">
      <c r="A46" s="8"/>
      <c r="B46" s="2" t="s">
        <v>99</v>
      </c>
      <c r="BL46" s="9"/>
      <c r="BN46" s="20" t="s">
        <v>109</v>
      </c>
      <c r="CG46" s="2">
        <f t="shared" ref="CG46:CH46" si="291">SUM(CG44:CG45)</f>
        <v>2598</v>
      </c>
      <c r="CH46" s="2">
        <f t="shared" si="291"/>
        <v>2573</v>
      </c>
      <c r="CI46" s="2">
        <f t="shared" ref="CI46:CL46" si="292">SUM(CI44:CI45)</f>
        <v>2538</v>
      </c>
      <c r="CJ46" s="2">
        <f t="shared" si="292"/>
        <v>2538</v>
      </c>
      <c r="CK46" s="2">
        <f t="shared" si="292"/>
        <v>2529</v>
      </c>
      <c r="CL46" s="2">
        <f t="shared" si="292"/>
        <v>2511</v>
      </c>
      <c r="CO46" s="2">
        <f t="shared" ref="CO46:CT46" si="293">SUM(CO44:CO45)</f>
        <v>2435</v>
      </c>
      <c r="CQ46" s="2">
        <f t="shared" si="293"/>
        <v>2466</v>
      </c>
      <c r="CR46" s="2">
        <f t="shared" si="293"/>
        <v>2441</v>
      </c>
      <c r="CS46" s="2">
        <f t="shared" si="293"/>
        <v>2503</v>
      </c>
      <c r="CT46" s="2">
        <f t="shared" si="293"/>
        <v>2554</v>
      </c>
      <c r="CU46" s="2">
        <f t="shared" ref="CU46" si="294">SUM(CU44:CU45)</f>
        <v>2613</v>
      </c>
      <c r="CV46" s="2">
        <f t="shared" ref="CV46" si="295">SUM(CV44:CV45)</f>
        <v>2683</v>
      </c>
      <c r="CW46" s="2">
        <f t="shared" ref="CW46" si="296">SUM(CW44:CW45)</f>
        <v>2642</v>
      </c>
      <c r="CX46" s="2">
        <f t="shared" ref="CX46" si="297">SUM(CX44:CX45)</f>
        <v>2715</v>
      </c>
      <c r="CY46" s="2">
        <f t="shared" ref="CY46" si="298">SUM(CY44:CY45)</f>
        <v>2744</v>
      </c>
      <c r="CZ46" s="2">
        <f t="shared" ref="CZ46" si="299">SUM(CZ44:CZ45)</f>
        <v>2708</v>
      </c>
      <c r="DA46" s="2">
        <f t="shared" ref="DA46" si="300">SUM(DA44:DA45)</f>
        <v>2726</v>
      </c>
      <c r="DB46" s="2">
        <f t="shared" ref="DB46" si="301">SUM(DB44:DB45)</f>
        <v>2770</v>
      </c>
      <c r="DC46" s="2">
        <f t="shared" ref="DC46" si="302">SUM(DC44:DC45)</f>
        <v>2784</v>
      </c>
      <c r="DD46" s="2">
        <f t="shared" ref="DD46" si="303">SUM(DD44:DD45)</f>
        <v>2830</v>
      </c>
      <c r="DE46" s="2">
        <f t="shared" ref="DE46:DI46" si="304">SUM(DE44:DE45)</f>
        <v>2873</v>
      </c>
      <c r="DF46" s="2">
        <f t="shared" si="304"/>
        <v>2952</v>
      </c>
      <c r="DG46" s="2">
        <f t="shared" si="304"/>
        <v>3006</v>
      </c>
      <c r="DH46" s="2">
        <f t="shared" si="304"/>
        <v>3067</v>
      </c>
      <c r="DI46" s="2">
        <f t="shared" si="304"/>
        <v>3164</v>
      </c>
      <c r="DJ46" s="2">
        <f t="shared" ref="DJ46:DO46" si="305">SUM(DJ44:DJ45)</f>
        <v>3179</v>
      </c>
      <c r="DK46" s="2">
        <f t="shared" si="305"/>
        <v>3180</v>
      </c>
      <c r="DL46" s="2">
        <f t="shared" si="305"/>
        <v>3131</v>
      </c>
      <c r="DM46" s="2">
        <f t="shared" si="305"/>
        <v>3116</v>
      </c>
      <c r="DN46" s="2">
        <f t="shared" si="305"/>
        <v>3122</v>
      </c>
      <c r="DO46" s="2">
        <f t="shared" si="305"/>
        <v>3351</v>
      </c>
      <c r="DP46" s="2">
        <f t="shared" ref="DP46:DQ46" si="306">SUM(DP44:DP45)</f>
        <v>3403</v>
      </c>
      <c r="DQ46" s="2">
        <f t="shared" si="306"/>
        <v>3485</v>
      </c>
      <c r="DR46" s="2">
        <f t="shared" ref="DR46:DS46" si="307">SUM(DR44:DR45)</f>
        <v>3519</v>
      </c>
      <c r="DS46" s="2">
        <f t="shared" si="307"/>
        <v>3725</v>
      </c>
      <c r="DT46" s="2">
        <f t="shared" ref="DT46" si="308">SUM(DT44:DT45)</f>
        <v>3806</v>
      </c>
      <c r="DU46" s="2">
        <f t="shared" ref="DU46" si="309">SUM(DU44:DU45)</f>
        <v>3759</v>
      </c>
    </row>
    <row r="47" spans="1:125" ht="13.5" customHeight="1" x14ac:dyDescent="0.2">
      <c r="A47" s="8"/>
      <c r="B47" s="2" t="s">
        <v>95</v>
      </c>
      <c r="BL47" s="9"/>
    </row>
    <row r="48" spans="1:125" ht="13.5" customHeight="1" x14ac:dyDescent="0.2">
      <c r="A48" s="8"/>
      <c r="BL48" s="9"/>
      <c r="BN48" s="3" t="s">
        <v>75</v>
      </c>
      <c r="CG48" s="3">
        <f t="shared" ref="CG48:CH48" si="310">CG37+CG40+CG44</f>
        <v>36665</v>
      </c>
      <c r="CH48" s="3">
        <f t="shared" si="310"/>
        <v>35517</v>
      </c>
      <c r="CI48" s="3">
        <f t="shared" ref="CI48:CT48" si="311">CI37+CI40+CI44</f>
        <v>34483</v>
      </c>
      <c r="CJ48" s="3">
        <f t="shared" si="311"/>
        <v>34537</v>
      </c>
      <c r="CK48" s="3">
        <f t="shared" si="311"/>
        <v>35246</v>
      </c>
      <c r="CL48" s="3">
        <f>CL37+CL40+CL44</f>
        <v>36020</v>
      </c>
      <c r="CO48" s="3">
        <f t="shared" si="311"/>
        <v>34339</v>
      </c>
      <c r="CQ48" s="3">
        <f t="shared" si="311"/>
        <v>34078</v>
      </c>
      <c r="CR48" s="3">
        <f t="shared" si="311"/>
        <v>33877</v>
      </c>
      <c r="CS48" s="3">
        <f t="shared" si="311"/>
        <v>34385</v>
      </c>
      <c r="CT48" s="3">
        <f t="shared" si="311"/>
        <v>34319</v>
      </c>
      <c r="CU48" s="3">
        <f t="shared" ref="CU48:DD48" si="312">CU37+CU40+CU44</f>
        <v>35147</v>
      </c>
      <c r="CV48" s="3">
        <f t="shared" si="312"/>
        <v>35749</v>
      </c>
      <c r="CW48" s="3">
        <f t="shared" si="312"/>
        <v>36556</v>
      </c>
      <c r="CX48" s="3">
        <f t="shared" si="312"/>
        <v>37591</v>
      </c>
      <c r="CY48" s="3">
        <f t="shared" si="312"/>
        <v>39866</v>
      </c>
      <c r="CZ48" s="3">
        <f t="shared" si="312"/>
        <v>41137</v>
      </c>
      <c r="DA48" s="3">
        <f t="shared" si="312"/>
        <v>41795</v>
      </c>
      <c r="DB48" s="3">
        <f t="shared" si="312"/>
        <v>43336</v>
      </c>
      <c r="DC48" s="3">
        <f t="shared" si="312"/>
        <v>43940</v>
      </c>
      <c r="DD48" s="3">
        <f t="shared" si="312"/>
        <v>44296</v>
      </c>
      <c r="DE48" s="3">
        <f t="shared" ref="DE48:DI48" si="313">DE37+DE40+DE44</f>
        <v>46157</v>
      </c>
      <c r="DF48" s="3">
        <f t="shared" si="313"/>
        <v>48431</v>
      </c>
      <c r="DG48" s="3">
        <f t="shared" si="313"/>
        <v>51052</v>
      </c>
      <c r="DH48" s="3">
        <f t="shared" si="313"/>
        <v>52497</v>
      </c>
      <c r="DI48" s="3">
        <f t="shared" si="313"/>
        <v>53483</v>
      </c>
      <c r="DJ48" s="3">
        <f t="shared" ref="DJ48:DL49" si="314">DJ37+DJ40+DJ44</f>
        <v>53886</v>
      </c>
      <c r="DK48" s="3">
        <f t="shared" si="314"/>
        <v>55343</v>
      </c>
      <c r="DL48" s="3">
        <f t="shared" si="314"/>
        <v>55122</v>
      </c>
      <c r="DM48" s="3">
        <f t="shared" ref="DM48:DN48" si="315">DM37+DM40+DM44</f>
        <v>52720</v>
      </c>
      <c r="DN48" s="3">
        <f t="shared" si="315"/>
        <v>50229</v>
      </c>
      <c r="DO48" s="3">
        <f t="shared" ref="DO48:DP48" si="316">DO37+DO40+DO44</f>
        <v>48309</v>
      </c>
      <c r="DP48" s="3">
        <f t="shared" si="316"/>
        <v>47150</v>
      </c>
      <c r="DQ48" s="3">
        <f t="shared" ref="DQ48:DR48" si="317">DQ37+DQ40+DQ44</f>
        <v>46693</v>
      </c>
      <c r="DR48" s="3">
        <f t="shared" si="317"/>
        <v>46446</v>
      </c>
      <c r="DS48" s="3">
        <f t="shared" ref="DS48:DT48" si="318">DS37+DS40+DS44</f>
        <v>46437</v>
      </c>
      <c r="DT48" s="3">
        <f t="shared" si="318"/>
        <v>46678</v>
      </c>
      <c r="DU48" s="3">
        <f t="shared" ref="DU48" si="319">DU37+DU40+DU44</f>
        <v>47475</v>
      </c>
    </row>
    <row r="49" spans="1:125" ht="13.5" customHeight="1" x14ac:dyDescent="0.25">
      <c r="A49" s="17"/>
      <c r="B49" s="44" t="s">
        <v>81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5"/>
      <c r="BG49" s="45"/>
      <c r="BH49" s="45"/>
      <c r="BI49" s="18"/>
      <c r="BJ49" s="18"/>
      <c r="BK49" s="18" t="s">
        <v>117</v>
      </c>
      <c r="BL49" s="19"/>
      <c r="BN49" s="3" t="s">
        <v>76</v>
      </c>
      <c r="CG49" s="3">
        <f t="shared" ref="CG49:CH49" si="320">CG38+CG41+CG45</f>
        <v>16947</v>
      </c>
      <c r="CH49" s="3">
        <f t="shared" si="320"/>
        <v>17047</v>
      </c>
      <c r="CI49" s="3">
        <f t="shared" ref="CI49:CT49" si="321">CI38+CI41+CI45</f>
        <v>18473</v>
      </c>
      <c r="CJ49" s="3">
        <f t="shared" si="321"/>
        <v>19179</v>
      </c>
      <c r="CK49" s="3">
        <f t="shared" si="321"/>
        <v>19606</v>
      </c>
      <c r="CL49" s="3">
        <f t="shared" si="321"/>
        <v>19965</v>
      </c>
      <c r="CO49" s="3">
        <f t="shared" si="321"/>
        <v>20163</v>
      </c>
      <c r="CQ49" s="3">
        <f t="shared" si="321"/>
        <v>19119</v>
      </c>
      <c r="CR49" s="3">
        <f t="shared" si="321"/>
        <v>20086</v>
      </c>
      <c r="CS49" s="3">
        <f t="shared" si="321"/>
        <v>19790</v>
      </c>
      <c r="CT49" s="3">
        <f t="shared" si="321"/>
        <v>19228</v>
      </c>
      <c r="CU49" s="3">
        <f t="shared" ref="CU49:DD49" si="322">CU38+CU41+CU45</f>
        <v>19041</v>
      </c>
      <c r="CV49" s="3">
        <f t="shared" si="322"/>
        <v>19008</v>
      </c>
      <c r="CW49" s="3">
        <f t="shared" si="322"/>
        <v>19451</v>
      </c>
      <c r="CX49" s="3">
        <f t="shared" si="322"/>
        <v>18921</v>
      </c>
      <c r="CY49" s="3">
        <f t="shared" si="322"/>
        <v>21038</v>
      </c>
      <c r="CZ49" s="3">
        <f t="shared" si="322"/>
        <v>20952</v>
      </c>
      <c r="DA49" s="3">
        <f t="shared" si="322"/>
        <v>20364</v>
      </c>
      <c r="DB49" s="3">
        <f t="shared" si="322"/>
        <v>20048</v>
      </c>
      <c r="DC49" s="3">
        <f t="shared" si="322"/>
        <v>19843</v>
      </c>
      <c r="DD49" s="3">
        <f t="shared" si="322"/>
        <v>20245</v>
      </c>
      <c r="DE49" s="3">
        <f t="shared" ref="DE49:DI49" si="323">DE38+DE41+DE45</f>
        <v>20562</v>
      </c>
      <c r="DF49" s="3">
        <f t="shared" si="323"/>
        <v>20953</v>
      </c>
      <c r="DG49" s="3">
        <f t="shared" si="323"/>
        <v>20544</v>
      </c>
      <c r="DH49" s="3">
        <f t="shared" si="323"/>
        <v>21068</v>
      </c>
      <c r="DI49" s="3">
        <f t="shared" si="323"/>
        <v>21561</v>
      </c>
      <c r="DJ49" s="3">
        <f t="shared" si="314"/>
        <v>21386</v>
      </c>
      <c r="DK49" s="3">
        <f t="shared" si="314"/>
        <v>21940</v>
      </c>
      <c r="DL49" s="3">
        <f t="shared" si="314"/>
        <v>22611</v>
      </c>
      <c r="DM49" s="3">
        <f t="shared" ref="DM49:DN49" si="324">DM38+DM41+DM45</f>
        <v>23279</v>
      </c>
      <c r="DN49" s="3">
        <f t="shared" si="324"/>
        <v>22585</v>
      </c>
      <c r="DO49" s="3">
        <f t="shared" ref="DO49:DP49" si="325">DO38+DO41+DO45</f>
        <v>22951</v>
      </c>
      <c r="DP49" s="3">
        <f t="shared" si="325"/>
        <v>23328</v>
      </c>
      <c r="DQ49" s="3">
        <f t="shared" ref="DQ49:DR49" si="326">DQ38+DQ41+DQ45</f>
        <v>22059</v>
      </c>
      <c r="DR49" s="3">
        <f t="shared" si="326"/>
        <v>23388</v>
      </c>
      <c r="DS49" s="3">
        <f t="shared" ref="DS49:DT49" si="327">DS38+DS41+DS45</f>
        <v>22831</v>
      </c>
      <c r="DT49" s="3">
        <f t="shared" si="327"/>
        <v>21568</v>
      </c>
      <c r="DU49" s="3">
        <f t="shared" ref="DU49" si="328">DU38+DU41+DU45</f>
        <v>20690</v>
      </c>
    </row>
    <row r="50" spans="1:125" ht="13.5" customHeight="1" x14ac:dyDescent="0.2">
      <c r="BN50" s="40" t="s">
        <v>112</v>
      </c>
      <c r="CG50" s="3">
        <f t="shared" ref="CG50:CH50" si="329">SUM(CG48:CG49)</f>
        <v>53612</v>
      </c>
      <c r="CH50" s="3">
        <f t="shared" si="329"/>
        <v>52564</v>
      </c>
      <c r="CI50" s="3">
        <f t="shared" ref="CI50:CT50" si="330">SUM(CI48:CI49)</f>
        <v>52956</v>
      </c>
      <c r="CJ50" s="3">
        <f t="shared" si="330"/>
        <v>53716</v>
      </c>
      <c r="CK50" s="3">
        <f t="shared" si="330"/>
        <v>54852</v>
      </c>
      <c r="CL50" s="3">
        <f t="shared" si="330"/>
        <v>55985</v>
      </c>
      <c r="CO50" s="3">
        <f t="shared" si="330"/>
        <v>54502</v>
      </c>
      <c r="CQ50" s="3">
        <f t="shared" si="330"/>
        <v>53197</v>
      </c>
      <c r="CR50" s="3">
        <f t="shared" si="330"/>
        <v>53963</v>
      </c>
      <c r="CS50" s="3">
        <f t="shared" si="330"/>
        <v>54175</v>
      </c>
      <c r="CT50" s="3">
        <f t="shared" si="330"/>
        <v>53547</v>
      </c>
      <c r="CU50" s="3">
        <f t="shared" ref="CU50" si="331">SUM(CU48:CU49)</f>
        <v>54188</v>
      </c>
      <c r="CV50" s="3">
        <f t="shared" ref="CV50" si="332">SUM(CV48:CV49)</f>
        <v>54757</v>
      </c>
      <c r="CW50" s="3">
        <f t="shared" ref="CW50" si="333">SUM(CW48:CW49)</f>
        <v>56007</v>
      </c>
      <c r="CX50" s="3">
        <f t="shared" ref="CX50" si="334">SUM(CX48:CX49)</f>
        <v>56512</v>
      </c>
      <c r="CY50" s="3">
        <f t="shared" ref="CY50" si="335">SUM(CY48:CY49)</f>
        <v>60904</v>
      </c>
      <c r="CZ50" s="3">
        <f t="shared" ref="CZ50" si="336">SUM(CZ48:CZ49)</f>
        <v>62089</v>
      </c>
      <c r="DA50" s="3">
        <f t="shared" ref="DA50" si="337">SUM(DA48:DA49)</f>
        <v>62159</v>
      </c>
      <c r="DB50" s="3">
        <f t="shared" ref="DB50" si="338">SUM(DB48:DB49)</f>
        <v>63384</v>
      </c>
      <c r="DC50" s="3">
        <f t="shared" ref="DC50" si="339">SUM(DC48:DC49)</f>
        <v>63783</v>
      </c>
      <c r="DD50" s="3">
        <f t="shared" ref="DD50" si="340">SUM(DD48:DD49)</f>
        <v>64541</v>
      </c>
      <c r="DE50" s="3">
        <f t="shared" ref="DE50:DI50" si="341">SUM(DE48:DE49)</f>
        <v>66719</v>
      </c>
      <c r="DF50" s="3">
        <f t="shared" si="341"/>
        <v>69384</v>
      </c>
      <c r="DG50" s="3">
        <f t="shared" si="341"/>
        <v>71596</v>
      </c>
      <c r="DH50" s="3">
        <f t="shared" si="341"/>
        <v>73565</v>
      </c>
      <c r="DI50" s="3">
        <f t="shared" si="341"/>
        <v>75044</v>
      </c>
      <c r="DJ50" s="3">
        <f t="shared" ref="DJ50:DO50" si="342">SUM(DJ48:DJ49)</f>
        <v>75272</v>
      </c>
      <c r="DK50" s="3">
        <f t="shared" si="342"/>
        <v>77283</v>
      </c>
      <c r="DL50" s="3">
        <f t="shared" si="342"/>
        <v>77733</v>
      </c>
      <c r="DM50" s="3">
        <f t="shared" si="342"/>
        <v>75999</v>
      </c>
      <c r="DN50" s="3">
        <f t="shared" si="342"/>
        <v>72814</v>
      </c>
      <c r="DO50" s="3">
        <f t="shared" si="342"/>
        <v>71260</v>
      </c>
      <c r="DP50" s="3">
        <f t="shared" ref="DP50:DQ50" si="343">SUM(DP48:DP49)</f>
        <v>70478</v>
      </c>
      <c r="DQ50" s="3">
        <f t="shared" si="343"/>
        <v>68752</v>
      </c>
      <c r="DR50" s="3">
        <f t="shared" ref="DR50:DS50" si="344">SUM(DR48:DR49)</f>
        <v>69834</v>
      </c>
      <c r="DS50" s="3">
        <f t="shared" si="344"/>
        <v>69268</v>
      </c>
      <c r="DT50" s="3">
        <f t="shared" ref="DT50" si="345">SUM(DT48:DT49)</f>
        <v>68246</v>
      </c>
      <c r="DU50" s="3">
        <f t="shared" ref="DU50" si="346">SUM(DU48:DU49)</f>
        <v>68165</v>
      </c>
    </row>
    <row r="53" spans="1:125" ht="13.5" customHeight="1" x14ac:dyDescent="0.2">
      <c r="BN53" s="1"/>
    </row>
    <row r="101" spans="99:99" ht="13.5" customHeight="1" x14ac:dyDescent="0.2">
      <c r="CU101" s="20"/>
    </row>
  </sheetData>
  <mergeCells count="2">
    <mergeCell ref="A2:BL2"/>
    <mergeCell ref="B49:BH49"/>
  </mergeCells>
  <hyperlinks>
    <hyperlink ref="B49:BE49" r:id="rId1" display="Sources: IPEDS EF, Fall Enrollment Survey &amp; DHE 02 (Residence)" xr:uid="{F6F47F57-2F73-4863-BEF7-5193CB996F7C}"/>
  </hyperlinks>
  <printOptions horizontalCentered="1"/>
  <pageMargins left="0.7" right="0.45" top="0.5" bottom="0.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U101"/>
  <sheetViews>
    <sheetView zoomScaleNormal="100" workbookViewId="0"/>
  </sheetViews>
  <sheetFormatPr defaultColWidth="9.140625" defaultRowHeight="13.5" customHeight="1" x14ac:dyDescent="0.2"/>
  <cols>
    <col min="1" max="3" width="2.7109375" style="2" customWidth="1"/>
    <col min="4" max="4" width="18.7109375" style="2" customWidth="1"/>
    <col min="5" max="57" width="8.7109375" style="2" hidden="1" customWidth="1"/>
    <col min="58" max="63" width="8.7109375" style="2" customWidth="1"/>
    <col min="64" max="64" width="2.7109375" style="2" customWidth="1"/>
    <col min="65" max="65" width="9.140625" style="2" customWidth="1"/>
    <col min="66" max="66" width="18.7109375" style="2" customWidth="1"/>
    <col min="67" max="113" width="9.140625" style="2" hidden="1" customWidth="1"/>
    <col min="114" max="119" width="0" style="2" hidden="1" customWidth="1"/>
    <col min="120" max="125" width="9.140625" style="2"/>
    <col min="126" max="16384" width="9.140625" style="1"/>
  </cols>
  <sheetData>
    <row r="2" spans="1:125" ht="15" customHeight="1" x14ac:dyDescent="0.25">
      <c r="A2" s="41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125" ht="13.5" customHeight="1" x14ac:dyDescent="0.2">
      <c r="A3" s="8"/>
      <c r="BL3" s="9"/>
    </row>
    <row r="4" spans="1:125" ht="15" customHeight="1" x14ac:dyDescent="0.25">
      <c r="A4" s="4"/>
      <c r="B4" s="6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9"/>
    </row>
    <row r="5" spans="1:125" ht="15" customHeight="1" x14ac:dyDescent="0.25">
      <c r="A5" s="4"/>
      <c r="B5" s="7" t="s">
        <v>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9"/>
      <c r="BN5" s="24" t="s">
        <v>73</v>
      </c>
    </row>
    <row r="6" spans="1:125" ht="13.5" customHeight="1" thickBot="1" x14ac:dyDescent="0.25">
      <c r="A6" s="8"/>
      <c r="BL6" s="9"/>
      <c r="BN6" s="24" t="s">
        <v>74</v>
      </c>
    </row>
    <row r="7" spans="1:125" ht="13.5" customHeight="1" thickTop="1" x14ac:dyDescent="0.2">
      <c r="A7" s="8"/>
      <c r="B7" s="10"/>
      <c r="C7" s="10"/>
      <c r="D7" s="10"/>
      <c r="E7" s="11" t="s">
        <v>3</v>
      </c>
      <c r="F7" s="11" t="s">
        <v>4</v>
      </c>
      <c r="G7" s="11" t="s">
        <v>5</v>
      </c>
      <c r="H7" s="11" t="s">
        <v>6</v>
      </c>
      <c r="I7" s="11" t="s">
        <v>7</v>
      </c>
      <c r="J7" s="11" t="s">
        <v>8</v>
      </c>
      <c r="K7" s="11" t="s">
        <v>9</v>
      </c>
      <c r="L7" s="11" t="s">
        <v>10</v>
      </c>
      <c r="M7" s="11" t="s">
        <v>11</v>
      </c>
      <c r="N7" s="11" t="s">
        <v>12</v>
      </c>
      <c r="O7" s="11" t="s">
        <v>13</v>
      </c>
      <c r="P7" s="11" t="s">
        <v>14</v>
      </c>
      <c r="Q7" s="11" t="s">
        <v>15</v>
      </c>
      <c r="R7" s="11" t="s">
        <v>16</v>
      </c>
      <c r="S7" s="11" t="s">
        <v>17</v>
      </c>
      <c r="T7" s="11" t="s">
        <v>18</v>
      </c>
      <c r="U7" s="11" t="s">
        <v>19</v>
      </c>
      <c r="V7" s="11" t="s">
        <v>20</v>
      </c>
      <c r="W7" s="11" t="s">
        <v>21</v>
      </c>
      <c r="X7" s="11" t="s">
        <v>22</v>
      </c>
      <c r="Y7" s="11" t="s">
        <v>23</v>
      </c>
      <c r="Z7" s="11" t="s">
        <v>24</v>
      </c>
      <c r="AA7" s="11" t="s">
        <v>25</v>
      </c>
      <c r="AB7" s="11" t="s">
        <v>26</v>
      </c>
      <c r="AC7" s="11" t="s">
        <v>27</v>
      </c>
      <c r="AD7" s="11" t="s">
        <v>28</v>
      </c>
      <c r="AE7" s="11" t="s">
        <v>29</v>
      </c>
      <c r="AF7" s="11" t="s">
        <v>30</v>
      </c>
      <c r="AG7" s="11" t="s">
        <v>31</v>
      </c>
      <c r="AH7" s="11" t="s">
        <v>32</v>
      </c>
      <c r="AI7" s="11" t="s">
        <v>33</v>
      </c>
      <c r="AJ7" s="11" t="s">
        <v>34</v>
      </c>
      <c r="AK7" s="11" t="s">
        <v>35</v>
      </c>
      <c r="AL7" s="11" t="s">
        <v>36</v>
      </c>
      <c r="AM7" s="11" t="s">
        <v>37</v>
      </c>
      <c r="AN7" s="11" t="s">
        <v>38</v>
      </c>
      <c r="AO7" s="11" t="s">
        <v>39</v>
      </c>
      <c r="AP7" s="11" t="s">
        <v>40</v>
      </c>
      <c r="AQ7" s="11" t="s">
        <v>41</v>
      </c>
      <c r="AR7" s="11" t="s">
        <v>42</v>
      </c>
      <c r="AS7" s="11" t="s">
        <v>43</v>
      </c>
      <c r="AT7" s="11" t="s">
        <v>44</v>
      </c>
      <c r="AU7" s="11" t="s">
        <v>45</v>
      </c>
      <c r="AV7" s="11" t="s">
        <v>46</v>
      </c>
      <c r="AW7" s="11" t="s">
        <v>47</v>
      </c>
      <c r="AX7" s="11" t="s">
        <v>48</v>
      </c>
      <c r="AY7" s="11" t="s">
        <v>49</v>
      </c>
      <c r="AZ7" s="11" t="s">
        <v>50</v>
      </c>
      <c r="BA7" s="11" t="s">
        <v>100</v>
      </c>
      <c r="BB7" s="11" t="s">
        <v>102</v>
      </c>
      <c r="BC7" s="11" t="s">
        <v>103</v>
      </c>
      <c r="BD7" s="11" t="s">
        <v>104</v>
      </c>
      <c r="BE7" s="11" t="s">
        <v>105</v>
      </c>
      <c r="BF7" s="11" t="s">
        <v>106</v>
      </c>
      <c r="BG7" s="11" t="s">
        <v>107</v>
      </c>
      <c r="BH7" s="11" t="s">
        <v>108</v>
      </c>
      <c r="BI7" s="11" t="s">
        <v>113</v>
      </c>
      <c r="BJ7" s="11" t="s">
        <v>115</v>
      </c>
      <c r="BK7" s="11" t="s">
        <v>116</v>
      </c>
      <c r="BL7" s="9"/>
      <c r="BO7" s="20" t="s">
        <v>3</v>
      </c>
      <c r="BP7" s="20" t="s">
        <v>4</v>
      </c>
      <c r="BQ7" s="20" t="s">
        <v>5</v>
      </c>
      <c r="BR7" s="20" t="s">
        <v>6</v>
      </c>
      <c r="BS7" s="20" t="s">
        <v>7</v>
      </c>
      <c r="BT7" s="20" t="s">
        <v>8</v>
      </c>
      <c r="BU7" s="20" t="s">
        <v>9</v>
      </c>
      <c r="BV7" s="20" t="s">
        <v>10</v>
      </c>
      <c r="BW7" s="20" t="s">
        <v>11</v>
      </c>
      <c r="BX7" s="20" t="s">
        <v>12</v>
      </c>
      <c r="BY7" s="20" t="s">
        <v>13</v>
      </c>
      <c r="BZ7" s="20" t="s">
        <v>14</v>
      </c>
      <c r="CA7" s="20" t="s">
        <v>15</v>
      </c>
      <c r="CB7" s="20" t="s">
        <v>16</v>
      </c>
      <c r="CC7" s="20" t="s">
        <v>17</v>
      </c>
      <c r="CD7" s="20" t="s">
        <v>18</v>
      </c>
      <c r="CE7" s="20" t="s">
        <v>19</v>
      </c>
      <c r="CF7" s="20" t="s">
        <v>20</v>
      </c>
      <c r="CG7" s="20" t="s">
        <v>21</v>
      </c>
      <c r="CH7" s="20" t="s">
        <v>22</v>
      </c>
      <c r="CI7" s="20" t="s">
        <v>23</v>
      </c>
      <c r="CJ7" s="20" t="s">
        <v>24</v>
      </c>
      <c r="CK7" s="20" t="s">
        <v>25</v>
      </c>
      <c r="CL7" s="20" t="s">
        <v>26</v>
      </c>
      <c r="CM7" s="20" t="s">
        <v>27</v>
      </c>
      <c r="CN7" s="20" t="s">
        <v>28</v>
      </c>
      <c r="CO7" s="20" t="s">
        <v>29</v>
      </c>
      <c r="CP7" s="20" t="s">
        <v>30</v>
      </c>
      <c r="CQ7" s="20" t="s">
        <v>31</v>
      </c>
      <c r="CR7" s="20" t="s">
        <v>32</v>
      </c>
      <c r="CS7" s="20" t="s">
        <v>33</v>
      </c>
      <c r="CT7" s="20" t="s">
        <v>34</v>
      </c>
      <c r="CU7" s="20" t="s">
        <v>35</v>
      </c>
      <c r="CV7" s="20" t="s">
        <v>36</v>
      </c>
      <c r="CW7" s="20" t="s">
        <v>37</v>
      </c>
      <c r="CX7" s="20" t="s">
        <v>38</v>
      </c>
      <c r="CY7" s="20" t="s">
        <v>39</v>
      </c>
      <c r="CZ7" s="20" t="s">
        <v>40</v>
      </c>
      <c r="DA7" s="20" t="s">
        <v>41</v>
      </c>
      <c r="DB7" s="20" t="s">
        <v>42</v>
      </c>
      <c r="DC7" s="20" t="s">
        <v>43</v>
      </c>
      <c r="DD7" s="20" t="s">
        <v>44</v>
      </c>
      <c r="DE7" s="20" t="s">
        <v>45</v>
      </c>
      <c r="DF7" s="20" t="s">
        <v>46</v>
      </c>
      <c r="DG7" s="21" t="s">
        <v>47</v>
      </c>
      <c r="DH7" s="21" t="s">
        <v>48</v>
      </c>
      <c r="DI7" s="21" t="s">
        <v>49</v>
      </c>
      <c r="DJ7" s="21" t="s">
        <v>50</v>
      </c>
      <c r="DK7" s="21" t="s">
        <v>100</v>
      </c>
      <c r="DL7" s="21" t="s">
        <v>102</v>
      </c>
      <c r="DM7" s="21" t="s">
        <v>103</v>
      </c>
      <c r="DN7" s="21" t="s">
        <v>104</v>
      </c>
      <c r="DO7" s="21" t="s">
        <v>105</v>
      </c>
      <c r="DP7" s="21" t="s">
        <v>106</v>
      </c>
      <c r="DQ7" s="21" t="s">
        <v>107</v>
      </c>
      <c r="DR7" s="21" t="s">
        <v>108</v>
      </c>
      <c r="DS7" s="21" t="s">
        <v>113</v>
      </c>
      <c r="DT7" s="21" t="s">
        <v>115</v>
      </c>
      <c r="DU7" s="21" t="s">
        <v>116</v>
      </c>
    </row>
    <row r="8" spans="1:125" ht="13.5" customHeight="1" x14ac:dyDescent="0.2">
      <c r="A8" s="8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9"/>
      <c r="BN8" s="2" t="s">
        <v>51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</row>
    <row r="9" spans="1:125" ht="13.5" customHeight="1" x14ac:dyDescent="0.2">
      <c r="A9" s="8"/>
      <c r="B9" s="26" t="s">
        <v>68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9"/>
      <c r="BN9" s="2" t="s">
        <v>78</v>
      </c>
      <c r="CL9" s="2">
        <v>24344</v>
      </c>
      <c r="CM9" s="2">
        <v>25063</v>
      </c>
      <c r="CN9" s="2">
        <v>24739</v>
      </c>
      <c r="CO9" s="2">
        <v>23430</v>
      </c>
      <c r="CP9" s="2">
        <v>22225</v>
      </c>
      <c r="CQ9" s="2">
        <v>22175</v>
      </c>
      <c r="CR9" s="2">
        <v>22356</v>
      </c>
      <c r="CS9" s="2">
        <v>22519</v>
      </c>
      <c r="CT9" s="2">
        <v>22552</v>
      </c>
      <c r="CU9" s="2">
        <v>22780</v>
      </c>
      <c r="CV9" s="2">
        <v>22311</v>
      </c>
      <c r="CW9" s="2">
        <v>22588</v>
      </c>
      <c r="CX9" s="2">
        <v>23667</v>
      </c>
      <c r="CY9" s="2">
        <v>26124</v>
      </c>
      <c r="CZ9" s="2">
        <v>26805</v>
      </c>
      <c r="DA9" s="2">
        <v>27003</v>
      </c>
      <c r="DB9" s="2">
        <v>27930</v>
      </c>
      <c r="DC9" s="2">
        <v>28184</v>
      </c>
      <c r="DD9" s="2">
        <v>28405</v>
      </c>
      <c r="DE9" s="2">
        <v>30130</v>
      </c>
      <c r="DF9" s="2">
        <v>31237</v>
      </c>
      <c r="DG9" s="2">
        <v>32341</v>
      </c>
      <c r="DH9" s="2">
        <v>33762</v>
      </c>
      <c r="DI9" s="2">
        <v>34704</v>
      </c>
      <c r="DJ9" s="2">
        <v>34616</v>
      </c>
      <c r="DK9" s="2">
        <v>35425</v>
      </c>
      <c r="DL9" s="2">
        <v>35424</v>
      </c>
      <c r="DM9" s="2">
        <v>33239</v>
      </c>
      <c r="DN9" s="2">
        <v>30844</v>
      </c>
      <c r="DO9" s="2">
        <v>29843</v>
      </c>
      <c r="DP9" s="2">
        <v>30014</v>
      </c>
      <c r="DQ9" s="2">
        <v>31089</v>
      </c>
      <c r="DR9" s="2">
        <v>31401</v>
      </c>
      <c r="DS9" s="2">
        <v>31304</v>
      </c>
      <c r="DT9" s="2">
        <v>31013</v>
      </c>
      <c r="DU9" s="2">
        <v>31543</v>
      </c>
    </row>
    <row r="10" spans="1:125" ht="13.5" customHeight="1" x14ac:dyDescent="0.2">
      <c r="A10" s="8"/>
      <c r="C10" s="3" t="s">
        <v>71</v>
      </c>
      <c r="BL10" s="9"/>
      <c r="BN10" s="2" t="s">
        <v>77</v>
      </c>
      <c r="CL10" s="2">
        <v>725</v>
      </c>
      <c r="CM10" s="2">
        <v>895</v>
      </c>
      <c r="CN10" s="2">
        <v>783</v>
      </c>
      <c r="CO10" s="2">
        <v>766</v>
      </c>
      <c r="CP10" s="2">
        <v>613</v>
      </c>
      <c r="CQ10" s="2">
        <v>515</v>
      </c>
      <c r="CR10" s="2">
        <v>488</v>
      </c>
      <c r="CS10" s="2">
        <v>433</v>
      </c>
      <c r="CT10" s="2">
        <v>462</v>
      </c>
      <c r="CU10" s="2">
        <v>561</v>
      </c>
      <c r="CV10" s="2">
        <v>619</v>
      </c>
      <c r="CW10" s="2">
        <v>721</v>
      </c>
      <c r="CX10" s="2">
        <v>771</v>
      </c>
      <c r="CY10" s="2">
        <v>1037</v>
      </c>
      <c r="CZ10" s="2">
        <v>1058</v>
      </c>
      <c r="DA10" s="2">
        <v>960</v>
      </c>
      <c r="DB10" s="2">
        <v>974</v>
      </c>
      <c r="DC10" s="2">
        <v>1258</v>
      </c>
      <c r="DD10" s="2">
        <v>1010</v>
      </c>
      <c r="DE10" s="2">
        <v>1102</v>
      </c>
      <c r="DF10" s="2">
        <v>1103</v>
      </c>
      <c r="DG10" s="2">
        <v>896</v>
      </c>
      <c r="DH10" s="2">
        <v>749</v>
      </c>
      <c r="DI10" s="2">
        <v>639</v>
      </c>
      <c r="DJ10" s="2">
        <v>531</v>
      </c>
      <c r="DK10" s="2">
        <v>462</v>
      </c>
      <c r="DL10" s="2">
        <v>452</v>
      </c>
      <c r="DM10" s="2">
        <v>502</v>
      </c>
      <c r="DN10" s="2">
        <v>441</v>
      </c>
      <c r="DO10" s="2">
        <v>435</v>
      </c>
      <c r="DP10" s="2">
        <v>422</v>
      </c>
      <c r="DQ10" s="2">
        <v>432</v>
      </c>
      <c r="DR10" s="2">
        <v>409</v>
      </c>
      <c r="DS10" s="2">
        <v>393</v>
      </c>
      <c r="DT10" s="2">
        <v>387</v>
      </c>
      <c r="DU10" s="2">
        <v>501</v>
      </c>
    </row>
    <row r="11" spans="1:125" ht="13.5" customHeight="1" x14ac:dyDescent="0.2">
      <c r="A11" s="8"/>
      <c r="D11" s="2" t="s">
        <v>114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>
        <f t="shared" ref="O11:O14" si="0">BY11/BY$20</f>
        <v>3.1136068390395174E-2</v>
      </c>
      <c r="P11" s="13">
        <f t="shared" ref="P11:P14" si="1">BZ11/BZ$20</f>
        <v>2.7769670183046324E-2</v>
      </c>
      <c r="Q11" s="13">
        <f t="shared" ref="Q11:Q14" si="2">CA11/CA$20</f>
        <v>2.6307922272047833E-2</v>
      </c>
      <c r="R11" s="13">
        <f t="shared" ref="R11:R14" si="3">CB11/CB$20</f>
        <v>3.5888723720535143E-2</v>
      </c>
      <c r="S11" s="13"/>
      <c r="T11" s="13"/>
      <c r="U11" s="13"/>
      <c r="V11" s="13"/>
      <c r="W11" s="13">
        <f t="shared" ref="W11:X14" si="4">CG11/CG$20</f>
        <v>4.9353402586389657E-2</v>
      </c>
      <c r="X11" s="13">
        <f t="shared" si="4"/>
        <v>5.2458020566668116E-2</v>
      </c>
      <c r="Y11" s="13">
        <f t="shared" ref="Y11:Y14" si="5">CI11/CI$20</f>
        <v>5.3856646279755359E-2</v>
      </c>
      <c r="Z11" s="13">
        <f t="shared" ref="Z11:Z14" si="6">CJ11/CJ$20</f>
        <v>5.3576095478700236E-2</v>
      </c>
      <c r="AA11" s="13">
        <f t="shared" ref="AA11:AA14" si="7">CK11/CK$20</f>
        <v>5.6602172437202988E-2</v>
      </c>
      <c r="AB11" s="13">
        <f t="shared" ref="AB11:AB14" si="8">CL11/CL$20</f>
        <v>6.1814640755324106E-2</v>
      </c>
      <c r="AC11" s="13">
        <f t="shared" ref="AC11:AC14" si="9">CM11/CM$20</f>
        <v>6.6120489904005292E-2</v>
      </c>
      <c r="AD11" s="13">
        <f t="shared" ref="AD11:AD14" si="10">CN11/CN$20</f>
        <v>6.729003172482885E-2</v>
      </c>
      <c r="AE11" s="13">
        <f t="shared" ref="AE11:AE14" si="11">CO11/CO$20</f>
        <v>7.0375926579597597E-2</v>
      </c>
      <c r="AF11" s="13">
        <f t="shared" ref="AF11:AF14" si="12">CP11/CP$20</f>
        <v>7.1580603368498988E-2</v>
      </c>
      <c r="AG11" s="13">
        <f t="shared" ref="AG11:AG14" si="13">CQ11/CQ$20</f>
        <v>7.0683287165281619E-2</v>
      </c>
      <c r="AH11" s="13">
        <f t="shared" ref="AH11:AH14" si="14">CR11/CR$20</f>
        <v>6.6398390342052319E-2</v>
      </c>
      <c r="AI11" s="13">
        <f t="shared" ref="AI11:AI14" si="15">CS11/CS$20</f>
        <v>6.3026351534908986E-2</v>
      </c>
      <c r="AJ11" s="13">
        <f t="shared" ref="AJ11:AJ14" si="16">CT11/CT$20</f>
        <v>5.9438660027161611E-2</v>
      </c>
      <c r="AK11" s="13">
        <f t="shared" ref="AK11:AK14" si="17">CU11/CU$20</f>
        <v>5.2657635357126781E-2</v>
      </c>
      <c r="AL11" s="13">
        <f t="shared" ref="AL11:AL14" si="18">CV11/CV$20</f>
        <v>5.445744251714401E-2</v>
      </c>
      <c r="AM11" s="13">
        <f t="shared" ref="AM11:AM14" si="19">CW11/CW$20</f>
        <v>5.5117761643350451E-2</v>
      </c>
      <c r="AN11" s="13">
        <f t="shared" ref="AN11:AN14" si="20">CX11/CX$20</f>
        <v>5.738993710691824E-2</v>
      </c>
      <c r="AO11" s="13">
        <f t="shared" ref="AO11:AO14" si="21">CY11/CY$20</f>
        <v>5.616454737513453E-2</v>
      </c>
      <c r="AP11" s="13">
        <f t="shared" ref="AP11:AP14" si="22">CZ11/CZ$20</f>
        <v>5.4336427544956691E-2</v>
      </c>
      <c r="AQ11" s="13">
        <f t="shared" ref="AQ11:AQ14" si="23">DA11/DA$20</f>
        <v>5.3757247628921402E-2</v>
      </c>
      <c r="AR11" s="13">
        <f t="shared" ref="AR11:AR14" si="24">DB11/DB$20</f>
        <v>5.0971954295889597E-2</v>
      </c>
      <c r="AS11" s="13">
        <f t="shared" ref="AS11:AS14" si="25">DC11/DC$20</f>
        <v>5.251429844759712E-2</v>
      </c>
      <c r="AT11" s="13">
        <f t="shared" ref="AT11:AT14" si="26">DD11/DD$20</f>
        <v>5.3038875707245844E-2</v>
      </c>
      <c r="AU11" s="13">
        <f t="shared" ref="AU11:AY14" si="27">DE11/DE$20</f>
        <v>5.3775664875292818E-2</v>
      </c>
      <c r="AV11" s="13">
        <f t="shared" si="27"/>
        <v>5.3560761930045796E-2</v>
      </c>
      <c r="AW11" s="13">
        <f t="shared" si="27"/>
        <v>5.3967244394975356E-2</v>
      </c>
      <c r="AX11" s="13">
        <f t="shared" si="27"/>
        <v>5.882531124102626E-2</v>
      </c>
      <c r="AY11" s="13">
        <f t="shared" si="27"/>
        <v>6.2674299134008515E-2</v>
      </c>
      <c r="AZ11" s="13">
        <f t="shared" ref="AZ11:BE11" si="28">DJ11/DJ$20</f>
        <v>6.5600704122047826E-2</v>
      </c>
      <c r="BA11" s="13">
        <f t="shared" si="28"/>
        <v>6.9130223379000655E-2</v>
      </c>
      <c r="BB11" s="13">
        <f t="shared" si="28"/>
        <v>7.1685920164703196E-2</v>
      </c>
      <c r="BC11" s="13">
        <f t="shared" si="28"/>
        <v>7.1723126737330847E-2</v>
      </c>
      <c r="BD11" s="13">
        <f t="shared" si="28"/>
        <v>6.7855145873762457E-2</v>
      </c>
      <c r="BE11" s="13">
        <f t="shared" si="28"/>
        <v>6.1683895538628943E-2</v>
      </c>
      <c r="BF11" s="13">
        <f t="shared" ref="BF11:BK11" si="29">DP11/DP$20</f>
        <v>5.4845904298459043E-2</v>
      </c>
      <c r="BG11" s="13">
        <f t="shared" si="29"/>
        <v>4.3024431614313206E-2</v>
      </c>
      <c r="BH11" s="13">
        <f t="shared" si="29"/>
        <v>4.1365513680949921E-2</v>
      </c>
      <c r="BI11" s="13">
        <f t="shared" si="29"/>
        <v>4.4547248552295297E-2</v>
      </c>
      <c r="BJ11" s="13">
        <f t="shared" si="29"/>
        <v>4.6790308887873049E-2</v>
      </c>
      <c r="BK11" s="13">
        <f t="shared" si="29"/>
        <v>4.5647831969589589E-2</v>
      </c>
      <c r="BL11" s="9"/>
      <c r="BN11" s="2" t="s">
        <v>114</v>
      </c>
      <c r="BY11" s="2">
        <v>743</v>
      </c>
      <c r="BZ11" s="2">
        <v>666</v>
      </c>
      <c r="CA11" s="2">
        <v>616</v>
      </c>
      <c r="CB11" s="2">
        <v>845</v>
      </c>
      <c r="CG11" s="2">
        <f>844+320</f>
        <v>1164</v>
      </c>
      <c r="CH11" s="2">
        <v>1209</v>
      </c>
      <c r="CI11" s="2">
        <v>1224</v>
      </c>
      <c r="CJ11" s="2">
        <v>1230</v>
      </c>
      <c r="CK11" s="2">
        <v>1334</v>
      </c>
      <c r="CL11" s="2">
        <v>1460</v>
      </c>
      <c r="CM11" s="2">
        <v>1598</v>
      </c>
      <c r="CN11" s="2">
        <v>1612</v>
      </c>
      <c r="CO11" s="2">
        <v>1595</v>
      </c>
      <c r="CP11" s="2">
        <v>1547</v>
      </c>
      <c r="CQ11" s="2">
        <v>1531</v>
      </c>
      <c r="CR11" s="2">
        <v>1452</v>
      </c>
      <c r="CS11" s="2">
        <v>1392</v>
      </c>
      <c r="CT11" s="2">
        <v>1313</v>
      </c>
      <c r="CU11" s="2">
        <v>1170</v>
      </c>
      <c r="CV11" s="2">
        <v>1215</v>
      </c>
      <c r="CW11" s="2">
        <v>1245</v>
      </c>
      <c r="CX11" s="2">
        <v>1314</v>
      </c>
      <c r="CY11" s="2">
        <v>1409</v>
      </c>
      <c r="CZ11" s="2">
        <v>1399</v>
      </c>
      <c r="DA11" s="2">
        <v>1400</v>
      </c>
      <c r="DB11" s="2">
        <v>1374</v>
      </c>
      <c r="DC11" s="2">
        <v>1414</v>
      </c>
      <c r="DD11" s="2">
        <v>1453</v>
      </c>
      <c r="DE11" s="2">
        <v>1561</v>
      </c>
      <c r="DF11" s="2">
        <v>1614</v>
      </c>
      <c r="DG11" s="2">
        <v>1697</v>
      </c>
      <c r="DH11" s="2">
        <v>1942</v>
      </c>
      <c r="DI11" s="2">
        <v>2135</v>
      </c>
      <c r="DJ11" s="2">
        <v>2236</v>
      </c>
      <c r="DK11" s="2">
        <v>2417</v>
      </c>
      <c r="DL11" s="2">
        <v>2507</v>
      </c>
      <c r="DM11" s="2">
        <v>2348</v>
      </c>
      <c r="DN11" s="2">
        <v>2063</v>
      </c>
      <c r="DO11" s="2">
        <v>1814</v>
      </c>
      <c r="DP11" s="2">
        <v>1623</v>
      </c>
      <c r="DQ11" s="2">
        <v>1319</v>
      </c>
      <c r="DR11" s="2">
        <v>1282</v>
      </c>
      <c r="DS11" s="2">
        <v>1377</v>
      </c>
      <c r="DT11" s="2">
        <v>1433</v>
      </c>
      <c r="DU11" s="2">
        <v>1417</v>
      </c>
    </row>
    <row r="12" spans="1:125" ht="13.5" customHeight="1" x14ac:dyDescent="0.2">
      <c r="A12" s="8"/>
      <c r="D12" s="2" t="s">
        <v>54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>
        <f t="shared" si="0"/>
        <v>1.6343292964002849E-3</v>
      </c>
      <c r="P12" s="13">
        <f t="shared" si="1"/>
        <v>2.4183796856106408E-3</v>
      </c>
      <c r="Q12" s="13">
        <f t="shared" si="2"/>
        <v>4.3561819346572706E-3</v>
      </c>
      <c r="R12" s="13">
        <f t="shared" si="3"/>
        <v>7.0503291569335314E-3</v>
      </c>
      <c r="S12" s="13"/>
      <c r="T12" s="13"/>
      <c r="U12" s="13"/>
      <c r="V12" s="13"/>
      <c r="W12" s="13">
        <f t="shared" si="4"/>
        <v>6.953572185711257E-3</v>
      </c>
      <c r="X12" s="13">
        <f t="shared" si="4"/>
        <v>6.6819976569618602E-3</v>
      </c>
      <c r="Y12" s="13">
        <f t="shared" si="5"/>
        <v>7.1720860650327806E-3</v>
      </c>
      <c r="Z12" s="13">
        <f t="shared" si="6"/>
        <v>7.2305949995644216E-3</v>
      </c>
      <c r="AA12" s="13">
        <f t="shared" si="7"/>
        <v>7.9344874405974201E-3</v>
      </c>
      <c r="AB12" s="13">
        <f t="shared" si="8"/>
        <v>8.7641305728438975E-3</v>
      </c>
      <c r="AC12" s="13">
        <f t="shared" si="9"/>
        <v>8.6064217146640185E-3</v>
      </c>
      <c r="AD12" s="13">
        <f t="shared" si="10"/>
        <v>1.0185339789614292E-2</v>
      </c>
      <c r="AE12" s="13">
        <f t="shared" si="11"/>
        <v>1.1516060713025062E-2</v>
      </c>
      <c r="AF12" s="13">
        <f t="shared" si="12"/>
        <v>1.212289468813622E-2</v>
      </c>
      <c r="AG12" s="13">
        <f t="shared" si="13"/>
        <v>1.2927054478301015E-2</v>
      </c>
      <c r="AH12" s="13">
        <f t="shared" si="14"/>
        <v>1.3215657581854764E-2</v>
      </c>
      <c r="AI12" s="13">
        <f t="shared" si="15"/>
        <v>1.3221045005886082E-2</v>
      </c>
      <c r="AJ12" s="13">
        <f t="shared" si="16"/>
        <v>1.3490267089180625E-2</v>
      </c>
      <c r="AK12" s="13">
        <f t="shared" si="17"/>
        <v>1.3997029569287547E-2</v>
      </c>
      <c r="AL12" s="13">
        <f t="shared" si="18"/>
        <v>1.4611626551925059E-2</v>
      </c>
      <c r="AM12" s="13">
        <f t="shared" si="19"/>
        <v>1.5760580839383743E-2</v>
      </c>
      <c r="AN12" s="13">
        <f t="shared" si="20"/>
        <v>1.5461215932914047E-2</v>
      </c>
      <c r="AO12" s="13">
        <f t="shared" si="21"/>
        <v>1.5545900267070594E-2</v>
      </c>
      <c r="AP12" s="13">
        <f t="shared" si="22"/>
        <v>1.5963024818425448E-2</v>
      </c>
      <c r="AQ12" s="13">
        <f t="shared" si="23"/>
        <v>1.7048727105172214E-2</v>
      </c>
      <c r="AR12" s="13">
        <f t="shared" si="24"/>
        <v>1.7955186229410891E-2</v>
      </c>
      <c r="AS12" s="13">
        <f t="shared" si="25"/>
        <v>1.8457995989006909E-2</v>
      </c>
      <c r="AT12" s="13">
        <f t="shared" si="26"/>
        <v>1.8361014783719657E-2</v>
      </c>
      <c r="AU12" s="13">
        <f t="shared" si="27"/>
        <v>2.0015157778696432E-2</v>
      </c>
      <c r="AV12" s="13">
        <f t="shared" si="27"/>
        <v>2.236676179730537E-2</v>
      </c>
      <c r="AW12" s="13">
        <f t="shared" si="27"/>
        <v>2.5059627921768166E-2</v>
      </c>
      <c r="AX12" s="13">
        <f t="shared" si="27"/>
        <v>2.6747039045224609E-2</v>
      </c>
      <c r="AY12" s="13">
        <f t="shared" si="27"/>
        <v>2.8915308968149128E-2</v>
      </c>
      <c r="AZ12" s="13">
        <f t="shared" ref="AZ12:BH13" si="30">DJ12/DJ$20</f>
        <v>3.1362769546721431E-2</v>
      </c>
      <c r="BA12" s="13">
        <f t="shared" si="30"/>
        <v>3.3320939278666022E-2</v>
      </c>
      <c r="BB12" s="13">
        <f t="shared" si="30"/>
        <v>3.4684890769758663E-2</v>
      </c>
      <c r="BC12" s="13">
        <f t="shared" si="30"/>
        <v>3.6167028133304822E-2</v>
      </c>
      <c r="BD12" s="13">
        <f t="shared" si="30"/>
        <v>3.8614610400289448E-2</v>
      </c>
      <c r="BE12" s="13">
        <f t="shared" si="30"/>
        <v>4.2913492927094669E-2</v>
      </c>
      <c r="BF12" s="13">
        <f t="shared" si="30"/>
        <v>4.5856988375236551E-2</v>
      </c>
      <c r="BG12" s="13">
        <f t="shared" si="30"/>
        <v>5.029846364614933E-2</v>
      </c>
      <c r="BH12" s="13">
        <f t="shared" si="30"/>
        <v>5.1981156427465154E-2</v>
      </c>
      <c r="BI12" s="13">
        <f t="shared" ref="BI12:BK18" si="31">DS12/DS$20</f>
        <v>5.3411406942512375E-2</v>
      </c>
      <c r="BJ12" s="13">
        <f t="shared" si="31"/>
        <v>5.4790047671912756E-2</v>
      </c>
      <c r="BK12" s="13">
        <f t="shared" si="31"/>
        <v>5.9371174537723087E-2</v>
      </c>
      <c r="BL12" s="9"/>
      <c r="BN12" s="2" t="s">
        <v>54</v>
      </c>
      <c r="BY12" s="2">
        <v>39</v>
      </c>
      <c r="BZ12" s="2">
        <v>58</v>
      </c>
      <c r="CA12" s="2">
        <v>102</v>
      </c>
      <c r="CB12" s="2">
        <v>166</v>
      </c>
      <c r="CG12" s="2">
        <f>96+68</f>
        <v>164</v>
      </c>
      <c r="CH12" s="2">
        <v>154</v>
      </c>
      <c r="CI12" s="2">
        <v>163</v>
      </c>
      <c r="CJ12" s="2">
        <v>166</v>
      </c>
      <c r="CK12" s="2">
        <v>187</v>
      </c>
      <c r="CL12" s="2">
        <v>207</v>
      </c>
      <c r="CM12" s="2">
        <v>208</v>
      </c>
      <c r="CN12" s="2">
        <v>244</v>
      </c>
      <c r="CO12" s="2">
        <v>261</v>
      </c>
      <c r="CP12" s="2">
        <v>262</v>
      </c>
      <c r="CQ12" s="2">
        <v>280</v>
      </c>
      <c r="CR12" s="2">
        <v>289</v>
      </c>
      <c r="CS12" s="2">
        <v>292</v>
      </c>
      <c r="CT12" s="2">
        <v>298</v>
      </c>
      <c r="CU12" s="2">
        <v>311</v>
      </c>
      <c r="CV12" s="2">
        <v>326</v>
      </c>
      <c r="CW12" s="2">
        <v>356</v>
      </c>
      <c r="CX12" s="2">
        <v>354</v>
      </c>
      <c r="CY12" s="2">
        <v>390</v>
      </c>
      <c r="CZ12" s="2">
        <v>411</v>
      </c>
      <c r="DA12" s="2">
        <v>444</v>
      </c>
      <c r="DB12" s="2">
        <v>484</v>
      </c>
      <c r="DC12" s="2">
        <v>497</v>
      </c>
      <c r="DD12" s="2">
        <v>503</v>
      </c>
      <c r="DE12" s="2">
        <v>581</v>
      </c>
      <c r="DF12" s="2">
        <v>674</v>
      </c>
      <c r="DG12" s="2">
        <v>788</v>
      </c>
      <c r="DH12" s="2">
        <v>883</v>
      </c>
      <c r="DI12" s="2">
        <v>985</v>
      </c>
      <c r="DJ12" s="2">
        <v>1069</v>
      </c>
      <c r="DK12" s="2">
        <v>1165</v>
      </c>
      <c r="DL12" s="2">
        <v>1213</v>
      </c>
      <c r="DM12" s="2">
        <v>1184</v>
      </c>
      <c r="DN12" s="2">
        <v>1174</v>
      </c>
      <c r="DO12" s="2">
        <v>1262</v>
      </c>
      <c r="DP12" s="2">
        <v>1357</v>
      </c>
      <c r="DQ12" s="2">
        <v>1542</v>
      </c>
      <c r="DR12" s="2">
        <v>1611</v>
      </c>
      <c r="DS12" s="2">
        <v>1651</v>
      </c>
      <c r="DT12" s="2">
        <v>1678</v>
      </c>
      <c r="DU12" s="2">
        <v>1843</v>
      </c>
    </row>
    <row r="13" spans="1:125" ht="13.5" customHeight="1" x14ac:dyDescent="0.2">
      <c r="A13" s="8"/>
      <c r="D13" s="2" t="s">
        <v>52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>
        <f t="shared" si="0"/>
        <v>3.3524703515903282E-3</v>
      </c>
      <c r="P13" s="13">
        <f t="shared" si="1"/>
        <v>2.8353417003710961E-3</v>
      </c>
      <c r="Q13" s="13">
        <f t="shared" si="2"/>
        <v>2.2207986333546872E-3</v>
      </c>
      <c r="R13" s="13">
        <f t="shared" si="3"/>
        <v>2.9305585049904438E-3</v>
      </c>
      <c r="S13" s="13"/>
      <c r="T13" s="13"/>
      <c r="U13" s="13"/>
      <c r="V13" s="13"/>
      <c r="W13" s="13">
        <f t="shared" si="4"/>
        <v>3.1375874496502015E-3</v>
      </c>
      <c r="X13" s="13">
        <f t="shared" si="4"/>
        <v>2.3430381394541587E-3</v>
      </c>
      <c r="Y13" s="13">
        <f t="shared" si="5"/>
        <v>2.5520306243674924E-3</v>
      </c>
      <c r="Z13" s="13">
        <f t="shared" si="6"/>
        <v>2.6134680721317189E-3</v>
      </c>
      <c r="AA13" s="13">
        <f t="shared" si="7"/>
        <v>2.7579769178547181E-3</v>
      </c>
      <c r="AB13" s="13">
        <f t="shared" si="8"/>
        <v>2.4133113171599138E-3</v>
      </c>
      <c r="AC13" s="13">
        <f t="shared" si="9"/>
        <v>3.4342932803707381E-3</v>
      </c>
      <c r="AD13" s="13">
        <f t="shared" si="10"/>
        <v>3.8403740190348975E-3</v>
      </c>
      <c r="AE13" s="13">
        <f t="shared" si="11"/>
        <v>3.6180727144369926E-3</v>
      </c>
      <c r="AF13" s="13">
        <f t="shared" si="12"/>
        <v>3.6553766426059594E-3</v>
      </c>
      <c r="AG13" s="13">
        <f t="shared" si="13"/>
        <v>3.6934441366574329E-3</v>
      </c>
      <c r="AH13" s="13">
        <f t="shared" si="14"/>
        <v>4.298518383025425E-3</v>
      </c>
      <c r="AI13" s="13">
        <f t="shared" si="15"/>
        <v>4.1655347278819164E-3</v>
      </c>
      <c r="AJ13" s="13">
        <f t="shared" si="16"/>
        <v>5.1607062019013127E-3</v>
      </c>
      <c r="AK13" s="13">
        <f t="shared" si="17"/>
        <v>4.8607048021963185E-3</v>
      </c>
      <c r="AL13" s="13">
        <f t="shared" si="18"/>
        <v>5.0647662587961096E-3</v>
      </c>
      <c r="AM13" s="13">
        <f t="shared" si="19"/>
        <v>4.9141136886842575E-3</v>
      </c>
      <c r="AN13" s="13">
        <f t="shared" si="20"/>
        <v>5.1537386443046822E-3</v>
      </c>
      <c r="AO13" s="13">
        <f t="shared" si="21"/>
        <v>5.7001634312592179E-3</v>
      </c>
      <c r="AP13" s="13">
        <f t="shared" si="22"/>
        <v>6.0201188487979179E-3</v>
      </c>
      <c r="AQ13" s="13">
        <f t="shared" si="23"/>
        <v>6.2588795453672776E-3</v>
      </c>
      <c r="AR13" s="13">
        <f t="shared" si="24"/>
        <v>5.9726962457337888E-3</v>
      </c>
      <c r="AS13" s="13">
        <f t="shared" si="25"/>
        <v>6.2764614127609007E-3</v>
      </c>
      <c r="AT13" s="13">
        <f t="shared" si="26"/>
        <v>6.0960029202409196E-3</v>
      </c>
      <c r="AU13" s="13">
        <f t="shared" si="27"/>
        <v>6.3731569519085022E-3</v>
      </c>
      <c r="AV13" s="13">
        <f t="shared" si="27"/>
        <v>5.840578748257782E-3</v>
      </c>
      <c r="AW13" s="13">
        <f t="shared" si="27"/>
        <v>4.5158212752424865E-3</v>
      </c>
      <c r="AX13" s="13">
        <f t="shared" si="27"/>
        <v>4.0590070578257051E-3</v>
      </c>
      <c r="AY13" s="13">
        <f t="shared" si="27"/>
        <v>3.4639659474533981E-3</v>
      </c>
      <c r="AZ13" s="13">
        <f t="shared" si="30"/>
        <v>2.8458266099457238E-3</v>
      </c>
      <c r="BA13" s="13">
        <f t="shared" si="30"/>
        <v>1.9735148585647683E-3</v>
      </c>
      <c r="BB13" s="13">
        <f t="shared" si="30"/>
        <v>1.8300354569369781E-3</v>
      </c>
      <c r="BC13" s="13">
        <f t="shared" si="30"/>
        <v>2.0466139230839722E-3</v>
      </c>
      <c r="BD13" s="13">
        <f t="shared" si="30"/>
        <v>2.0721639311910007E-3</v>
      </c>
      <c r="BE13" s="13">
        <f t="shared" si="30"/>
        <v>2.3463003264417846E-3</v>
      </c>
      <c r="BF13" s="13">
        <f t="shared" si="30"/>
        <v>2.2303325223033254E-3</v>
      </c>
      <c r="BG13" s="13">
        <f t="shared" si="30"/>
        <v>2.3485663959291517E-3</v>
      </c>
      <c r="BH13" s="13">
        <f t="shared" si="30"/>
        <v>2.1295818275684046E-3</v>
      </c>
      <c r="BI13" s="13">
        <f t="shared" ref="BI13:BK13" si="32">DS13/DS$20</f>
        <v>1.8763546957393808E-3</v>
      </c>
      <c r="BJ13" s="13">
        <f t="shared" si="32"/>
        <v>1.730555736955528E-3</v>
      </c>
      <c r="BK13" s="13">
        <f t="shared" si="32"/>
        <v>1.6751497970491592E-3</v>
      </c>
      <c r="BL13" s="9"/>
      <c r="BN13" s="2" t="s">
        <v>52</v>
      </c>
      <c r="BY13" s="2">
        <v>80</v>
      </c>
      <c r="BZ13" s="2">
        <v>68</v>
      </c>
      <c r="CA13" s="2">
        <v>52</v>
      </c>
      <c r="CB13" s="2">
        <v>69</v>
      </c>
      <c r="CG13" s="2">
        <v>74</v>
      </c>
      <c r="CH13" s="2">
        <v>54</v>
      </c>
      <c r="CI13" s="2">
        <v>58</v>
      </c>
      <c r="CJ13" s="2">
        <v>60</v>
      </c>
      <c r="CK13" s="2">
        <v>65</v>
      </c>
      <c r="CL13" s="2">
        <v>57</v>
      </c>
      <c r="CM13" s="2">
        <v>83</v>
      </c>
      <c r="CN13" s="2">
        <v>92</v>
      </c>
      <c r="CO13" s="2">
        <v>82</v>
      </c>
      <c r="CP13" s="2">
        <v>79</v>
      </c>
      <c r="CQ13" s="2">
        <v>80</v>
      </c>
      <c r="CR13" s="2">
        <v>94</v>
      </c>
      <c r="CS13" s="2">
        <v>92</v>
      </c>
      <c r="CT13" s="2">
        <v>114</v>
      </c>
      <c r="CU13" s="2">
        <v>108</v>
      </c>
      <c r="CV13" s="2">
        <v>113</v>
      </c>
      <c r="CW13" s="2">
        <v>111</v>
      </c>
      <c r="CX13" s="2">
        <v>118</v>
      </c>
      <c r="CY13" s="2">
        <v>143</v>
      </c>
      <c r="CZ13" s="2">
        <v>155</v>
      </c>
      <c r="DA13" s="2">
        <v>163</v>
      </c>
      <c r="DB13" s="2">
        <v>161</v>
      </c>
      <c r="DC13" s="2">
        <v>169</v>
      </c>
      <c r="DD13" s="2">
        <v>167</v>
      </c>
      <c r="DE13" s="2">
        <v>185</v>
      </c>
      <c r="DF13" s="2">
        <v>176</v>
      </c>
      <c r="DG13" s="2">
        <v>142</v>
      </c>
      <c r="DH13" s="2">
        <v>134</v>
      </c>
      <c r="DI13" s="2">
        <v>118</v>
      </c>
      <c r="DJ13" s="2">
        <v>97</v>
      </c>
      <c r="DK13" s="2">
        <v>69</v>
      </c>
      <c r="DL13" s="2">
        <v>64</v>
      </c>
      <c r="DM13" s="2">
        <v>67</v>
      </c>
      <c r="DN13" s="2">
        <v>63</v>
      </c>
      <c r="DO13" s="2">
        <v>69</v>
      </c>
      <c r="DP13" s="2">
        <v>66</v>
      </c>
      <c r="DQ13" s="2">
        <v>72</v>
      </c>
      <c r="DR13" s="2">
        <v>66</v>
      </c>
      <c r="DS13" s="2">
        <v>58</v>
      </c>
      <c r="DT13" s="2">
        <v>53</v>
      </c>
      <c r="DU13" s="2">
        <v>52</v>
      </c>
    </row>
    <row r="14" spans="1:125" ht="13.5" hidden="1" customHeight="1" x14ac:dyDescent="0.2">
      <c r="A14" s="8"/>
      <c r="D14" s="2" t="s">
        <v>85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>
        <f t="shared" si="0"/>
        <v>5.3639525625445248E-3</v>
      </c>
      <c r="P14" s="13">
        <f t="shared" si="1"/>
        <v>8.0473668848767884E-3</v>
      </c>
      <c r="Q14" s="13">
        <f t="shared" si="2"/>
        <v>1.2427930813581038E-2</v>
      </c>
      <c r="R14" s="13">
        <f t="shared" si="3"/>
        <v>8.1121257167126783E-3</v>
      </c>
      <c r="S14" s="13"/>
      <c r="T14" s="13"/>
      <c r="U14" s="13"/>
      <c r="V14" s="13"/>
      <c r="W14" s="13">
        <f t="shared" si="4"/>
        <v>1.05999576001696E-2</v>
      </c>
      <c r="X14" s="13">
        <f t="shared" si="4"/>
        <v>1.1671801102095718E-2</v>
      </c>
      <c r="Y14" s="13">
        <f t="shared" si="5"/>
        <v>1.1176134113609364E-2</v>
      </c>
      <c r="Z14" s="13">
        <f t="shared" si="6"/>
        <v>1.2021953131805907E-2</v>
      </c>
      <c r="AA14" s="13">
        <f t="shared" si="7"/>
        <v>1.3238289205702648E-2</v>
      </c>
      <c r="AB14" s="13">
        <f t="shared" si="8"/>
        <v>1.392946356746687E-2</v>
      </c>
      <c r="AC14" s="13">
        <f t="shared" si="9"/>
        <v>1.6012909632571997E-2</v>
      </c>
      <c r="AD14" s="13">
        <f t="shared" si="10"/>
        <v>1.728168308565704E-2</v>
      </c>
      <c r="AE14" s="13">
        <f t="shared" si="11"/>
        <v>1.8663960465937168E-2</v>
      </c>
      <c r="AF14" s="13">
        <f t="shared" si="12"/>
        <v>2.1330742180270219E-2</v>
      </c>
      <c r="AG14" s="13">
        <f t="shared" si="13"/>
        <v>2.2807017543859651E-2</v>
      </c>
      <c r="AH14" s="13">
        <f t="shared" si="14"/>
        <v>2.3504664349734774E-2</v>
      </c>
      <c r="AI14" s="13">
        <f t="shared" si="15"/>
        <v>2.463098795617133E-2</v>
      </c>
      <c r="AJ14" s="13">
        <f t="shared" si="16"/>
        <v>2.6029877772747848E-2</v>
      </c>
      <c r="AK14" s="13">
        <f t="shared" si="17"/>
        <v>2.5608713263423195E-2</v>
      </c>
      <c r="AL14" s="13">
        <f t="shared" si="18"/>
        <v>2.384474026265071E-2</v>
      </c>
      <c r="AM14" s="13">
        <f t="shared" si="19"/>
        <v>2.4791924915884542E-2</v>
      </c>
      <c r="AN14" s="13">
        <f t="shared" si="20"/>
        <v>2.5506638714185886E-2</v>
      </c>
      <c r="AO14" s="13">
        <f t="shared" si="21"/>
        <v>2.4634272730896481E-2</v>
      </c>
      <c r="AP14" s="13">
        <f t="shared" si="22"/>
        <v>2.6061288693828406E-2</v>
      </c>
      <c r="AQ14" s="13">
        <f t="shared" si="23"/>
        <v>2.7723380562915179E-2</v>
      </c>
      <c r="AR14" s="13">
        <f t="shared" si="24"/>
        <v>2.7823119157144978E-2</v>
      </c>
      <c r="AS14" s="13">
        <f t="shared" si="25"/>
        <v>2.7742702220901732E-2</v>
      </c>
      <c r="AT14" s="13">
        <f t="shared" si="26"/>
        <v>2.6683701405365943E-2</v>
      </c>
      <c r="AU14" s="13">
        <f t="shared" si="27"/>
        <v>2.5113683340223233E-2</v>
      </c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9"/>
      <c r="BN14" s="2" t="s">
        <v>85</v>
      </c>
      <c r="BY14" s="2">
        <v>128</v>
      </c>
      <c r="BZ14" s="2">
        <v>193</v>
      </c>
      <c r="CA14" s="2">
        <v>291</v>
      </c>
      <c r="CB14" s="2">
        <v>191</v>
      </c>
      <c r="CG14" s="2">
        <v>250</v>
      </c>
      <c r="CH14" s="2">
        <v>269</v>
      </c>
      <c r="CI14" s="2">
        <v>254</v>
      </c>
      <c r="CJ14" s="2">
        <v>276</v>
      </c>
      <c r="CK14" s="2">
        <v>312</v>
      </c>
      <c r="CL14" s="2">
        <v>329</v>
      </c>
      <c r="CM14" s="2">
        <v>387</v>
      </c>
      <c r="CN14" s="2">
        <v>414</v>
      </c>
      <c r="CO14" s="2">
        <v>423</v>
      </c>
      <c r="CP14" s="2">
        <v>461</v>
      </c>
      <c r="CQ14" s="2">
        <v>494</v>
      </c>
      <c r="CR14" s="2">
        <v>514</v>
      </c>
      <c r="CS14" s="2">
        <v>544</v>
      </c>
      <c r="CT14" s="2">
        <v>575</v>
      </c>
      <c r="CU14" s="2">
        <v>569</v>
      </c>
      <c r="CV14" s="2">
        <v>532</v>
      </c>
      <c r="CW14" s="2">
        <v>560</v>
      </c>
      <c r="CX14" s="2">
        <v>584</v>
      </c>
      <c r="CY14" s="2">
        <v>618</v>
      </c>
      <c r="CZ14" s="2">
        <v>671</v>
      </c>
      <c r="DA14" s="2">
        <v>722</v>
      </c>
      <c r="DB14" s="2">
        <v>750</v>
      </c>
      <c r="DC14" s="2">
        <v>747</v>
      </c>
      <c r="DD14" s="2">
        <v>731</v>
      </c>
      <c r="DE14" s="2">
        <v>729</v>
      </c>
    </row>
    <row r="15" spans="1:125" ht="13.5" customHeight="1" x14ac:dyDescent="0.2">
      <c r="A15" s="8"/>
      <c r="D15" s="2" t="s">
        <v>53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>
        <f t="shared" ref="AV15:AV19" si="33">DF15/DF$20</f>
        <v>2.5021570319240724E-2</v>
      </c>
      <c r="AW15" s="13">
        <f t="shared" ref="AW15:AW19" si="34">DG15/DG$20</f>
        <v>2.38193671489903E-2</v>
      </c>
      <c r="AX15" s="13">
        <f t="shared" ref="AX15:AX19" si="35">DH15/DH$20</f>
        <v>2.4081422469936085E-2</v>
      </c>
      <c r="AY15" s="13">
        <f t="shared" ref="AY15:AY19" si="36">DI15/DI$20</f>
        <v>2.2897402025539412E-2</v>
      </c>
      <c r="AZ15" s="13">
        <f t="shared" ref="AZ15:BH19" si="37">DJ15/DJ$20</f>
        <v>2.2121167669062639E-2</v>
      </c>
      <c r="BA15" s="13">
        <f t="shared" si="37"/>
        <v>2.28241283642708E-2</v>
      </c>
      <c r="BB15" s="13">
        <f t="shared" si="37"/>
        <v>2.2274962827404782E-2</v>
      </c>
      <c r="BC15" s="13">
        <f t="shared" si="37"/>
        <v>2.1810184195253077E-2</v>
      </c>
      <c r="BD15" s="13">
        <f t="shared" si="37"/>
        <v>2.394500542709601E-2</v>
      </c>
      <c r="BE15" s="13">
        <f t="shared" si="37"/>
        <v>2.4415125136017412E-2</v>
      </c>
      <c r="BF15" s="13">
        <f t="shared" si="37"/>
        <v>2.5581238172479048E-2</v>
      </c>
      <c r="BG15" s="13">
        <f t="shared" si="37"/>
        <v>2.6649704798251624E-2</v>
      </c>
      <c r="BH15" s="13">
        <f t="shared" si="37"/>
        <v>2.8749354672173464E-2</v>
      </c>
      <c r="BI15" s="13">
        <f t="shared" si="31"/>
        <v>2.9018795897900424E-2</v>
      </c>
      <c r="BJ15" s="13">
        <f t="shared" si="31"/>
        <v>2.9713315483576048E-2</v>
      </c>
      <c r="BK15" s="13">
        <f t="shared" si="31"/>
        <v>3.0056053089362798E-2</v>
      </c>
      <c r="BL15" s="9"/>
      <c r="BN15" s="2" t="s">
        <v>53</v>
      </c>
      <c r="DF15" s="2">
        <v>754</v>
      </c>
      <c r="DG15" s="2">
        <v>749</v>
      </c>
      <c r="DH15" s="2">
        <v>795</v>
      </c>
      <c r="DI15" s="2">
        <v>780</v>
      </c>
      <c r="DJ15" s="2">
        <v>754</v>
      </c>
      <c r="DK15" s="2">
        <v>798</v>
      </c>
      <c r="DL15" s="2">
        <v>779</v>
      </c>
      <c r="DM15" s="2">
        <v>714</v>
      </c>
      <c r="DN15" s="2">
        <v>728</v>
      </c>
      <c r="DO15" s="2">
        <v>718</v>
      </c>
      <c r="DP15" s="2">
        <v>757</v>
      </c>
      <c r="DQ15" s="2">
        <v>817</v>
      </c>
      <c r="DR15" s="2">
        <v>891</v>
      </c>
      <c r="DS15" s="2">
        <v>897</v>
      </c>
      <c r="DT15" s="2">
        <v>910</v>
      </c>
      <c r="DU15" s="2">
        <v>933</v>
      </c>
    </row>
    <row r="16" spans="1:125" ht="13.5" customHeight="1" x14ac:dyDescent="0.2">
      <c r="A16" s="8"/>
      <c r="D16" s="2" t="s">
        <v>65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>
        <f t="shared" ref="O16" si="38">BY16/BY$20</f>
        <v>2.757406864183045E-2</v>
      </c>
      <c r="P16" s="13">
        <f t="shared" ref="P16" si="39">BZ16/BZ$20</f>
        <v>2.8061543593378643E-2</v>
      </c>
      <c r="Q16" s="13">
        <f t="shared" ref="Q16" si="40">CA16/CA$20</f>
        <v>2.9809950886184069E-2</v>
      </c>
      <c r="R16" s="13">
        <f t="shared" ref="R16" si="41">CB16/CB$20</f>
        <v>3.3637715013803353E-2</v>
      </c>
      <c r="S16" s="13"/>
      <c r="T16" s="13"/>
      <c r="U16" s="13"/>
      <c r="V16" s="13"/>
      <c r="W16" s="13">
        <f t="shared" ref="W16:X16" si="42">CG16/CG$20</f>
        <v>3.5700657197371213E-2</v>
      </c>
      <c r="X16" s="13">
        <f t="shared" si="42"/>
        <v>3.375710504620992E-2</v>
      </c>
      <c r="Y16" s="13">
        <f t="shared" ref="Y16" si="43">CI16/CI$20</f>
        <v>3.2780393364720377E-2</v>
      </c>
      <c r="Z16" s="13">
        <f t="shared" ref="Z16" si="44">CJ16/CJ$20</f>
        <v>3.4759125359351863E-2</v>
      </c>
      <c r="AA16" s="13">
        <f t="shared" ref="AA16" si="45">CK16/CK$20</f>
        <v>3.4283774609640189E-2</v>
      </c>
      <c r="AB16" s="13">
        <f t="shared" ref="AB16" si="46">CL16/CL$20</f>
        <v>3.7215800838308138E-2</v>
      </c>
      <c r="AC16" s="13">
        <f t="shared" ref="AC16" si="47">CM16/CM$20</f>
        <v>3.9970208540218467E-2</v>
      </c>
      <c r="AD16" s="13">
        <f t="shared" ref="AD16" si="48">CN16/CN$20</f>
        <v>4.0657872766739024E-2</v>
      </c>
      <c r="AE16" s="13">
        <f t="shared" ref="AE16" si="49">CO16/CO$20</f>
        <v>3.8386869043416871E-2</v>
      </c>
      <c r="AF16" s="13">
        <f t="shared" ref="AF16" si="50">CP16/CP$20</f>
        <v>3.9931519526189153E-2</v>
      </c>
      <c r="AG16" s="13">
        <f t="shared" ref="AG16" si="51">CQ16/CQ$20</f>
        <v>4.7876269621421975E-2</v>
      </c>
      <c r="AH16" s="13">
        <f t="shared" ref="AH16" si="52">CR16/CR$20</f>
        <v>5.3960124382659597E-2</v>
      </c>
      <c r="AI16" s="13">
        <f t="shared" ref="AI16" si="53">CS16/CS$20</f>
        <v>5.7366657611156391E-2</v>
      </c>
      <c r="AJ16" s="13">
        <f t="shared" ref="AJ16" si="54">CT16/CT$20</f>
        <v>6.1249434133091897E-2</v>
      </c>
      <c r="AK16" s="13">
        <f t="shared" ref="AK16:AT16" si="55">CU16/CU$20</f>
        <v>6.4719384310725062E-2</v>
      </c>
      <c r="AL16" s="13">
        <f t="shared" si="55"/>
        <v>6.1404688270359914E-2</v>
      </c>
      <c r="AM16" s="13">
        <f t="shared" si="55"/>
        <v>5.9190720736674342E-2</v>
      </c>
      <c r="AN16" s="13">
        <f t="shared" si="55"/>
        <v>5.3939552760307478E-2</v>
      </c>
      <c r="AO16" s="13">
        <f t="shared" si="55"/>
        <v>5.3852592976441981E-2</v>
      </c>
      <c r="AP16" s="13">
        <f t="shared" si="55"/>
        <v>5.3054724822309399E-2</v>
      </c>
      <c r="AQ16" s="13">
        <f t="shared" si="55"/>
        <v>5.3181277118611529E-2</v>
      </c>
      <c r="AR16" s="13">
        <f t="shared" si="55"/>
        <v>5.5646238314289956E-2</v>
      </c>
      <c r="AS16" s="13">
        <f t="shared" si="55"/>
        <v>5.7416623338037584E-2</v>
      </c>
      <c r="AT16" s="13">
        <f t="shared" si="55"/>
        <v>5.7893776236539511E-2</v>
      </c>
      <c r="AU16" s="13">
        <f>DE16/DE$20</f>
        <v>5.8598594460520875E-2</v>
      </c>
      <c r="AV16" s="13">
        <f t="shared" si="33"/>
        <v>6.3848144952545302E-2</v>
      </c>
      <c r="AW16" s="13">
        <f t="shared" si="34"/>
        <v>6.5702019398950554E-2</v>
      </c>
      <c r="AX16" s="13">
        <f t="shared" si="35"/>
        <v>6.8972828885590531E-2</v>
      </c>
      <c r="AY16" s="13">
        <f t="shared" si="36"/>
        <v>7.2273594598561572E-2</v>
      </c>
      <c r="AZ16" s="13">
        <f t="shared" si="37"/>
        <v>7.2348540413671697E-2</v>
      </c>
      <c r="BA16" s="13">
        <f t="shared" si="37"/>
        <v>7.3020049766896439E-2</v>
      </c>
      <c r="BB16" s="13">
        <f t="shared" si="37"/>
        <v>7.2686720805215599E-2</v>
      </c>
      <c r="BC16" s="13">
        <f t="shared" si="37"/>
        <v>7.0256895867061728E-2</v>
      </c>
      <c r="BD16" s="13">
        <f t="shared" si="37"/>
        <v>6.834851823833174E-2</v>
      </c>
      <c r="BE16" s="13">
        <f t="shared" si="37"/>
        <v>7.0286996735582155E-2</v>
      </c>
      <c r="BF16" s="13">
        <f t="shared" si="37"/>
        <v>6.8126520681265207E-2</v>
      </c>
      <c r="BG16" s="13">
        <f t="shared" si="37"/>
        <v>6.722771308347196E-2</v>
      </c>
      <c r="BH16" s="13">
        <f t="shared" si="37"/>
        <v>6.2725864739287554E-2</v>
      </c>
      <c r="BI16" s="13">
        <f t="shared" si="31"/>
        <v>5.5255410695221767E-2</v>
      </c>
      <c r="BJ16" s="13">
        <f t="shared" si="31"/>
        <v>5.3222751910141711E-2</v>
      </c>
      <c r="BK16" s="13">
        <f t="shared" si="31"/>
        <v>5.1607499516783714E-2</v>
      </c>
      <c r="BL16" s="9"/>
      <c r="BN16" s="2" t="s">
        <v>65</v>
      </c>
      <c r="BY16" s="2">
        <v>658</v>
      </c>
      <c r="BZ16" s="2">
        <v>673</v>
      </c>
      <c r="CA16" s="2">
        <v>698</v>
      </c>
      <c r="CB16" s="2">
        <v>792</v>
      </c>
      <c r="CG16" s="2">
        <f>390+452</f>
        <v>842</v>
      </c>
      <c r="CH16" s="2">
        <v>778</v>
      </c>
      <c r="CI16" s="2">
        <v>745</v>
      </c>
      <c r="CJ16" s="2">
        <v>798</v>
      </c>
      <c r="CK16" s="2">
        <v>808</v>
      </c>
      <c r="CL16" s="2">
        <v>879</v>
      </c>
      <c r="CM16" s="2">
        <v>966</v>
      </c>
      <c r="CN16" s="2">
        <v>974</v>
      </c>
      <c r="CO16" s="2">
        <v>870</v>
      </c>
      <c r="CP16" s="2">
        <v>863</v>
      </c>
      <c r="CQ16" s="2">
        <v>1037</v>
      </c>
      <c r="CR16" s="2">
        <v>1180</v>
      </c>
      <c r="CS16" s="2">
        <v>1267</v>
      </c>
      <c r="CT16" s="2">
        <v>1353</v>
      </c>
      <c r="CU16" s="2">
        <v>1438</v>
      </c>
      <c r="CV16" s="2">
        <v>1370</v>
      </c>
      <c r="CW16" s="2">
        <v>1337</v>
      </c>
      <c r="CX16" s="2">
        <v>1235</v>
      </c>
      <c r="CY16" s="2">
        <v>1351</v>
      </c>
      <c r="CZ16" s="2">
        <v>1366</v>
      </c>
      <c r="DA16" s="2">
        <v>1385</v>
      </c>
      <c r="DB16" s="2">
        <v>1500</v>
      </c>
      <c r="DC16" s="2">
        <v>1546</v>
      </c>
      <c r="DD16" s="2">
        <v>1586</v>
      </c>
      <c r="DE16" s="2">
        <v>1701</v>
      </c>
      <c r="DF16" s="2">
        <v>1924</v>
      </c>
      <c r="DG16" s="2">
        <v>2066</v>
      </c>
      <c r="DH16" s="2">
        <v>2277</v>
      </c>
      <c r="DI16" s="2">
        <v>2462</v>
      </c>
      <c r="DJ16" s="2">
        <v>2466</v>
      </c>
      <c r="DK16" s="2">
        <v>2553</v>
      </c>
      <c r="DL16" s="2">
        <v>2542</v>
      </c>
      <c r="DM16" s="2">
        <v>2300</v>
      </c>
      <c r="DN16" s="2">
        <v>2078</v>
      </c>
      <c r="DO16" s="2">
        <v>2067</v>
      </c>
      <c r="DP16" s="2">
        <v>2016</v>
      </c>
      <c r="DQ16" s="2">
        <v>2061</v>
      </c>
      <c r="DR16" s="2">
        <v>1944</v>
      </c>
      <c r="DS16" s="2">
        <v>1708</v>
      </c>
      <c r="DT16" s="2">
        <v>1630</v>
      </c>
      <c r="DU16" s="2">
        <v>1602</v>
      </c>
    </row>
    <row r="17" spans="1:125" ht="13.5" customHeight="1" x14ac:dyDescent="0.2">
      <c r="A17" s="8"/>
      <c r="D17" s="2" t="s">
        <v>64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>
        <f t="shared" si="33"/>
        <v>0</v>
      </c>
      <c r="AW17" s="13">
        <f t="shared" si="34"/>
        <v>2.2261090793448878E-4</v>
      </c>
      <c r="AX17" s="13">
        <f t="shared" si="35"/>
        <v>3.6349316935752583E-4</v>
      </c>
      <c r="AY17" s="13">
        <f t="shared" si="36"/>
        <v>3.8162336709232349E-4</v>
      </c>
      <c r="AZ17" s="13">
        <f t="shared" si="37"/>
        <v>4.4007627988851402E-4</v>
      </c>
      <c r="BA17" s="13">
        <f t="shared" si="37"/>
        <v>4.2902496925321053E-4</v>
      </c>
      <c r="BB17" s="13">
        <f t="shared" si="37"/>
        <v>4.2891456021960423E-4</v>
      </c>
      <c r="BC17" s="13">
        <f t="shared" si="37"/>
        <v>4.2765067049515838E-4</v>
      </c>
      <c r="BD17" s="13">
        <f t="shared" si="37"/>
        <v>3.9469789165542875E-4</v>
      </c>
      <c r="BE17" s="13">
        <f t="shared" si="37"/>
        <v>4.7606093579978238E-4</v>
      </c>
      <c r="BF17" s="13">
        <f t="shared" si="37"/>
        <v>7.4344417410110843E-4</v>
      </c>
      <c r="BG17" s="13">
        <f t="shared" si="37"/>
        <v>8.8071239847343184E-4</v>
      </c>
      <c r="BH17" s="13">
        <f t="shared" si="37"/>
        <v>1.0002581311306144E-3</v>
      </c>
      <c r="BI17" s="13">
        <f t="shared" si="31"/>
        <v>1.0352301769596583E-3</v>
      </c>
      <c r="BJ17" s="13">
        <f t="shared" si="31"/>
        <v>8.1629987592241884E-4</v>
      </c>
      <c r="BK17" s="13">
        <f t="shared" si="31"/>
        <v>7.7314606017653503E-4</v>
      </c>
      <c r="BL17" s="9"/>
      <c r="BN17" s="2" t="s">
        <v>64</v>
      </c>
      <c r="DF17" s="2">
        <v>0</v>
      </c>
      <c r="DG17" s="2">
        <v>7</v>
      </c>
      <c r="DH17" s="2">
        <v>12</v>
      </c>
      <c r="DI17" s="2">
        <v>13</v>
      </c>
      <c r="DJ17" s="2">
        <v>15</v>
      </c>
      <c r="DK17" s="2">
        <v>15</v>
      </c>
      <c r="DL17" s="2">
        <v>15</v>
      </c>
      <c r="DM17" s="2">
        <v>14</v>
      </c>
      <c r="DN17" s="2">
        <v>12</v>
      </c>
      <c r="DO17" s="2">
        <v>14</v>
      </c>
      <c r="DP17" s="2">
        <v>22</v>
      </c>
      <c r="DQ17" s="2">
        <v>27</v>
      </c>
      <c r="DR17" s="2">
        <v>31</v>
      </c>
      <c r="DS17" s="2">
        <v>32</v>
      </c>
      <c r="DT17" s="2">
        <v>25</v>
      </c>
      <c r="DU17" s="2">
        <v>24</v>
      </c>
    </row>
    <row r="18" spans="1:125" ht="13.5" customHeight="1" x14ac:dyDescent="0.2">
      <c r="A18" s="8"/>
      <c r="D18" s="2" t="s">
        <v>55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>
        <f t="shared" ref="O18" si="56">BY18/BY$20</f>
        <v>0.93093911075723923</v>
      </c>
      <c r="P18" s="13">
        <f t="shared" ref="P18" si="57">BZ18/BZ$20</f>
        <v>0.93086769795271651</v>
      </c>
      <c r="Q18" s="13">
        <f t="shared" ref="Q18" si="58">CA18/CA$20</f>
        <v>0.92487721546017509</v>
      </c>
      <c r="R18" s="13">
        <f t="shared" ref="R18" si="59">CB18/CB$20</f>
        <v>0.91238054788702483</v>
      </c>
      <c r="S18" s="13"/>
      <c r="T18" s="13"/>
      <c r="U18" s="13"/>
      <c r="V18" s="13"/>
      <c r="W18" s="13">
        <f t="shared" ref="W18:X18" si="60">CG18/CG$20</f>
        <v>0.89425482298070813</v>
      </c>
      <c r="X18" s="13">
        <f t="shared" si="60"/>
        <v>0.89308803748861021</v>
      </c>
      <c r="Y18" s="13">
        <f t="shared" ref="Y18" si="61">CI18/CI$20</f>
        <v>0.89246270955251461</v>
      </c>
      <c r="Z18" s="13">
        <f t="shared" ref="Z18" si="62">CJ18/CJ$20</f>
        <v>0.88979876295844584</v>
      </c>
      <c r="AA18" s="13">
        <f t="shared" ref="AA18" si="63">CK18/CK$20</f>
        <v>0.88518329938900209</v>
      </c>
      <c r="AB18" s="13">
        <f t="shared" ref="AB18" si="64">CL18/CL$20</f>
        <v>0.87586265294889709</v>
      </c>
      <c r="AC18" s="13">
        <f t="shared" ref="AC18" si="65">CM18/CM$20</f>
        <v>0.86585567692816945</v>
      </c>
      <c r="AD18" s="13">
        <f t="shared" ref="AD18" si="66">CN18/CN$20</f>
        <v>0.86074469861412595</v>
      </c>
      <c r="AE18" s="13">
        <f t="shared" ref="AE18" si="67">CO18/CO$20</f>
        <v>0.85743911048358634</v>
      </c>
      <c r="AF18" s="13">
        <f t="shared" ref="AF18" si="68">CP18/CP$20</f>
        <v>0.85137886359429948</v>
      </c>
      <c r="AG18" s="13">
        <f t="shared" ref="AG18" si="69">CQ18/CQ$20</f>
        <v>0.84201292705447828</v>
      </c>
      <c r="AH18" s="13">
        <f t="shared" ref="AH18" si="70">CR18/CR$20</f>
        <v>0.83862264496067318</v>
      </c>
      <c r="AI18" s="13">
        <f t="shared" ref="AI18" si="71">CS18/CS$20</f>
        <v>0.83758942316399532</v>
      </c>
      <c r="AJ18" s="13">
        <f t="shared" ref="AJ18" si="72">CT18/CT$20</f>
        <v>0.8346310547759167</v>
      </c>
      <c r="AK18" s="13">
        <f t="shared" ref="AK18:AT18" si="73">CU18/CU$20</f>
        <v>0.83815653269724111</v>
      </c>
      <c r="AL18" s="13">
        <f t="shared" si="73"/>
        <v>0.84061673613912424</v>
      </c>
      <c r="AM18" s="13">
        <f t="shared" si="73"/>
        <v>0.84022489817602264</v>
      </c>
      <c r="AN18" s="13">
        <f t="shared" si="73"/>
        <v>0.84254891684136968</v>
      </c>
      <c r="AO18" s="13">
        <f t="shared" si="73"/>
        <v>0.84410252321919721</v>
      </c>
      <c r="AP18" s="13">
        <f t="shared" si="73"/>
        <v>0.84456441527168213</v>
      </c>
      <c r="AQ18" s="13">
        <f t="shared" si="73"/>
        <v>0.84203048803901237</v>
      </c>
      <c r="AR18" s="13">
        <f t="shared" si="73"/>
        <v>0.8416308057575308</v>
      </c>
      <c r="AS18" s="13">
        <f t="shared" si="73"/>
        <v>0.83759191859169579</v>
      </c>
      <c r="AT18" s="13">
        <f t="shared" si="73"/>
        <v>0.83792662894688807</v>
      </c>
      <c r="AU18" s="13">
        <f>DE18/DE$20</f>
        <v>0.83612374259335809</v>
      </c>
      <c r="AV18" s="13">
        <f t="shared" si="33"/>
        <v>0.82936218225260505</v>
      </c>
      <c r="AW18" s="13">
        <f t="shared" si="34"/>
        <v>0.81831769756718076</v>
      </c>
      <c r="AX18" s="13">
        <f t="shared" si="35"/>
        <v>0.80344106866991793</v>
      </c>
      <c r="AY18" s="13">
        <f t="shared" si="36"/>
        <v>0.79001908116835462</v>
      </c>
      <c r="AZ18" s="13">
        <f t="shared" si="37"/>
        <v>0.78210356461786712</v>
      </c>
      <c r="BA18" s="13">
        <f t="shared" si="37"/>
        <v>0.7739610445327918</v>
      </c>
      <c r="BB18" s="13">
        <f t="shared" si="37"/>
        <v>0.7692725609058676</v>
      </c>
      <c r="BC18" s="13">
        <f t="shared" si="37"/>
        <v>0.76922137031493421</v>
      </c>
      <c r="BD18" s="13">
        <f t="shared" si="37"/>
        <v>0.76857546952603362</v>
      </c>
      <c r="BE18" s="13">
        <f t="shared" si="37"/>
        <v>0.76462187159956474</v>
      </c>
      <c r="BF18" s="13">
        <f t="shared" si="37"/>
        <v>0.76453095431197626</v>
      </c>
      <c r="BG18" s="13">
        <f t="shared" si="37"/>
        <v>0.76990573115438565</v>
      </c>
      <c r="BH18" s="13">
        <f t="shared" si="37"/>
        <v>0.77110221992772332</v>
      </c>
      <c r="BI18" s="13">
        <f t="shared" si="31"/>
        <v>0.77380220633431462</v>
      </c>
      <c r="BJ18" s="13">
        <f t="shared" si="31"/>
        <v>0.77277476653823551</v>
      </c>
      <c r="BK18" s="13">
        <f t="shared" si="31"/>
        <v>0.76960247406739257</v>
      </c>
      <c r="BL18" s="9"/>
      <c r="BN18" s="2" t="s">
        <v>55</v>
      </c>
      <c r="BY18" s="2">
        <v>22215</v>
      </c>
      <c r="BZ18" s="2">
        <v>22325</v>
      </c>
      <c r="CA18" s="2">
        <v>21656</v>
      </c>
      <c r="CB18" s="2">
        <v>21482</v>
      </c>
      <c r="CG18" s="2">
        <f>10827+10264</f>
        <v>21091</v>
      </c>
      <c r="CH18" s="2">
        <v>20583</v>
      </c>
      <c r="CI18" s="2">
        <v>20283</v>
      </c>
      <c r="CJ18" s="2">
        <v>20428</v>
      </c>
      <c r="CK18" s="2">
        <v>20862</v>
      </c>
      <c r="CL18" s="2">
        <v>20687</v>
      </c>
      <c r="CM18" s="2">
        <v>20926</v>
      </c>
      <c r="CN18" s="2">
        <v>20620</v>
      </c>
      <c r="CO18" s="2">
        <v>19433</v>
      </c>
      <c r="CP18" s="2">
        <v>18400</v>
      </c>
      <c r="CQ18" s="2">
        <v>18238</v>
      </c>
      <c r="CR18" s="2">
        <v>18339</v>
      </c>
      <c r="CS18" s="2">
        <v>18499</v>
      </c>
      <c r="CT18" s="2">
        <v>18437</v>
      </c>
      <c r="CU18" s="2">
        <v>18623</v>
      </c>
      <c r="CV18" s="2">
        <v>18755</v>
      </c>
      <c r="CW18" s="2">
        <v>18979</v>
      </c>
      <c r="CX18" s="2">
        <v>19291</v>
      </c>
      <c r="CY18" s="2">
        <v>21176</v>
      </c>
      <c r="CZ18" s="2">
        <v>21745</v>
      </c>
      <c r="DA18" s="2">
        <v>21929</v>
      </c>
      <c r="DB18" s="2">
        <v>22687</v>
      </c>
      <c r="DC18" s="2">
        <v>22553</v>
      </c>
      <c r="DD18" s="2">
        <v>22955</v>
      </c>
      <c r="DE18" s="2">
        <v>24271</v>
      </c>
      <c r="DF18" s="2">
        <v>24992</v>
      </c>
      <c r="DG18" s="2">
        <v>25732</v>
      </c>
      <c r="DH18" s="2">
        <v>26524</v>
      </c>
      <c r="DI18" s="2">
        <v>26912</v>
      </c>
      <c r="DJ18" s="2">
        <v>26658</v>
      </c>
      <c r="DK18" s="2">
        <v>27060</v>
      </c>
      <c r="DL18" s="2">
        <v>26903</v>
      </c>
      <c r="DM18" s="2">
        <v>25182</v>
      </c>
      <c r="DN18" s="2">
        <v>23367</v>
      </c>
      <c r="DO18" s="2">
        <v>22486</v>
      </c>
      <c r="DP18" s="2">
        <v>22624</v>
      </c>
      <c r="DQ18" s="2">
        <v>23603</v>
      </c>
      <c r="DR18" s="2">
        <v>23898</v>
      </c>
      <c r="DS18" s="2">
        <v>23919</v>
      </c>
      <c r="DT18" s="2">
        <v>23667</v>
      </c>
      <c r="DU18" s="2">
        <v>23890</v>
      </c>
    </row>
    <row r="19" spans="1:125" ht="13.5" customHeight="1" x14ac:dyDescent="0.2">
      <c r="A19" s="8"/>
      <c r="D19" s="2" t="s">
        <v>66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>
        <f t="shared" si="33"/>
        <v>0</v>
      </c>
      <c r="AW19" s="13">
        <f t="shared" si="34"/>
        <v>8.3956113849578632E-3</v>
      </c>
      <c r="AX19" s="13">
        <f t="shared" si="35"/>
        <v>1.3509829461121376E-2</v>
      </c>
      <c r="AY19" s="13">
        <f t="shared" si="36"/>
        <v>1.9374724790841038E-2</v>
      </c>
      <c r="AZ19" s="13">
        <f t="shared" si="37"/>
        <v>2.317735074079507E-2</v>
      </c>
      <c r="BA19" s="13">
        <f t="shared" si="37"/>
        <v>2.5341074850556304E-2</v>
      </c>
      <c r="BB19" s="13">
        <f t="shared" si="37"/>
        <v>2.7135994509893631E-2</v>
      </c>
      <c r="BC19" s="13">
        <f t="shared" si="37"/>
        <v>2.8347130158536214E-2</v>
      </c>
      <c r="BD19" s="13">
        <f t="shared" si="37"/>
        <v>3.0194388711640298E-2</v>
      </c>
      <c r="BE19" s="13">
        <f t="shared" si="37"/>
        <v>3.3256256800870514E-2</v>
      </c>
      <c r="BF19" s="13">
        <f t="shared" si="37"/>
        <v>3.8084617464179508E-2</v>
      </c>
      <c r="BG19" s="13">
        <f t="shared" si="37"/>
        <v>3.966467690902567E-2</v>
      </c>
      <c r="BH19" s="13">
        <f t="shared" si="37"/>
        <v>4.0946050593701599E-2</v>
      </c>
      <c r="BI19" s="13">
        <f t="shared" ref="BI19:BK19" si="74">DS19/DS$20</f>
        <v>4.1053346705056455E-2</v>
      </c>
      <c r="BJ19" s="13">
        <f t="shared" si="74"/>
        <v>4.0161953895383011E-2</v>
      </c>
      <c r="BK19" s="13">
        <f t="shared" si="74"/>
        <v>4.1266670961922554E-2</v>
      </c>
      <c r="BL19" s="9"/>
      <c r="BN19" s="2" t="s">
        <v>66</v>
      </c>
      <c r="DF19" s="2">
        <v>0</v>
      </c>
      <c r="DG19" s="2">
        <v>264</v>
      </c>
      <c r="DH19" s="2">
        <v>446</v>
      </c>
      <c r="DI19" s="2">
        <v>660</v>
      </c>
      <c r="DJ19" s="2">
        <v>790</v>
      </c>
      <c r="DK19" s="2">
        <v>886</v>
      </c>
      <c r="DL19" s="2">
        <v>949</v>
      </c>
      <c r="DM19" s="2">
        <v>928</v>
      </c>
      <c r="DN19" s="2">
        <v>918</v>
      </c>
      <c r="DO19" s="2">
        <v>978</v>
      </c>
      <c r="DP19" s="2">
        <v>1127</v>
      </c>
      <c r="DQ19" s="2">
        <v>1216</v>
      </c>
      <c r="DR19" s="2">
        <v>1269</v>
      </c>
      <c r="DS19" s="2">
        <v>1269</v>
      </c>
      <c r="DT19" s="2">
        <v>1230</v>
      </c>
      <c r="DU19" s="2">
        <v>1281</v>
      </c>
    </row>
    <row r="20" spans="1:125" ht="13.5" customHeight="1" x14ac:dyDescent="0.2">
      <c r="A20" s="8"/>
      <c r="C20" s="3" t="s">
        <v>57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9"/>
      <c r="BN20" s="20" t="s">
        <v>56</v>
      </c>
      <c r="BY20" s="2">
        <f>SUM(BY11:BY19)</f>
        <v>23863</v>
      </c>
      <c r="BZ20" s="2">
        <f>SUM(BZ11:BZ19)</f>
        <v>23983</v>
      </c>
      <c r="CA20" s="2">
        <f>SUM(CA11:CA19)</f>
        <v>23415</v>
      </c>
      <c r="CB20" s="2">
        <f>SUM(CB11:CB19)</f>
        <v>23545</v>
      </c>
      <c r="CG20" s="2">
        <f t="shared" ref="CG20:CL20" si="75">SUM(CG11:CG19)</f>
        <v>23585</v>
      </c>
      <c r="CH20" s="2">
        <f t="shared" si="75"/>
        <v>23047</v>
      </c>
      <c r="CI20" s="2">
        <f t="shared" si="75"/>
        <v>22727</v>
      </c>
      <c r="CJ20" s="2">
        <f t="shared" si="75"/>
        <v>22958</v>
      </c>
      <c r="CK20" s="2">
        <f t="shared" si="75"/>
        <v>23568</v>
      </c>
      <c r="CL20" s="2">
        <f t="shared" si="75"/>
        <v>23619</v>
      </c>
      <c r="CM20" s="2">
        <f t="shared" ref="CM20:DJ20" si="76">SUM(CM11:CM19)</f>
        <v>24168</v>
      </c>
      <c r="CN20" s="2">
        <f t="shared" si="76"/>
        <v>23956</v>
      </c>
      <c r="CO20" s="2">
        <f t="shared" si="76"/>
        <v>22664</v>
      </c>
      <c r="CP20" s="2">
        <f t="shared" si="76"/>
        <v>21612</v>
      </c>
      <c r="CQ20" s="2">
        <f t="shared" si="76"/>
        <v>21660</v>
      </c>
      <c r="CR20" s="2">
        <f t="shared" si="76"/>
        <v>21868</v>
      </c>
      <c r="CS20" s="2">
        <f t="shared" si="76"/>
        <v>22086</v>
      </c>
      <c r="CT20" s="2">
        <f t="shared" si="76"/>
        <v>22090</v>
      </c>
      <c r="CU20" s="2">
        <f t="shared" si="76"/>
        <v>22219</v>
      </c>
      <c r="CV20" s="2">
        <f t="shared" si="76"/>
        <v>22311</v>
      </c>
      <c r="CW20" s="2">
        <f t="shared" si="76"/>
        <v>22588</v>
      </c>
      <c r="CX20" s="2">
        <f t="shared" si="76"/>
        <v>22896</v>
      </c>
      <c r="CY20" s="2">
        <f t="shared" si="76"/>
        <v>25087</v>
      </c>
      <c r="CZ20" s="2">
        <f t="shared" si="76"/>
        <v>25747</v>
      </c>
      <c r="DA20" s="2">
        <f t="shared" si="76"/>
        <v>26043</v>
      </c>
      <c r="DB20" s="2">
        <f t="shared" si="76"/>
        <v>26956</v>
      </c>
      <c r="DC20" s="2">
        <f t="shared" si="76"/>
        <v>26926</v>
      </c>
      <c r="DD20" s="2">
        <f t="shared" si="76"/>
        <v>27395</v>
      </c>
      <c r="DE20" s="2">
        <f>SUM(DE11:DE19)</f>
        <v>29028</v>
      </c>
      <c r="DF20" s="2">
        <f t="shared" si="76"/>
        <v>30134</v>
      </c>
      <c r="DG20" s="2">
        <f t="shared" si="76"/>
        <v>31445</v>
      </c>
      <c r="DH20" s="2">
        <f t="shared" si="76"/>
        <v>33013</v>
      </c>
      <c r="DI20" s="2">
        <f t="shared" si="76"/>
        <v>34065</v>
      </c>
      <c r="DJ20" s="2">
        <f t="shared" si="76"/>
        <v>34085</v>
      </c>
      <c r="DK20" s="2">
        <f t="shared" ref="DK20:DL20" si="77">SUM(DK11:DK19)</f>
        <v>34963</v>
      </c>
      <c r="DL20" s="2">
        <f t="shared" si="77"/>
        <v>34972</v>
      </c>
      <c r="DM20" s="2">
        <f t="shared" ref="DM20:DN20" si="78">SUM(DM11:DM19)</f>
        <v>32737</v>
      </c>
      <c r="DN20" s="2">
        <f t="shared" si="78"/>
        <v>30403</v>
      </c>
      <c r="DO20" s="2">
        <f t="shared" ref="DO20:DP20" si="79">SUM(DO11:DO19)</f>
        <v>29408</v>
      </c>
      <c r="DP20" s="2">
        <f t="shared" si="79"/>
        <v>29592</v>
      </c>
      <c r="DQ20" s="2">
        <f t="shared" ref="DQ20" si="80">SUM(DQ11:DQ19)</f>
        <v>30657</v>
      </c>
      <c r="DR20" s="2">
        <f>SUM(DR11:DR19)</f>
        <v>30992</v>
      </c>
      <c r="DS20" s="2">
        <f>SUM(DS11:DS19)</f>
        <v>30911</v>
      </c>
      <c r="DT20" s="2">
        <f>SUM(DT11:DT19)</f>
        <v>30626</v>
      </c>
      <c r="DU20" s="2">
        <f>SUM(DU11:DU19)</f>
        <v>31042</v>
      </c>
    </row>
    <row r="21" spans="1:125" ht="13.5" customHeight="1" x14ac:dyDescent="0.2">
      <c r="A21" s="8"/>
      <c r="D21" s="2" t="s">
        <v>70</v>
      </c>
      <c r="E21" s="14">
        <f t="shared" ref="E21:E22" si="81">BO21/BO$23</f>
        <v>0.64047351223954152</v>
      </c>
      <c r="F21" s="14">
        <f t="shared" ref="F21:F22" si="82">BP21/BP$23</f>
        <v>0.63411846551381434</v>
      </c>
      <c r="G21" s="14">
        <f t="shared" ref="G21:G22" si="83">BQ21/BQ$23</f>
        <v>0.61945010689603741</v>
      </c>
      <c r="H21" s="14">
        <f t="shared" ref="H21:H22" si="84">BR21/BR$23</f>
        <v>0.61009391898301868</v>
      </c>
      <c r="I21" s="14">
        <f t="shared" ref="I21:I22" si="85">BS21/BS$23</f>
        <v>0.60868963608689641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>
        <f t="shared" ref="W21:Y22" si="86">CG21/CG$23</f>
        <v>0.52321390714437144</v>
      </c>
      <c r="X21" s="14">
        <f t="shared" si="86"/>
        <v>0.5213259860285504</v>
      </c>
      <c r="Y21" s="14">
        <f t="shared" si="86"/>
        <v>0.51388216658599906</v>
      </c>
      <c r="Z21" s="14">
        <f t="shared" ref="Z21:Z22" si="87">CJ21/CJ$23</f>
        <v>0.51006185207770716</v>
      </c>
      <c r="AA21" s="14">
        <f t="shared" ref="AA21:AA22" si="88">CK21/CK$23</f>
        <v>0.51463849287169039</v>
      </c>
      <c r="AB21" s="14">
        <f t="shared" ref="AB21:AB22" si="89">CL21/CL$23</f>
        <v>0.51092671705553727</v>
      </c>
      <c r="AC21" s="14">
        <f t="shared" ref="AC21:AC22" si="90">CM21/CM$23</f>
        <v>0.50632406336033198</v>
      </c>
      <c r="AD21" s="14">
        <f t="shared" ref="AD21:AD22" si="91">CN21/CN$23</f>
        <v>0.50220299931282586</v>
      </c>
      <c r="AE21" s="14">
        <f t="shared" ref="AE21:AE22" si="92">CO21/CO$23</f>
        <v>0.5004268032437047</v>
      </c>
      <c r="AF21" s="14">
        <f t="shared" ref="AF21:AF22" si="93">CP21/CP$23</f>
        <v>0.50456692913385826</v>
      </c>
      <c r="AG21" s="14">
        <f t="shared" ref="AG21:AG22" si="94">CQ21/CQ$23</f>
        <v>0.490597519729425</v>
      </c>
      <c r="AH21" s="14">
        <f t="shared" ref="AH21:AH22" si="95">CR21/CR$23</f>
        <v>0.48470209339774556</v>
      </c>
      <c r="AI21" s="14">
        <f t="shared" ref="AI21:AI22" si="96">CS21/CS$23</f>
        <v>0.47990585727607799</v>
      </c>
      <c r="AJ21" s="14">
        <f t="shared" ref="AJ21:AJ22" si="97">CT21/CT$23</f>
        <v>0.48252926569705568</v>
      </c>
      <c r="AK21" s="14">
        <f t="shared" ref="AK21:AK22" si="98">CU21/CU$23</f>
        <v>0.47945566286215979</v>
      </c>
      <c r="AL21" s="14">
        <f t="shared" ref="AL21:AL22" si="99">CV21/CV$23</f>
        <v>0.47788922808547751</v>
      </c>
      <c r="AM21" s="14">
        <f t="shared" ref="AM21:AM22" si="100">CW21/CW$23</f>
        <v>0.47522416234072673</v>
      </c>
      <c r="AN21" s="14">
        <f t="shared" ref="AN21:AN22" si="101">CX21/CX$23</f>
        <v>0.47783834030506611</v>
      </c>
      <c r="AO21" s="14">
        <f t="shared" ref="AO21:AO22" si="102">CY21/CY$23</f>
        <v>0.47236257847190322</v>
      </c>
      <c r="AP21" s="14">
        <f t="shared" ref="AP21:AP22" si="103">CZ21/CZ$23</f>
        <v>0.47588136541689985</v>
      </c>
      <c r="AQ21" s="14">
        <f t="shared" ref="AQ21:AQ22" si="104">DA21/DA$23</f>
        <v>0.47602118283153722</v>
      </c>
      <c r="AR21" s="14">
        <f t="shared" ref="AR21:AR22" si="105">DB21/DB$23</f>
        <v>0.47056928034371642</v>
      </c>
      <c r="AS21" s="14">
        <f t="shared" ref="AS21:AS22" si="106">DC21/DC$23</f>
        <v>0.47115384615384615</v>
      </c>
      <c r="AT21" s="14">
        <f t="shared" ref="AT21:AT22" si="107">DD21/DD$23</f>
        <v>0.46449568737898256</v>
      </c>
      <c r="AU21" s="14">
        <f t="shared" ref="AU21:AY22" si="108">DE21/DE$23</f>
        <v>0.464288084965151</v>
      </c>
      <c r="AV21" s="14">
        <f t="shared" si="108"/>
        <v>0.46492941063482407</v>
      </c>
      <c r="AW21" s="14">
        <f t="shared" si="108"/>
        <v>0.46742524968306481</v>
      </c>
      <c r="AX21" s="14">
        <f t="shared" si="108"/>
        <v>0.46774480184823175</v>
      </c>
      <c r="AY21" s="14">
        <f t="shared" si="108"/>
        <v>0.46957123098201936</v>
      </c>
      <c r="AZ21" s="14">
        <f t="shared" ref="AZ21:BH22" si="109">DJ21/DJ$23</f>
        <v>0.47148717356135889</v>
      </c>
      <c r="BA21" s="14">
        <f t="shared" si="109"/>
        <v>0.47164431898376852</v>
      </c>
      <c r="BB21" s="14">
        <f t="shared" si="109"/>
        <v>0.47199638663053295</v>
      </c>
      <c r="BC21" s="14">
        <f t="shared" si="109"/>
        <v>0.46818496344655375</v>
      </c>
      <c r="BD21" s="14">
        <f t="shared" si="109"/>
        <v>0.46602256516664503</v>
      </c>
      <c r="BE21" s="14">
        <f t="shared" si="109"/>
        <v>0.45866702409275206</v>
      </c>
      <c r="BF21" s="14">
        <f t="shared" si="109"/>
        <v>0.45088958486039848</v>
      </c>
      <c r="BG21" s="14">
        <f t="shared" si="109"/>
        <v>0.44631369016984046</v>
      </c>
      <c r="BH21" s="14">
        <f t="shared" si="109"/>
        <v>0.44062291009840449</v>
      </c>
      <c r="BI21" s="14">
        <f t="shared" ref="BI21:BK22" si="110">DS21/DS$23</f>
        <v>0.43911321236902634</v>
      </c>
      <c r="BJ21" s="14">
        <f t="shared" si="110"/>
        <v>0.43581723793247995</v>
      </c>
      <c r="BK21" s="14">
        <f t="shared" si="110"/>
        <v>0.43762482959769206</v>
      </c>
      <c r="BL21" s="9"/>
      <c r="BN21" s="2" t="s">
        <v>70</v>
      </c>
      <c r="BO21" s="2">
        <v>11957</v>
      </c>
      <c r="BP21" s="2">
        <v>12761</v>
      </c>
      <c r="BQ21" s="2">
        <v>12459</v>
      </c>
      <c r="BR21" s="2">
        <v>12862</v>
      </c>
      <c r="BS21" s="2">
        <v>13197</v>
      </c>
      <c r="CG21" s="2">
        <v>12340</v>
      </c>
      <c r="CH21" s="2">
        <v>12015</v>
      </c>
      <c r="CI21" s="2">
        <v>11679</v>
      </c>
      <c r="CJ21" s="2">
        <v>11710</v>
      </c>
      <c r="CK21" s="2">
        <v>12129</v>
      </c>
      <c r="CL21" s="2">
        <v>12438</v>
      </c>
      <c r="CM21" s="2">
        <v>12690</v>
      </c>
      <c r="CN21" s="2">
        <v>12424</v>
      </c>
      <c r="CO21" s="2">
        <v>11725</v>
      </c>
      <c r="CP21" s="2">
        <v>11214</v>
      </c>
      <c r="CQ21" s="2">
        <v>10879</v>
      </c>
      <c r="CR21" s="2">
        <v>10836</v>
      </c>
      <c r="CS21" s="2">
        <v>10807</v>
      </c>
      <c r="CT21" s="2">
        <v>10882</v>
      </c>
      <c r="CU21" s="2">
        <v>10922</v>
      </c>
      <c r="CV21" s="2">
        <v>10958</v>
      </c>
      <c r="CW21" s="2">
        <v>11077</v>
      </c>
      <c r="CX21" s="2">
        <v>11309</v>
      </c>
      <c r="CY21" s="2">
        <v>12340</v>
      </c>
      <c r="CZ21" s="2">
        <v>12756</v>
      </c>
      <c r="DA21" s="2">
        <v>12854</v>
      </c>
      <c r="DB21" s="2">
        <v>13143</v>
      </c>
      <c r="DC21" s="2">
        <v>13279</v>
      </c>
      <c r="DD21" s="2">
        <v>13194</v>
      </c>
      <c r="DE21" s="2">
        <v>13989</v>
      </c>
      <c r="DF21" s="2">
        <v>14523</v>
      </c>
      <c r="DG21" s="2">
        <v>15117</v>
      </c>
      <c r="DH21" s="2">
        <v>15792</v>
      </c>
      <c r="DI21" s="2">
        <v>16296</v>
      </c>
      <c r="DJ21" s="2">
        <v>16321</v>
      </c>
      <c r="DK21" s="2">
        <v>16708</v>
      </c>
      <c r="DL21" s="2">
        <v>16720</v>
      </c>
      <c r="DM21" s="2">
        <v>15562</v>
      </c>
      <c r="DN21" s="2">
        <v>14374</v>
      </c>
      <c r="DO21" s="2">
        <v>13688</v>
      </c>
      <c r="DP21" s="2">
        <v>13533</v>
      </c>
      <c r="DQ21" s="2">
        <v>13875</v>
      </c>
      <c r="DR21" s="2">
        <v>13836</v>
      </c>
      <c r="DS21" s="2">
        <v>13746</v>
      </c>
      <c r="DT21" s="2">
        <v>13516</v>
      </c>
      <c r="DU21" s="2">
        <v>13804</v>
      </c>
    </row>
    <row r="22" spans="1:125" ht="13.5" customHeight="1" x14ac:dyDescent="0.2">
      <c r="A22" s="8"/>
      <c r="D22" s="2" t="s">
        <v>69</v>
      </c>
      <c r="E22" s="14">
        <f t="shared" si="81"/>
        <v>0.35952648776045854</v>
      </c>
      <c r="F22" s="14">
        <f t="shared" si="82"/>
        <v>0.36588153448618566</v>
      </c>
      <c r="G22" s="14">
        <f t="shared" si="83"/>
        <v>0.38054989310396259</v>
      </c>
      <c r="H22" s="14">
        <f t="shared" si="84"/>
        <v>0.38990608101698132</v>
      </c>
      <c r="I22" s="14">
        <f t="shared" si="85"/>
        <v>0.39131036391310364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>
        <f t="shared" si="86"/>
        <v>0.47678609285562856</v>
      </c>
      <c r="X22" s="14">
        <f t="shared" si="86"/>
        <v>0.47867401397144965</v>
      </c>
      <c r="Y22" s="14">
        <f t="shared" si="86"/>
        <v>0.48611783341400094</v>
      </c>
      <c r="Z22" s="14">
        <f t="shared" si="87"/>
        <v>0.4899381479222929</v>
      </c>
      <c r="AA22" s="14">
        <f t="shared" si="88"/>
        <v>0.48536150712830956</v>
      </c>
      <c r="AB22" s="14">
        <f t="shared" si="89"/>
        <v>0.48907328294446273</v>
      </c>
      <c r="AC22" s="14">
        <f t="shared" si="90"/>
        <v>0.49367593663966802</v>
      </c>
      <c r="AD22" s="14">
        <f t="shared" si="91"/>
        <v>0.49779700068717408</v>
      </c>
      <c r="AE22" s="14">
        <f t="shared" si="92"/>
        <v>0.49957319675629536</v>
      </c>
      <c r="AF22" s="14">
        <f t="shared" si="93"/>
        <v>0.49543307086614174</v>
      </c>
      <c r="AG22" s="14">
        <f t="shared" si="94"/>
        <v>0.509402480270575</v>
      </c>
      <c r="AH22" s="14">
        <f t="shared" si="95"/>
        <v>0.51529790660225439</v>
      </c>
      <c r="AI22" s="14">
        <f t="shared" si="96"/>
        <v>0.52009414272392207</v>
      </c>
      <c r="AJ22" s="14">
        <f t="shared" si="97"/>
        <v>0.51747073430294432</v>
      </c>
      <c r="AK22" s="14">
        <f t="shared" si="98"/>
        <v>0.52054433713784021</v>
      </c>
      <c r="AL22" s="14">
        <f t="shared" si="99"/>
        <v>0.52211077191452249</v>
      </c>
      <c r="AM22" s="14">
        <f t="shared" si="100"/>
        <v>0.52477583765927327</v>
      </c>
      <c r="AN22" s="14">
        <f t="shared" si="101"/>
        <v>0.52216165969493389</v>
      </c>
      <c r="AO22" s="14">
        <f t="shared" si="102"/>
        <v>0.52763742152809678</v>
      </c>
      <c r="AP22" s="14">
        <f t="shared" si="103"/>
        <v>0.52411863458310015</v>
      </c>
      <c r="AQ22" s="14">
        <f t="shared" si="104"/>
        <v>0.52397881716846273</v>
      </c>
      <c r="AR22" s="14">
        <f t="shared" si="105"/>
        <v>0.52943071965628352</v>
      </c>
      <c r="AS22" s="14">
        <f t="shared" si="106"/>
        <v>0.52884615384615385</v>
      </c>
      <c r="AT22" s="14">
        <f t="shared" si="107"/>
        <v>0.53550431262101739</v>
      </c>
      <c r="AU22" s="14">
        <f t="shared" si="108"/>
        <v>0.53571191503484894</v>
      </c>
      <c r="AV22" s="14">
        <f t="shared" si="108"/>
        <v>0.53507058936517593</v>
      </c>
      <c r="AW22" s="14">
        <f t="shared" si="108"/>
        <v>0.53257475031693513</v>
      </c>
      <c r="AX22" s="14">
        <f t="shared" si="108"/>
        <v>0.53225519815176825</v>
      </c>
      <c r="AY22" s="14">
        <f t="shared" si="108"/>
        <v>0.53042876901798064</v>
      </c>
      <c r="AZ22" s="14">
        <f t="shared" si="109"/>
        <v>0.52851282643864106</v>
      </c>
      <c r="BA22" s="14">
        <f t="shared" si="109"/>
        <v>0.52835568101623143</v>
      </c>
      <c r="BB22" s="14">
        <f t="shared" si="109"/>
        <v>0.528003613369467</v>
      </c>
      <c r="BC22" s="14">
        <f t="shared" si="109"/>
        <v>0.53181503655344631</v>
      </c>
      <c r="BD22" s="14">
        <f t="shared" si="109"/>
        <v>0.53397743483335491</v>
      </c>
      <c r="BE22" s="14">
        <f t="shared" si="109"/>
        <v>0.54133297590724794</v>
      </c>
      <c r="BF22" s="14">
        <f t="shared" si="109"/>
        <v>0.54911041513960157</v>
      </c>
      <c r="BG22" s="14">
        <f t="shared" si="109"/>
        <v>0.55368630983015954</v>
      </c>
      <c r="BH22" s="14">
        <f t="shared" si="109"/>
        <v>0.55937708990159551</v>
      </c>
      <c r="BI22" s="14">
        <f t="shared" si="110"/>
        <v>0.56088678763097366</v>
      </c>
      <c r="BJ22" s="14">
        <f t="shared" si="110"/>
        <v>0.56418276206752005</v>
      </c>
      <c r="BK22" s="14">
        <f t="shared" si="110"/>
        <v>0.562375170402308</v>
      </c>
      <c r="BL22" s="9"/>
      <c r="BN22" s="2" t="s">
        <v>69</v>
      </c>
      <c r="BO22" s="2">
        <v>6712</v>
      </c>
      <c r="BP22" s="2">
        <v>7363</v>
      </c>
      <c r="BQ22" s="2">
        <v>7654</v>
      </c>
      <c r="BR22" s="2">
        <v>8220</v>
      </c>
      <c r="BS22" s="2">
        <v>8484</v>
      </c>
      <c r="CG22" s="2">
        <v>11245</v>
      </c>
      <c r="CH22" s="2">
        <v>11032</v>
      </c>
      <c r="CI22" s="2">
        <v>11048</v>
      </c>
      <c r="CJ22" s="2">
        <v>11248</v>
      </c>
      <c r="CK22" s="2">
        <v>11439</v>
      </c>
      <c r="CL22" s="2">
        <v>11906</v>
      </c>
      <c r="CM22" s="2">
        <v>12373</v>
      </c>
      <c r="CN22" s="2">
        <v>12315</v>
      </c>
      <c r="CO22" s="2">
        <v>11705</v>
      </c>
      <c r="CP22" s="2">
        <v>11011</v>
      </c>
      <c r="CQ22" s="2">
        <v>11296</v>
      </c>
      <c r="CR22" s="2">
        <v>11520</v>
      </c>
      <c r="CS22" s="2">
        <v>11712</v>
      </c>
      <c r="CT22" s="2">
        <v>11670</v>
      </c>
      <c r="CU22" s="2">
        <v>11858</v>
      </c>
      <c r="CV22" s="2">
        <v>11972</v>
      </c>
      <c r="CW22" s="2">
        <v>12232</v>
      </c>
      <c r="CX22" s="2">
        <v>12358</v>
      </c>
      <c r="CY22" s="2">
        <v>13784</v>
      </c>
      <c r="CZ22" s="2">
        <v>14049</v>
      </c>
      <c r="DA22" s="2">
        <v>14149</v>
      </c>
      <c r="DB22" s="2">
        <v>14787</v>
      </c>
      <c r="DC22" s="2">
        <v>14905</v>
      </c>
      <c r="DD22" s="2">
        <v>15211</v>
      </c>
      <c r="DE22" s="2">
        <v>16141</v>
      </c>
      <c r="DF22" s="2">
        <v>16714</v>
      </c>
      <c r="DG22" s="2">
        <v>17224</v>
      </c>
      <c r="DH22" s="2">
        <v>17970</v>
      </c>
      <c r="DI22" s="2">
        <v>18408</v>
      </c>
      <c r="DJ22" s="2">
        <v>18295</v>
      </c>
      <c r="DK22" s="2">
        <v>18717</v>
      </c>
      <c r="DL22" s="2">
        <v>18704</v>
      </c>
      <c r="DM22" s="2">
        <v>17677</v>
      </c>
      <c r="DN22" s="2">
        <v>16470</v>
      </c>
      <c r="DO22" s="2">
        <v>16155</v>
      </c>
      <c r="DP22" s="2">
        <v>16481</v>
      </c>
      <c r="DQ22" s="2">
        <v>17213</v>
      </c>
      <c r="DR22" s="2">
        <v>17565</v>
      </c>
      <c r="DS22" s="2">
        <v>17558</v>
      </c>
      <c r="DT22" s="2">
        <v>17497</v>
      </c>
      <c r="DU22" s="2">
        <v>17739</v>
      </c>
    </row>
    <row r="23" spans="1:125" ht="13.5" customHeight="1" x14ac:dyDescent="0.2">
      <c r="A23" s="8"/>
      <c r="C23" s="3" t="s">
        <v>58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9"/>
      <c r="BN23" s="20" t="s">
        <v>56</v>
      </c>
      <c r="BO23" s="2">
        <f t="shared" ref="BO23:BS23" si="111">SUM(BO21:BO22)</f>
        <v>18669</v>
      </c>
      <c r="BP23" s="2">
        <f t="shared" si="111"/>
        <v>20124</v>
      </c>
      <c r="BQ23" s="2">
        <f t="shared" si="111"/>
        <v>20113</v>
      </c>
      <c r="BR23" s="2">
        <f t="shared" si="111"/>
        <v>21082</v>
      </c>
      <c r="BS23" s="2">
        <f t="shared" si="111"/>
        <v>21681</v>
      </c>
      <c r="CG23" s="2">
        <f t="shared" ref="CG23:CR23" si="112">SUM(CG21:CG22)</f>
        <v>23585</v>
      </c>
      <c r="CH23" s="2">
        <f t="shared" si="112"/>
        <v>23047</v>
      </c>
      <c r="CI23" s="2">
        <f t="shared" si="112"/>
        <v>22727</v>
      </c>
      <c r="CJ23" s="2">
        <f t="shared" si="112"/>
        <v>22958</v>
      </c>
      <c r="CK23" s="2">
        <f t="shared" si="112"/>
        <v>23568</v>
      </c>
      <c r="CL23" s="2">
        <f t="shared" si="112"/>
        <v>24344</v>
      </c>
      <c r="CM23" s="2">
        <f t="shared" si="112"/>
        <v>25063</v>
      </c>
      <c r="CN23" s="2">
        <f t="shared" si="112"/>
        <v>24739</v>
      </c>
      <c r="CO23" s="2">
        <f t="shared" si="112"/>
        <v>23430</v>
      </c>
      <c r="CP23" s="2">
        <f t="shared" si="112"/>
        <v>22225</v>
      </c>
      <c r="CQ23" s="2">
        <f t="shared" si="112"/>
        <v>22175</v>
      </c>
      <c r="CR23" s="2">
        <f t="shared" si="112"/>
        <v>22356</v>
      </c>
      <c r="CS23" s="2">
        <f t="shared" ref="CS23:DI23" si="113">SUM(CS21:CS22)</f>
        <v>22519</v>
      </c>
      <c r="CT23" s="2">
        <f t="shared" si="113"/>
        <v>22552</v>
      </c>
      <c r="CU23" s="2">
        <f t="shared" si="113"/>
        <v>22780</v>
      </c>
      <c r="CV23" s="2">
        <f t="shared" si="113"/>
        <v>22930</v>
      </c>
      <c r="CW23" s="2">
        <f t="shared" si="113"/>
        <v>23309</v>
      </c>
      <c r="CX23" s="2">
        <f t="shared" si="113"/>
        <v>23667</v>
      </c>
      <c r="CY23" s="2">
        <f t="shared" si="113"/>
        <v>26124</v>
      </c>
      <c r="CZ23" s="2">
        <f t="shared" si="113"/>
        <v>26805</v>
      </c>
      <c r="DA23" s="2">
        <f t="shared" si="113"/>
        <v>27003</v>
      </c>
      <c r="DB23" s="2">
        <f t="shared" si="113"/>
        <v>27930</v>
      </c>
      <c r="DC23" s="2">
        <f t="shared" si="113"/>
        <v>28184</v>
      </c>
      <c r="DD23" s="2">
        <f t="shared" si="113"/>
        <v>28405</v>
      </c>
      <c r="DE23" s="2">
        <f t="shared" si="113"/>
        <v>30130</v>
      </c>
      <c r="DF23" s="2">
        <f t="shared" si="113"/>
        <v>31237</v>
      </c>
      <c r="DG23" s="2">
        <f t="shared" si="113"/>
        <v>32341</v>
      </c>
      <c r="DH23" s="2">
        <f t="shared" si="113"/>
        <v>33762</v>
      </c>
      <c r="DI23" s="2">
        <f t="shared" si="113"/>
        <v>34704</v>
      </c>
      <c r="DJ23" s="2">
        <f t="shared" ref="DJ23:DO23" si="114">SUM(DJ21:DJ22)</f>
        <v>34616</v>
      </c>
      <c r="DK23" s="2">
        <f t="shared" si="114"/>
        <v>35425</v>
      </c>
      <c r="DL23" s="2">
        <f t="shared" si="114"/>
        <v>35424</v>
      </c>
      <c r="DM23" s="2">
        <f t="shared" si="114"/>
        <v>33239</v>
      </c>
      <c r="DN23" s="2">
        <f t="shared" si="114"/>
        <v>30844</v>
      </c>
      <c r="DO23" s="2">
        <f t="shared" si="114"/>
        <v>29843</v>
      </c>
      <c r="DP23" s="2">
        <f t="shared" ref="DP23:DQ23" si="115">SUM(DP21:DP22)</f>
        <v>30014</v>
      </c>
      <c r="DQ23" s="2">
        <f t="shared" si="115"/>
        <v>31088</v>
      </c>
      <c r="DR23" s="2">
        <f t="shared" ref="DR23:DS23" si="116">SUM(DR21:DR22)</f>
        <v>31401</v>
      </c>
      <c r="DS23" s="2">
        <f t="shared" si="116"/>
        <v>31304</v>
      </c>
      <c r="DT23" s="2">
        <f t="shared" ref="DT23:DU23" si="117">SUM(DT21:DT22)</f>
        <v>31013</v>
      </c>
      <c r="DU23" s="2">
        <f t="shared" si="117"/>
        <v>31543</v>
      </c>
    </row>
    <row r="24" spans="1:125" ht="13.5" customHeight="1" x14ac:dyDescent="0.2">
      <c r="A24" s="8"/>
      <c r="D24" s="2" t="s">
        <v>80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>
        <f t="shared" ref="Y24:AH25" si="118">CI24/CI$26</f>
        <v>0.92249437936338896</v>
      </c>
      <c r="Z24" s="14">
        <f t="shared" si="118"/>
        <v>0.92119099663259885</v>
      </c>
      <c r="AA24" s="14">
        <f t="shared" si="118"/>
        <v>0.92237834132967789</v>
      </c>
      <c r="AB24" s="14">
        <f t="shared" si="118"/>
        <v>0.92329701771761863</v>
      </c>
      <c r="AC24" s="14">
        <f t="shared" si="118"/>
        <v>0.92226016433678371</v>
      </c>
      <c r="AD24" s="14">
        <f t="shared" si="118"/>
        <v>0.9247475295906179</v>
      </c>
      <c r="AE24" s="14">
        <f t="shared" si="118"/>
        <v>0.92620384047267357</v>
      </c>
      <c r="AF24" s="14">
        <f t="shared" si="118"/>
        <v>0.91698298028651892</v>
      </c>
      <c r="AG24" s="14">
        <f t="shared" si="118"/>
        <v>0.91939807481418301</v>
      </c>
      <c r="AH24" s="14">
        <f t="shared" si="118"/>
        <v>0.92618450889127579</v>
      </c>
      <c r="AI24" s="14">
        <f t="shared" ref="AI24:AR25" si="119">CS24/CS$26</f>
        <v>0.92905444794217096</v>
      </c>
      <c r="AJ24" s="14">
        <f t="shared" si="119"/>
        <v>0.93681540412775277</v>
      </c>
      <c r="AK24" s="14">
        <f t="shared" si="119"/>
        <v>0.94162852460869073</v>
      </c>
      <c r="AL24" s="14">
        <f t="shared" si="119"/>
        <v>0.94666217506035599</v>
      </c>
      <c r="AM24" s="14">
        <f t="shared" si="119"/>
        <v>0.95115738176985265</v>
      </c>
      <c r="AN24" s="14">
        <f t="shared" si="119"/>
        <v>0.95558933709756233</v>
      </c>
      <c r="AO24" s="14">
        <f t="shared" si="119"/>
        <v>0.9451811207641112</v>
      </c>
      <c r="AP24" s="14">
        <f t="shared" si="119"/>
        <v>0.94654657594595915</v>
      </c>
      <c r="AQ24" s="14">
        <f t="shared" si="119"/>
        <v>0.94924100943351053</v>
      </c>
      <c r="AR24" s="14">
        <f t="shared" si="119"/>
        <v>0.96001874853527069</v>
      </c>
      <c r="AS24" s="14">
        <f t="shared" ref="AS24:BH25" si="120">DC24/DC$26</f>
        <v>0.95331409420964441</v>
      </c>
      <c r="AT24" s="14">
        <f t="shared" si="120"/>
        <v>0.95691053143677895</v>
      </c>
      <c r="AU24" s="14">
        <f t="shared" si="120"/>
        <v>0.95661255929326772</v>
      </c>
      <c r="AV24" s="14">
        <f t="shared" si="120"/>
        <v>0.95650895033196071</v>
      </c>
      <c r="AW24" s="14">
        <f t="shared" si="120"/>
        <v>0.95711524522831604</v>
      </c>
      <c r="AX24" s="14">
        <f t="shared" si="120"/>
        <v>0.95729455216989845</v>
      </c>
      <c r="AY24" s="14">
        <f t="shared" si="120"/>
        <v>0.95745548961424332</v>
      </c>
      <c r="AZ24" s="14">
        <f t="shared" si="120"/>
        <v>0.96145276292335113</v>
      </c>
      <c r="BA24" s="14">
        <f t="shared" si="120"/>
        <v>0.9626293321756747</v>
      </c>
      <c r="BB24" s="14">
        <f t="shared" si="120"/>
        <v>0.96617610017631606</v>
      </c>
      <c r="BC24" s="14">
        <f t="shared" si="120"/>
        <v>0.96382888279166823</v>
      </c>
      <c r="BD24" s="14">
        <f t="shared" si="120"/>
        <v>0.96079667212908104</v>
      </c>
      <c r="BE24" s="14">
        <f t="shared" si="120"/>
        <v>0.96037181996086107</v>
      </c>
      <c r="BF24" s="14">
        <f t="shared" si="120"/>
        <v>0.95962636681570679</v>
      </c>
      <c r="BG24" s="14">
        <f t="shared" si="120"/>
        <v>0.95860240345550185</v>
      </c>
      <c r="BH24" s="14">
        <f t="shared" si="120"/>
        <v>0.95885381498987166</v>
      </c>
      <c r="BI24" s="14">
        <f t="shared" ref="BI24:BK25" si="121">DS24/DS$26</f>
        <v>0.96319225100021055</v>
      </c>
      <c r="BJ24" s="14">
        <f t="shared" si="121"/>
        <v>0.96654385296235124</v>
      </c>
      <c r="BK24" s="14">
        <f t="shared" si="121"/>
        <v>0.96875127817088635</v>
      </c>
      <c r="BL24" s="9"/>
      <c r="BN24" s="2" t="s">
        <v>80</v>
      </c>
      <c r="CI24" s="2">
        <f>75+2983+3011+1308+149+3490+3026+784+1+19+65+159+1+28+72+173+2+1+1+2+5+10+50+52+6+24+47+48</f>
        <v>15592</v>
      </c>
      <c r="CJ24" s="2">
        <f>73+3100+2885+1286+137+3527+3004+755+1+30+57+186+1+30+80+171+1+2+1+6+1+7+17+45+56+7+23+49+55</f>
        <v>15593</v>
      </c>
      <c r="CK24" s="2">
        <f>108+3373+2883+1297+156+3767+2975+736+1+32+78+198+24+103+158+2+9+16+48+68+5+23+39+50</f>
        <v>16149</v>
      </c>
      <c r="CL24" s="2">
        <f>80+3509+3053+1289+141+3959+3072+794+1+31+72+194+39+92+181+1+8+2+1+8+5+5+22+41+65+10+23+42+40</f>
        <v>16780</v>
      </c>
      <c r="CM24" s="2">
        <f>58+3359+3320+1347+119+3943+3427+763+8+55+149+248+11+67+181+230</f>
        <v>17285</v>
      </c>
      <c r="CN24" s="2">
        <f>73+3006+3335+1348+846+3535+3658+131+1+1+6+6+10+14+1+0+49+55+104+181+206+207+7+8+18+16+65+45+70+30</f>
        <v>17032</v>
      </c>
      <c r="CO24" s="2">
        <f>67+135+2586+3205+3143+3311+1495+934+2+34+54+99+171+233+207</f>
        <v>15676</v>
      </c>
      <c r="CP24" s="2">
        <f>50+84+1+2522+2987+5+4+2808+2989+6+16+1528+958+8+5+1+3+4+6+37+44+14+8+96+143+45+35+225+239+80+27</f>
        <v>14978</v>
      </c>
      <c r="CQ24" s="2">
        <f>67+131+0+0+2690+3417+7+16+2575+2733+10+16+1346+924+13+10+3+0+14+10+59+71+12+9+98+218+38+38+227+244+59+36</f>
        <v>15091</v>
      </c>
      <c r="CR24" s="2">
        <f>101+161+2921+3781+2561+2722+1244+862+5+13+79+101+144+252+290+284</f>
        <v>15521</v>
      </c>
      <c r="CS24" s="2">
        <f>81+134+3017+3894+2708+3029+1228+873+11+13+71+63+128+203+255+229</f>
        <v>15937</v>
      </c>
      <c r="CT24" s="2">
        <f>56+115+2935+3765+2924+3327+1239+866+12+1+58+51+178+204+272+247</f>
        <v>16250</v>
      </c>
      <c r="CU24" s="2">
        <f>36+82+3014+3850+3049+3465+1305+946+8+13+53+61+149+170+259+204</f>
        <v>16664</v>
      </c>
      <c r="CV24" s="2">
        <f>40+110+3089+3984+3018+3467+1375+972+9+13+72+58+118+141+219+176</f>
        <v>16861</v>
      </c>
      <c r="CW24" s="2">
        <f>38+81+3237+4148+3106+3609+1310+933+14+10+62+49+102+115+210+152</f>
        <v>17176</v>
      </c>
      <c r="CX24" s="2">
        <v>17601</v>
      </c>
      <c r="CY24" s="2">
        <v>18604</v>
      </c>
      <c r="CZ24" s="2">
        <v>19337</v>
      </c>
      <c r="DA24" s="2">
        <v>19823</v>
      </c>
      <c r="DB24" s="2">
        <v>20482</v>
      </c>
      <c r="DC24" s="2">
        <v>20481</v>
      </c>
      <c r="DD24" s="2">
        <v>20653</v>
      </c>
      <c r="DE24" s="2">
        <v>21982</v>
      </c>
      <c r="DF24" s="2">
        <v>22763</v>
      </c>
      <c r="DG24" s="2">
        <v>23769</v>
      </c>
      <c r="DH24" s="2">
        <v>24882</v>
      </c>
      <c r="DI24" s="2">
        <v>25813</v>
      </c>
      <c r="DJ24" s="2">
        <v>25890</v>
      </c>
      <c r="DK24" s="2">
        <v>26609</v>
      </c>
      <c r="DL24" s="2">
        <v>26851</v>
      </c>
      <c r="DM24" s="2">
        <v>24941</v>
      </c>
      <c r="DN24" s="2">
        <v>22866</v>
      </c>
      <c r="DO24" s="2">
        <v>21593</v>
      </c>
      <c r="DP24" s="2">
        <v>21677</v>
      </c>
      <c r="DQ24" s="2">
        <v>22415</v>
      </c>
      <c r="DR24" s="2">
        <v>22721</v>
      </c>
      <c r="DS24" s="2">
        <v>22871</v>
      </c>
      <c r="DT24" s="2">
        <v>22823</v>
      </c>
      <c r="DU24" s="2">
        <v>23685</v>
      </c>
    </row>
    <row r="25" spans="1:125" ht="13.5" customHeight="1" x14ac:dyDescent="0.2">
      <c r="A25" s="8"/>
      <c r="D25" s="2" t="s">
        <v>79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>
        <f t="shared" si="118"/>
        <v>7.7505620636611053E-2</v>
      </c>
      <c r="Z25" s="14">
        <f t="shared" si="118"/>
        <v>7.8809003367401195E-2</v>
      </c>
      <c r="AA25" s="14">
        <f t="shared" si="118"/>
        <v>7.7621658670322141E-2</v>
      </c>
      <c r="AB25" s="14">
        <f t="shared" si="118"/>
        <v>7.6702982282381427E-2</v>
      </c>
      <c r="AC25" s="14">
        <f t="shared" si="118"/>
        <v>7.7739835663216308E-2</v>
      </c>
      <c r="AD25" s="14">
        <f t="shared" si="118"/>
        <v>7.5252470409382127E-2</v>
      </c>
      <c r="AE25" s="14">
        <f t="shared" si="118"/>
        <v>7.3796159527326446E-2</v>
      </c>
      <c r="AF25" s="14">
        <f t="shared" si="118"/>
        <v>8.3017019713481077E-2</v>
      </c>
      <c r="AG25" s="14">
        <f t="shared" si="118"/>
        <v>8.0601925185816992E-2</v>
      </c>
      <c r="AH25" s="14">
        <f t="shared" si="118"/>
        <v>7.3815491108724193E-2</v>
      </c>
      <c r="AI25" s="14">
        <f t="shared" si="119"/>
        <v>7.0945552057829084E-2</v>
      </c>
      <c r="AJ25" s="14">
        <f t="shared" si="119"/>
        <v>6.3184595872247201E-2</v>
      </c>
      <c r="AK25" s="14">
        <f t="shared" si="119"/>
        <v>5.8371475391309262E-2</v>
      </c>
      <c r="AL25" s="14">
        <f t="shared" si="119"/>
        <v>5.3337824939644042E-2</v>
      </c>
      <c r="AM25" s="14">
        <f t="shared" si="119"/>
        <v>4.8842618230147301E-2</v>
      </c>
      <c r="AN25" s="14">
        <f t="shared" si="119"/>
        <v>4.4410662902437698E-2</v>
      </c>
      <c r="AO25" s="14">
        <f t="shared" si="119"/>
        <v>5.4818879235888837E-2</v>
      </c>
      <c r="AP25" s="14">
        <f t="shared" si="119"/>
        <v>5.3453424054040827E-2</v>
      </c>
      <c r="AQ25" s="14">
        <f t="shared" si="119"/>
        <v>5.0758990566489491E-2</v>
      </c>
      <c r="AR25" s="14">
        <f t="shared" si="119"/>
        <v>3.998125146472932E-2</v>
      </c>
      <c r="AS25" s="14">
        <f t="shared" si="120"/>
        <v>4.6685905790355614E-2</v>
      </c>
      <c r="AT25" s="14">
        <f t="shared" si="120"/>
        <v>4.3089468563221052E-2</v>
      </c>
      <c r="AU25" s="14">
        <f t="shared" si="120"/>
        <v>4.3387440706732235E-2</v>
      </c>
      <c r="AV25" s="14">
        <f t="shared" si="120"/>
        <v>4.3491049668039329E-2</v>
      </c>
      <c r="AW25" s="14">
        <f t="shared" si="120"/>
        <v>4.2884754771683985E-2</v>
      </c>
      <c r="AX25" s="14">
        <f t="shared" si="120"/>
        <v>4.2705447830101571E-2</v>
      </c>
      <c r="AY25" s="14">
        <f t="shared" si="120"/>
        <v>4.2544510385756677E-2</v>
      </c>
      <c r="AZ25" s="14">
        <f t="shared" si="120"/>
        <v>3.8547237076648838E-2</v>
      </c>
      <c r="BA25" s="14">
        <f t="shared" si="120"/>
        <v>3.7370667824325299E-2</v>
      </c>
      <c r="BB25" s="14">
        <f t="shared" si="120"/>
        <v>3.3823899823683924E-2</v>
      </c>
      <c r="BC25" s="14">
        <f t="shared" si="120"/>
        <v>3.6171117208331723E-2</v>
      </c>
      <c r="BD25" s="14">
        <f t="shared" si="120"/>
        <v>3.9203327870918944E-2</v>
      </c>
      <c r="BE25" s="14">
        <f t="shared" si="120"/>
        <v>3.9628180039138941E-2</v>
      </c>
      <c r="BF25" s="14">
        <f t="shared" si="120"/>
        <v>4.0373633184293239E-2</v>
      </c>
      <c r="BG25" s="14">
        <f t="shared" si="120"/>
        <v>4.1397596544498143E-2</v>
      </c>
      <c r="BH25" s="14">
        <f t="shared" si="120"/>
        <v>4.1146185010128289E-2</v>
      </c>
      <c r="BI25" s="14">
        <f t="shared" si="121"/>
        <v>3.6807748999789426E-2</v>
      </c>
      <c r="BJ25" s="14">
        <f t="shared" si="121"/>
        <v>3.3456147037648751E-2</v>
      </c>
      <c r="BK25" s="14">
        <f t="shared" si="121"/>
        <v>3.1248721829113667E-2</v>
      </c>
      <c r="BL25" s="9"/>
      <c r="BN25" s="2" t="s">
        <v>79</v>
      </c>
      <c r="CI25" s="2">
        <f>297+102+21+9+1+1+149+77+37+27+5+67+38+19+2+3+1+95+65+39+25+4+1+1+1+55+29+7+4+6+2+33+40+21+15+10+1</f>
        <v>1310</v>
      </c>
      <c r="CJ25" s="2">
        <f>300+83+28+14+1+155+82+43+30+4+78+26+17+6+3+88+78+55+33+6+1+2+1+1+35+26+13+6+1+2+34+35+17+18+11+1</f>
        <v>1334</v>
      </c>
      <c r="CK25" s="2">
        <f>291+86+36+21+3+157+80+55+34+5+73+51+22+7+1+1+64+70+56+28+1+2+42+20+17+8+3+4+44+20+16+27+12+2</f>
        <v>1359</v>
      </c>
      <c r="CL25" s="2">
        <f>288+108+42+19+2+2+169+66+58+31+3+1+96+41+28+14+1+1+68+78+50+37+8+1+2+38+10+12+11+2+1+37+26+14+17+12</f>
        <v>1394</v>
      </c>
      <c r="CM25" s="2">
        <f>298+106+49+17+2+168+86+62+27+6+157+57+45+22+6+6+126+76+63+65+11+2</f>
        <v>1457</v>
      </c>
      <c r="CN25" s="2">
        <f>293+99+41+22+171+67+53+27+1+93+42+38+15+4+1+84+54+55+38+6+48+43+12+27+10+8+9+9+2+9+2+3</f>
        <v>1386</v>
      </c>
      <c r="CO25" s="2">
        <f>294+169+86+75+30+51+27+42+1+5+16+13+86+88+53+54+31+49+27+40+1+7+3+1</f>
        <v>1249</v>
      </c>
      <c r="CP25" s="2">
        <f>288+172+5+2+77+70+35+53+22+50+3+4+1+95+96+42+15+44+45+16+18+19+49+8+14+12+48+13+14+2+10+9+4+1</f>
        <v>1356</v>
      </c>
      <c r="CQ25" s="2">
        <f>275+175+5+0+74+66+38+52+22+33+3+6+99+101+35+29+47+64+17+14+26+35+4+5+24+31+12+10+2+5+2+8+3+1</f>
        <v>1323</v>
      </c>
      <c r="CR25" s="2">
        <f>271+178+75+64+23+47+20+31+0+4+0+0+123+120+62+68+31+35+27+45+1+10+1+1</f>
        <v>1237</v>
      </c>
      <c r="CS25" s="2">
        <f>261+165+61+59+39+43+13+30+1+5+0+0+132+104+50+63+26+44+31+58+3+23+4+2</f>
        <v>1217</v>
      </c>
      <c r="CT25" s="2">
        <f>244+152+57+45+34+32+15+34+1+7+117+93+38+55+31+35+28+53+5+15+3+2</f>
        <v>1096</v>
      </c>
      <c r="CU25" s="2">
        <f>217+147+50+36+25+21+19+32+1+3+122+84+52+57+26+32+23+57+6+18+3+2</f>
        <v>1033</v>
      </c>
      <c r="CV25" s="2">
        <f>210+129+46+36+21+26+15+24+1+3+1+1+114+85+46+37+31+32+19+46+5+16+1+3+2</f>
        <v>950</v>
      </c>
      <c r="CW25" s="2">
        <f>198+133+59+40+12+21+16+22+1+4+1+5+3+89+64+36+36+19+33+18+40+5+15+8+1+3</f>
        <v>882</v>
      </c>
      <c r="CX25" s="2">
        <v>818</v>
      </c>
      <c r="CY25" s="2">
        <v>1079</v>
      </c>
      <c r="CZ25" s="2">
        <v>1092</v>
      </c>
      <c r="DA25" s="2">
        <v>1060</v>
      </c>
      <c r="DB25" s="2">
        <v>853</v>
      </c>
      <c r="DC25" s="2">
        <v>1003</v>
      </c>
      <c r="DD25" s="2">
        <v>930</v>
      </c>
      <c r="DE25" s="2">
        <v>997</v>
      </c>
      <c r="DF25" s="2">
        <v>1035</v>
      </c>
      <c r="DG25" s="2">
        <v>1065</v>
      </c>
      <c r="DH25" s="2">
        <v>1110</v>
      </c>
      <c r="DI25" s="2">
        <v>1147</v>
      </c>
      <c r="DJ25" s="2">
        <v>1038</v>
      </c>
      <c r="DK25" s="2">
        <v>1033</v>
      </c>
      <c r="DL25" s="2">
        <v>940</v>
      </c>
      <c r="DM25" s="2">
        <v>936</v>
      </c>
      <c r="DN25" s="2">
        <v>933</v>
      </c>
      <c r="DO25" s="2">
        <v>891</v>
      </c>
      <c r="DP25" s="2">
        <v>912</v>
      </c>
      <c r="DQ25" s="2">
        <v>968</v>
      </c>
      <c r="DR25" s="2">
        <v>975</v>
      </c>
      <c r="DS25" s="2">
        <v>874</v>
      </c>
      <c r="DT25" s="2">
        <v>790</v>
      </c>
      <c r="DU25" s="2">
        <v>764</v>
      </c>
    </row>
    <row r="26" spans="1:125" ht="13.5" customHeight="1" x14ac:dyDescent="0.2">
      <c r="A26" s="8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9"/>
      <c r="BN26" s="20" t="s">
        <v>56</v>
      </c>
      <c r="CI26" s="2">
        <f t="shared" ref="CI26:DJ26" si="122">SUM(CI24:CI25)</f>
        <v>16902</v>
      </c>
      <c r="CJ26" s="2">
        <f t="shared" si="122"/>
        <v>16927</v>
      </c>
      <c r="CK26" s="2">
        <f t="shared" si="122"/>
        <v>17508</v>
      </c>
      <c r="CL26" s="2">
        <f t="shared" si="122"/>
        <v>18174</v>
      </c>
      <c r="CM26" s="2">
        <f t="shared" si="122"/>
        <v>18742</v>
      </c>
      <c r="CN26" s="2">
        <f t="shared" si="122"/>
        <v>18418</v>
      </c>
      <c r="CO26" s="2">
        <f t="shared" si="122"/>
        <v>16925</v>
      </c>
      <c r="CP26" s="2">
        <f t="shared" si="122"/>
        <v>16334</v>
      </c>
      <c r="CQ26" s="2">
        <f t="shared" si="122"/>
        <v>16414</v>
      </c>
      <c r="CR26" s="2">
        <f t="shared" si="122"/>
        <v>16758</v>
      </c>
      <c r="CS26" s="2">
        <f t="shared" si="122"/>
        <v>17154</v>
      </c>
      <c r="CT26" s="2">
        <f t="shared" si="122"/>
        <v>17346</v>
      </c>
      <c r="CU26" s="2">
        <f t="shared" si="122"/>
        <v>17697</v>
      </c>
      <c r="CV26" s="2">
        <f t="shared" si="122"/>
        <v>17811</v>
      </c>
      <c r="CW26" s="2">
        <f t="shared" si="122"/>
        <v>18058</v>
      </c>
      <c r="CX26" s="2">
        <f t="shared" si="122"/>
        <v>18419</v>
      </c>
      <c r="CY26" s="2">
        <f t="shared" si="122"/>
        <v>19683</v>
      </c>
      <c r="CZ26" s="2">
        <f t="shared" si="122"/>
        <v>20429</v>
      </c>
      <c r="DA26" s="2">
        <f t="shared" si="122"/>
        <v>20883</v>
      </c>
      <c r="DB26" s="2">
        <f t="shared" si="122"/>
        <v>21335</v>
      </c>
      <c r="DC26" s="2">
        <f t="shared" si="122"/>
        <v>21484</v>
      </c>
      <c r="DD26" s="2">
        <f t="shared" si="122"/>
        <v>21583</v>
      </c>
      <c r="DE26" s="2">
        <f t="shared" si="122"/>
        <v>22979</v>
      </c>
      <c r="DF26" s="2">
        <f t="shared" si="122"/>
        <v>23798</v>
      </c>
      <c r="DG26" s="2">
        <f t="shared" si="122"/>
        <v>24834</v>
      </c>
      <c r="DH26" s="2">
        <f t="shared" si="122"/>
        <v>25992</v>
      </c>
      <c r="DI26" s="2">
        <f t="shared" si="122"/>
        <v>26960</v>
      </c>
      <c r="DJ26" s="2">
        <f t="shared" si="122"/>
        <v>26928</v>
      </c>
      <c r="DK26" s="2">
        <f t="shared" ref="DK26:DL26" si="123">SUM(DK24:DK25)</f>
        <v>27642</v>
      </c>
      <c r="DL26" s="2">
        <f t="shared" si="123"/>
        <v>27791</v>
      </c>
      <c r="DM26" s="2">
        <f t="shared" ref="DM26:DN26" si="124">SUM(DM24:DM25)</f>
        <v>25877</v>
      </c>
      <c r="DN26" s="2">
        <f t="shared" si="124"/>
        <v>23799</v>
      </c>
      <c r="DO26" s="2">
        <f t="shared" ref="DO26:DP26" si="125">SUM(DO24:DO25)</f>
        <v>22484</v>
      </c>
      <c r="DP26" s="2">
        <f t="shared" si="125"/>
        <v>22589</v>
      </c>
      <c r="DQ26" s="2">
        <f t="shared" ref="DQ26:DR26" si="126">SUM(DQ24:DQ25)</f>
        <v>23383</v>
      </c>
      <c r="DR26" s="2">
        <f t="shared" si="126"/>
        <v>23696</v>
      </c>
      <c r="DS26" s="2">
        <f t="shared" ref="DS26:DT26" si="127">SUM(DS24:DS25)</f>
        <v>23745</v>
      </c>
      <c r="DT26" s="2">
        <f t="shared" si="127"/>
        <v>23613</v>
      </c>
      <c r="DU26" s="2">
        <f t="shared" ref="DU26" si="128">SUM(DU24:DU25)</f>
        <v>24449</v>
      </c>
    </row>
    <row r="27" spans="1:125" ht="13.5" customHeight="1" x14ac:dyDescent="0.2">
      <c r="A27" s="8"/>
      <c r="B27" s="26" t="s">
        <v>97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9"/>
    </row>
    <row r="28" spans="1:125" ht="13.5" customHeight="1" x14ac:dyDescent="0.2">
      <c r="A28" s="8"/>
      <c r="C28" s="3" t="s">
        <v>62</v>
      </c>
      <c r="BL28" s="9"/>
      <c r="BN28" s="2" t="s">
        <v>98</v>
      </c>
    </row>
    <row r="29" spans="1:125" ht="13.5" customHeight="1" x14ac:dyDescent="0.2">
      <c r="A29" s="8"/>
      <c r="D29" s="2" t="s">
        <v>59</v>
      </c>
      <c r="E29" s="14"/>
      <c r="F29" s="14">
        <f t="shared" ref="F29:F30" si="129">BP29/BP$31</f>
        <v>0.77837408069966207</v>
      </c>
      <c r="G29" s="14">
        <f t="shared" ref="G29:G30" si="130">BQ29/BQ$31</f>
        <v>0.77283349077710928</v>
      </c>
      <c r="H29" s="14">
        <f t="shared" ref="H29:H30" si="131">BR29/BR$31</f>
        <v>0.7726496537330424</v>
      </c>
      <c r="I29" s="14">
        <f t="shared" ref="I29:I30" si="132">BS29/BS$31</f>
        <v>0.78681795120151288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>
        <f t="shared" ref="X29:Y30" si="133">CH29/CH$31</f>
        <v>0.91181749753922758</v>
      </c>
      <c r="Y29" s="14">
        <f t="shared" si="133"/>
        <v>0.91240314662565802</v>
      </c>
      <c r="Z29" s="14">
        <f t="shared" ref="Z29:Z30" si="134">CJ29/CJ$31</f>
        <v>0.90750796836264902</v>
      </c>
      <c r="AA29" s="14">
        <f t="shared" ref="AA29:AA30" si="135">CK29/CK$31</f>
        <v>0.89380884450784592</v>
      </c>
      <c r="AB29" s="14">
        <f t="shared" ref="AB29:AB30" si="136">CL29/CL$31</f>
        <v>0.88096284897779731</v>
      </c>
      <c r="AC29" s="14">
        <f t="shared" ref="AC29:AC30" si="137">CM29/CM$31</f>
        <v>0.87496668976176517</v>
      </c>
      <c r="AD29" s="14">
        <f t="shared" ref="AD29:AD30" si="138">CN29/CN$31</f>
        <v>0.87487802233546563</v>
      </c>
      <c r="AE29" s="14">
        <f t="shared" ref="AE29:AE30" si="139">CO29/CO$31</f>
        <v>0.87748763372828709</v>
      </c>
      <c r="AF29" s="14">
        <f t="shared" ref="AF29:AF30" si="140">CP29/CP$31</f>
        <v>0.88402077604644058</v>
      </c>
      <c r="AG29" s="14">
        <f t="shared" ref="AG29:AG30" si="141">CQ29/CQ$31</f>
        <v>0.87803394367053955</v>
      </c>
      <c r="AH29" s="14">
        <f t="shared" ref="AH29:AH30" si="142">CR29/CR$31</f>
        <v>0.87482125834127744</v>
      </c>
      <c r="AI29" s="14">
        <f t="shared" ref="AI29:AI30" si="143">CS29/CS$31</f>
        <v>0.86868628022138072</v>
      </c>
      <c r="AJ29" s="14">
        <f t="shared" ref="AJ29:AJ30" si="144">CT29/CT$31</f>
        <v>0.86671278680963915</v>
      </c>
      <c r="AK29" s="14">
        <f t="shared" ref="AK29:AK30" si="145">CU29/CU$31</f>
        <v>0.86569103853542773</v>
      </c>
      <c r="AL29" s="14">
        <f t="shared" ref="AL29:AL30" si="146">CV29/CV$31</f>
        <v>0.86356745831227888</v>
      </c>
      <c r="AM29" s="14">
        <f t="shared" ref="AM29:AM30" si="147">CW29/CW$31</f>
        <v>0.86410455199911396</v>
      </c>
      <c r="AN29" s="14">
        <f t="shared" ref="AN29:AN30" si="148">CX29/CX$31</f>
        <v>0.86425044761543057</v>
      </c>
      <c r="AO29" s="14">
        <f t="shared" ref="AO29:AO30" si="149">CY29/CY$31</f>
        <v>0.86511320946288961</v>
      </c>
      <c r="AP29" s="14">
        <f t="shared" ref="AP29:AP30" si="150">CZ29/CZ$31</f>
        <v>0.8678146861699525</v>
      </c>
      <c r="AQ29" s="14">
        <f t="shared" ref="AQ29:AQ30" si="151">DA29/DA$31</f>
        <v>0.86333381219173488</v>
      </c>
      <c r="AR29" s="14">
        <f t="shared" ref="AR29:AR30" si="152">DB29/DB$31</f>
        <v>0.85680806187016645</v>
      </c>
      <c r="AS29" s="14">
        <f t="shared" ref="AS29:AS30" si="153">DC29/DC$31</f>
        <v>0.85775460808043191</v>
      </c>
      <c r="AT29" s="14">
        <f t="shared" ref="AT29:AT30" si="154">DD29/DD$31</f>
        <v>0.85110719911053456</v>
      </c>
      <c r="AU29" s="14">
        <f t="shared" ref="AU29:AY30" si="155">DE29/DE$31</f>
        <v>0.83585726718885989</v>
      </c>
      <c r="AV29" s="14">
        <f t="shared" si="155"/>
        <v>0.82503466532207237</v>
      </c>
      <c r="AW29" s="14">
        <f t="shared" si="155"/>
        <v>0.80631392445840377</v>
      </c>
      <c r="AX29" s="14">
        <f t="shared" si="155"/>
        <v>0.79035857186826719</v>
      </c>
      <c r="AY29" s="14">
        <f t="shared" si="155"/>
        <v>0.76676557863501482</v>
      </c>
      <c r="AZ29" s="14">
        <f t="shared" ref="AZ29:BH30" si="156">DJ29/DJ$31</f>
        <v>0.74695484254307787</v>
      </c>
      <c r="BA29" s="14">
        <f t="shared" si="156"/>
        <v>0.72661167788148473</v>
      </c>
      <c r="BB29" s="14">
        <f t="shared" si="156"/>
        <v>0.72048504911662048</v>
      </c>
      <c r="BC29" s="14">
        <f t="shared" si="156"/>
        <v>0.73799126637554591</v>
      </c>
      <c r="BD29" s="14">
        <f t="shared" si="156"/>
        <v>0.76137652842556414</v>
      </c>
      <c r="BE29" s="14">
        <f t="shared" si="156"/>
        <v>0.77584059775840597</v>
      </c>
      <c r="BF29" s="14">
        <f t="shared" si="156"/>
        <v>0.78166364159546686</v>
      </c>
      <c r="BG29" s="14">
        <f t="shared" si="156"/>
        <v>0.80293375529230637</v>
      </c>
      <c r="BH29" s="14">
        <f t="shared" si="156"/>
        <v>0.79304523970290342</v>
      </c>
      <c r="BI29" s="14">
        <f t="shared" ref="BI29:BK30" si="157">DS29/DS$31</f>
        <v>0.79081911981469788</v>
      </c>
      <c r="BJ29" s="14">
        <f t="shared" si="157"/>
        <v>0.78842163215178085</v>
      </c>
      <c r="BK29" s="14">
        <f t="shared" si="157"/>
        <v>0.77074726982698682</v>
      </c>
      <c r="BL29" s="9"/>
      <c r="BN29" s="2" t="s">
        <v>59</v>
      </c>
      <c r="BP29" s="2">
        <v>15664</v>
      </c>
      <c r="BQ29" s="2">
        <v>15544</v>
      </c>
      <c r="BR29" s="2">
        <v>16289</v>
      </c>
      <c r="BS29" s="2">
        <v>17059</v>
      </c>
      <c r="CH29" s="2">
        <f>14692+1056</f>
        <v>15748</v>
      </c>
      <c r="CI29" s="2">
        <f>3132+30+11067+778+7+412</f>
        <v>15426</v>
      </c>
      <c r="CJ29" s="2">
        <f>3271+23+10817+844+12+408</f>
        <v>15375</v>
      </c>
      <c r="CK29" s="2">
        <f>3442+25+10912+848+4+433</f>
        <v>15664</v>
      </c>
      <c r="CL29" s="2">
        <f>3371+22+11331+902+10+394</f>
        <v>16030</v>
      </c>
      <c r="CM29" s="2">
        <f>3274+21+11728+965+8+421</f>
        <v>16417</v>
      </c>
      <c r="CN29" s="2">
        <v>16138</v>
      </c>
      <c r="CO29" s="2">
        <v>15256</v>
      </c>
      <c r="CP29" s="2">
        <v>14467</v>
      </c>
      <c r="CQ29" s="2">
        <v>14434</v>
      </c>
      <c r="CR29" s="2">
        <v>14683</v>
      </c>
      <c r="CS29" s="2">
        <v>14911</v>
      </c>
      <c r="CT29" s="2">
        <v>15034</v>
      </c>
      <c r="CU29" s="2">
        <v>15321</v>
      </c>
      <c r="CV29" s="2">
        <v>15381</v>
      </c>
      <c r="CW29" s="2">
        <v>15604</v>
      </c>
      <c r="CX29" s="2">
        <v>15929</v>
      </c>
      <c r="CY29" s="2">
        <v>17041</v>
      </c>
      <c r="CZ29" s="2">
        <v>17739</v>
      </c>
      <c r="DA29" s="2">
        <v>18029</v>
      </c>
      <c r="DB29" s="2">
        <v>18280</v>
      </c>
      <c r="DC29" s="2">
        <v>18428</v>
      </c>
      <c r="DD29" s="2">
        <v>18372</v>
      </c>
      <c r="DE29" s="2">
        <v>19208</v>
      </c>
      <c r="DF29" s="2">
        <v>19635</v>
      </c>
      <c r="DG29" s="2">
        <v>20024</v>
      </c>
      <c r="DH29" s="2">
        <v>20543</v>
      </c>
      <c r="DI29" s="2">
        <v>20672</v>
      </c>
      <c r="DJ29" s="2">
        <v>20114</v>
      </c>
      <c r="DK29" s="2">
        <v>20085</v>
      </c>
      <c r="DL29" s="2">
        <v>20023</v>
      </c>
      <c r="DM29" s="2">
        <v>19097</v>
      </c>
      <c r="DN29" s="2">
        <v>18120</v>
      </c>
      <c r="DO29" s="2">
        <v>17444</v>
      </c>
      <c r="DP29" s="2">
        <v>17657</v>
      </c>
      <c r="DQ29" s="2">
        <v>18775</v>
      </c>
      <c r="DR29" s="2">
        <v>18792</v>
      </c>
      <c r="DS29" s="2">
        <v>18778</v>
      </c>
      <c r="DT29" s="2">
        <v>18617</v>
      </c>
      <c r="DU29" s="2">
        <v>18844</v>
      </c>
    </row>
    <row r="30" spans="1:125" ht="13.5" customHeight="1" x14ac:dyDescent="0.2">
      <c r="A30" s="39"/>
      <c r="D30" s="2" t="s">
        <v>60</v>
      </c>
      <c r="E30" s="14"/>
      <c r="F30" s="14">
        <f t="shared" si="129"/>
        <v>0.2216259193003379</v>
      </c>
      <c r="G30" s="14">
        <f t="shared" si="130"/>
        <v>0.22716650922289067</v>
      </c>
      <c r="H30" s="14">
        <f t="shared" si="131"/>
        <v>0.2273503462669576</v>
      </c>
      <c r="I30" s="14">
        <f t="shared" si="132"/>
        <v>0.21318204879848715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>
        <f t="shared" si="133"/>
        <v>8.8182502460772388E-2</v>
      </c>
      <c r="Y30" s="14">
        <f t="shared" si="133"/>
        <v>8.759685337434199E-2</v>
      </c>
      <c r="Z30" s="14">
        <f t="shared" si="134"/>
        <v>9.2492031637350966E-2</v>
      </c>
      <c r="AA30" s="14">
        <f t="shared" si="135"/>
        <v>0.10619115549215406</v>
      </c>
      <c r="AB30" s="14">
        <f t="shared" si="136"/>
        <v>0.11903715102220268</v>
      </c>
      <c r="AC30" s="14">
        <f t="shared" si="137"/>
        <v>0.12503331023823483</v>
      </c>
      <c r="AD30" s="14">
        <f t="shared" si="138"/>
        <v>0.12512197766453431</v>
      </c>
      <c r="AE30" s="14">
        <f t="shared" si="139"/>
        <v>0.12251236627171287</v>
      </c>
      <c r="AF30" s="14">
        <f t="shared" si="140"/>
        <v>0.11597922395355943</v>
      </c>
      <c r="AG30" s="14">
        <f t="shared" si="141"/>
        <v>0.12196605632946043</v>
      </c>
      <c r="AH30" s="14">
        <f t="shared" si="142"/>
        <v>0.12517874165872259</v>
      </c>
      <c r="AI30" s="14">
        <f t="shared" si="143"/>
        <v>0.13131371977861928</v>
      </c>
      <c r="AJ30" s="14">
        <f t="shared" si="144"/>
        <v>0.13328721319036088</v>
      </c>
      <c r="AK30" s="14">
        <f t="shared" si="145"/>
        <v>0.13430896146457227</v>
      </c>
      <c r="AL30" s="14">
        <f t="shared" si="146"/>
        <v>0.13643254168772107</v>
      </c>
      <c r="AM30" s="14">
        <f t="shared" si="147"/>
        <v>0.13589544800088604</v>
      </c>
      <c r="AN30" s="14">
        <f t="shared" si="148"/>
        <v>0.13574955238456948</v>
      </c>
      <c r="AO30" s="14">
        <f t="shared" si="149"/>
        <v>0.13488679053711036</v>
      </c>
      <c r="AP30" s="14">
        <f t="shared" si="150"/>
        <v>0.13218531383004745</v>
      </c>
      <c r="AQ30" s="14">
        <f t="shared" si="151"/>
        <v>0.13666618780826509</v>
      </c>
      <c r="AR30" s="14">
        <f t="shared" si="152"/>
        <v>0.14319193812983361</v>
      </c>
      <c r="AS30" s="14">
        <f t="shared" si="153"/>
        <v>0.14224539191956806</v>
      </c>
      <c r="AT30" s="14">
        <f t="shared" si="154"/>
        <v>0.14889280088946538</v>
      </c>
      <c r="AU30" s="14">
        <f t="shared" si="155"/>
        <v>0.16414273281114011</v>
      </c>
      <c r="AV30" s="14">
        <f t="shared" si="155"/>
        <v>0.17496533467792763</v>
      </c>
      <c r="AW30" s="14">
        <f t="shared" si="155"/>
        <v>0.1936860755415962</v>
      </c>
      <c r="AX30" s="14">
        <f t="shared" si="155"/>
        <v>0.20964142813173284</v>
      </c>
      <c r="AY30" s="14">
        <f t="shared" si="155"/>
        <v>0.23323442136498515</v>
      </c>
      <c r="AZ30" s="14">
        <f t="shared" si="156"/>
        <v>0.25304515745692219</v>
      </c>
      <c r="BA30" s="14">
        <f t="shared" si="156"/>
        <v>0.27338832211851533</v>
      </c>
      <c r="BB30" s="14">
        <f t="shared" si="156"/>
        <v>0.27951495088337952</v>
      </c>
      <c r="BC30" s="14">
        <f t="shared" si="156"/>
        <v>0.26200873362445415</v>
      </c>
      <c r="BD30" s="14">
        <f t="shared" si="156"/>
        <v>0.23862347157443589</v>
      </c>
      <c r="BE30" s="14">
        <f t="shared" si="156"/>
        <v>0.22415940224159403</v>
      </c>
      <c r="BF30" s="14">
        <f t="shared" si="156"/>
        <v>0.21833635840453319</v>
      </c>
      <c r="BG30" s="14">
        <f t="shared" si="156"/>
        <v>0.19706624470769363</v>
      </c>
      <c r="BH30" s="14">
        <f t="shared" si="156"/>
        <v>0.20695476029709656</v>
      </c>
      <c r="BI30" s="14">
        <f t="shared" si="157"/>
        <v>0.20918088018530218</v>
      </c>
      <c r="BJ30" s="14">
        <f t="shared" si="157"/>
        <v>0.21157836784821921</v>
      </c>
      <c r="BK30" s="14">
        <f t="shared" si="157"/>
        <v>0.2292527301730132</v>
      </c>
      <c r="BL30" s="9"/>
      <c r="BN30" s="2" t="s">
        <v>60</v>
      </c>
      <c r="BP30" s="2">
        <v>4460</v>
      </c>
      <c r="BQ30" s="2">
        <v>4569</v>
      </c>
      <c r="BR30" s="2">
        <v>4793</v>
      </c>
      <c r="BS30" s="2">
        <v>4622</v>
      </c>
      <c r="CH30" s="2">
        <f>1409+114</f>
        <v>1523</v>
      </c>
      <c r="CI30" s="2">
        <f>328+4+1027+65+1+56</f>
        <v>1481</v>
      </c>
      <c r="CJ30" s="2">
        <f>414+14+1018+66+4+51</f>
        <v>1567</v>
      </c>
      <c r="CK30" s="2">
        <f>543+11+1180+85+42</f>
        <v>1861</v>
      </c>
      <c r="CL30" s="2">
        <f>593+14+1407+95+21+36</f>
        <v>2166</v>
      </c>
      <c r="CM30" s="2">
        <f>538+18+1595+113+29+53</f>
        <v>2346</v>
      </c>
      <c r="CN30" s="2">
        <v>2308</v>
      </c>
      <c r="CO30" s="2">
        <v>2130</v>
      </c>
      <c r="CP30" s="2">
        <v>1898</v>
      </c>
      <c r="CQ30" s="2">
        <v>2005</v>
      </c>
      <c r="CR30" s="2">
        <v>2101</v>
      </c>
      <c r="CS30" s="2">
        <v>2254</v>
      </c>
      <c r="CT30" s="2">
        <v>2312</v>
      </c>
      <c r="CU30" s="2">
        <v>2377</v>
      </c>
      <c r="CV30" s="2">
        <v>2430</v>
      </c>
      <c r="CW30" s="2">
        <v>2454</v>
      </c>
      <c r="CX30" s="2">
        <v>2502</v>
      </c>
      <c r="CY30" s="2">
        <v>2657</v>
      </c>
      <c r="CZ30" s="2">
        <v>2702</v>
      </c>
      <c r="DA30" s="2">
        <v>2854</v>
      </c>
      <c r="DB30" s="2">
        <v>3055</v>
      </c>
      <c r="DC30" s="2">
        <v>3056</v>
      </c>
      <c r="DD30" s="2">
        <v>3214</v>
      </c>
      <c r="DE30" s="2">
        <v>3772</v>
      </c>
      <c r="DF30" s="2">
        <v>4164</v>
      </c>
      <c r="DG30" s="2">
        <v>4810</v>
      </c>
      <c r="DH30" s="2">
        <v>5449</v>
      </c>
      <c r="DI30" s="2">
        <v>6288</v>
      </c>
      <c r="DJ30" s="2">
        <v>6814</v>
      </c>
      <c r="DK30" s="2">
        <v>7557</v>
      </c>
      <c r="DL30" s="2">
        <v>7768</v>
      </c>
      <c r="DM30" s="2">
        <v>6780</v>
      </c>
      <c r="DN30" s="2">
        <v>5679</v>
      </c>
      <c r="DO30" s="2">
        <v>5040</v>
      </c>
      <c r="DP30" s="2">
        <v>4932</v>
      </c>
      <c r="DQ30" s="2">
        <v>4608</v>
      </c>
      <c r="DR30" s="2">
        <v>4904</v>
      </c>
      <c r="DS30" s="2">
        <v>4967</v>
      </c>
      <c r="DT30" s="2">
        <v>4996</v>
      </c>
      <c r="DU30" s="2">
        <v>5605</v>
      </c>
    </row>
    <row r="31" spans="1:125" ht="13.5" customHeight="1" x14ac:dyDescent="0.2">
      <c r="A31" s="39"/>
      <c r="C31" s="3" t="s">
        <v>63</v>
      </c>
      <c r="BL31" s="38"/>
      <c r="BN31" s="20" t="s">
        <v>56</v>
      </c>
      <c r="BP31" s="2">
        <f t="shared" ref="BP31:BS31" si="158">SUM(BP29:BP30)</f>
        <v>20124</v>
      </c>
      <c r="BQ31" s="2">
        <f t="shared" si="158"/>
        <v>20113</v>
      </c>
      <c r="BR31" s="2">
        <f t="shared" si="158"/>
        <v>21082</v>
      </c>
      <c r="BS31" s="2">
        <f t="shared" si="158"/>
        <v>21681</v>
      </c>
      <c r="CH31" s="2">
        <f t="shared" ref="CH31:CR31" si="159">SUM(CH29:CH30)</f>
        <v>17271</v>
      </c>
      <c r="CI31" s="2">
        <f t="shared" si="159"/>
        <v>16907</v>
      </c>
      <c r="CJ31" s="2">
        <f t="shared" si="159"/>
        <v>16942</v>
      </c>
      <c r="CK31" s="2">
        <f t="shared" si="159"/>
        <v>17525</v>
      </c>
      <c r="CL31" s="2">
        <f t="shared" si="159"/>
        <v>18196</v>
      </c>
      <c r="CM31" s="2">
        <f t="shared" si="159"/>
        <v>18763</v>
      </c>
      <c r="CN31" s="2">
        <f t="shared" si="159"/>
        <v>18446</v>
      </c>
      <c r="CO31" s="2">
        <f t="shared" si="159"/>
        <v>17386</v>
      </c>
      <c r="CP31" s="2">
        <f t="shared" si="159"/>
        <v>16365</v>
      </c>
      <c r="CQ31" s="2">
        <f t="shared" si="159"/>
        <v>16439</v>
      </c>
      <c r="CR31" s="2">
        <f t="shared" si="159"/>
        <v>16784</v>
      </c>
      <c r="CS31" s="2">
        <f t="shared" ref="CS31:DI31" si="160">SUM(CS29:CS30)</f>
        <v>17165</v>
      </c>
      <c r="CT31" s="2">
        <f t="shared" si="160"/>
        <v>17346</v>
      </c>
      <c r="CU31" s="2">
        <f t="shared" si="160"/>
        <v>17698</v>
      </c>
      <c r="CV31" s="2">
        <f t="shared" si="160"/>
        <v>17811</v>
      </c>
      <c r="CW31" s="2">
        <f t="shared" si="160"/>
        <v>18058</v>
      </c>
      <c r="CX31" s="2">
        <f t="shared" si="160"/>
        <v>18431</v>
      </c>
      <c r="CY31" s="2">
        <f t="shared" si="160"/>
        <v>19698</v>
      </c>
      <c r="CZ31" s="2">
        <f t="shared" si="160"/>
        <v>20441</v>
      </c>
      <c r="DA31" s="2">
        <f t="shared" si="160"/>
        <v>20883</v>
      </c>
      <c r="DB31" s="2">
        <f t="shared" si="160"/>
        <v>21335</v>
      </c>
      <c r="DC31" s="2">
        <f t="shared" si="160"/>
        <v>21484</v>
      </c>
      <c r="DD31" s="2">
        <f t="shared" si="160"/>
        <v>21586</v>
      </c>
      <c r="DE31" s="2">
        <f t="shared" si="160"/>
        <v>22980</v>
      </c>
      <c r="DF31" s="2">
        <f t="shared" si="160"/>
        <v>23799</v>
      </c>
      <c r="DG31" s="2">
        <f t="shared" si="160"/>
        <v>24834</v>
      </c>
      <c r="DH31" s="2">
        <f t="shared" si="160"/>
        <v>25992</v>
      </c>
      <c r="DI31" s="2">
        <f t="shared" si="160"/>
        <v>26960</v>
      </c>
      <c r="DJ31" s="2">
        <f t="shared" ref="DJ31:DO31" si="161">SUM(DJ29:DJ30)</f>
        <v>26928</v>
      </c>
      <c r="DK31" s="2">
        <f t="shared" si="161"/>
        <v>27642</v>
      </c>
      <c r="DL31" s="2">
        <f t="shared" si="161"/>
        <v>27791</v>
      </c>
      <c r="DM31" s="2">
        <f t="shared" si="161"/>
        <v>25877</v>
      </c>
      <c r="DN31" s="2">
        <f t="shared" si="161"/>
        <v>23799</v>
      </c>
      <c r="DO31" s="2">
        <f t="shared" si="161"/>
        <v>22484</v>
      </c>
      <c r="DP31" s="2">
        <f t="shared" ref="DP31:DQ31" si="162">SUM(DP29:DP30)</f>
        <v>22589</v>
      </c>
      <c r="DQ31" s="2">
        <f t="shared" si="162"/>
        <v>23383</v>
      </c>
      <c r="DR31" s="2">
        <f t="shared" ref="DR31:DS31" si="163">SUM(DR29:DR30)</f>
        <v>23696</v>
      </c>
      <c r="DS31" s="2">
        <f t="shared" si="163"/>
        <v>23745</v>
      </c>
      <c r="DT31" s="2">
        <f t="shared" ref="DT31:DU31" si="164">SUM(DT29:DT30)</f>
        <v>23613</v>
      </c>
      <c r="DU31" s="2">
        <f t="shared" si="164"/>
        <v>24449</v>
      </c>
    </row>
    <row r="32" spans="1:125" ht="13.5" customHeight="1" x14ac:dyDescent="0.2">
      <c r="A32" s="39"/>
      <c r="D32" s="2" t="s">
        <v>59</v>
      </c>
      <c r="X32" s="14">
        <f t="shared" ref="X32:Y32" si="165">CH32/CH34</f>
        <v>0.6553892864888311</v>
      </c>
      <c r="Y32" s="14">
        <f t="shared" si="165"/>
        <v>0.65523891150632096</v>
      </c>
      <c r="Z32" s="14">
        <f t="shared" ref="Z32" si="166">CJ32/CJ34</f>
        <v>0.65151203456078999</v>
      </c>
      <c r="AA32" s="14">
        <f t="shared" ref="AA32" si="167">CK32/CK34</f>
        <v>0.65142505638712322</v>
      </c>
      <c r="AB32" s="14">
        <f>CL32/CL34</f>
        <v>0.64317269076305217</v>
      </c>
      <c r="AC32" s="14"/>
      <c r="AD32" s="14"/>
      <c r="AE32" s="14">
        <f t="shared" ref="AE32" si="168">CO32/CO34</f>
        <v>0.63085343604297583</v>
      </c>
      <c r="AF32" s="14">
        <f t="shared" ref="AF32" si="169">CP32/CP34</f>
        <v>0.61395348837209307</v>
      </c>
      <c r="AG32" s="14">
        <f t="shared" ref="AG32" si="170">CQ32/CQ34</f>
        <v>0.61561756435215231</v>
      </c>
      <c r="AH32" s="14">
        <f t="shared" ref="AH32" si="171">CR32/CR34</f>
        <v>0.61529884032114179</v>
      </c>
      <c r="AI32" s="14">
        <f t="shared" ref="AI32" si="172">CS32/CS34</f>
        <v>0.61887863733144077</v>
      </c>
      <c r="AJ32" s="14">
        <f t="shared" ref="AJ32" si="173">CT32/CT34</f>
        <v>0.61671612265084075</v>
      </c>
      <c r="AK32" s="14">
        <f t="shared" ref="AK32" si="174">CU32/CU34</f>
        <v>0.62851303014818605</v>
      </c>
      <c r="AL32" s="14">
        <f t="shared" ref="AL32" si="175">CV32/CV34</f>
        <v>0.62352052379753209</v>
      </c>
      <c r="AM32" s="14">
        <f t="shared" ref="AM32" si="176">CW32/CW34</f>
        <v>0.615478515625</v>
      </c>
      <c r="AN32" s="14">
        <f t="shared" ref="AN32" si="177">CX32/CX34</f>
        <v>0.59253804614629357</v>
      </c>
      <c r="AO32" s="14">
        <f t="shared" ref="AO32" si="178">CY32/CY34</f>
        <v>0.62196969696969695</v>
      </c>
      <c r="AP32" s="14">
        <f t="shared" ref="AP32" si="179">CZ32/CZ34</f>
        <v>0.60818268315889634</v>
      </c>
      <c r="AQ32" s="14">
        <f t="shared" ref="AQ32" si="180">DA32/DA34</f>
        <v>0.59295189071470999</v>
      </c>
      <c r="AR32" s="14">
        <f t="shared" ref="AR32" si="181">DB32/DB34</f>
        <v>0.60087082728592167</v>
      </c>
      <c r="AS32" s="14">
        <f t="shared" ref="AS32" si="182">DC32/DC34</f>
        <v>0.58592354412290104</v>
      </c>
      <c r="AT32" s="14">
        <f t="shared" ref="AT32" si="183">DD32/DD34</f>
        <v>0.59390329362298533</v>
      </c>
      <c r="AU32" s="14">
        <f t="shared" ref="AU32:BH32" si="184">DE32/DE34</f>
        <v>0.58914342629482075</v>
      </c>
      <c r="AV32" s="14">
        <f t="shared" si="184"/>
        <v>0.59080788804071249</v>
      </c>
      <c r="AW32" s="14">
        <f t="shared" si="184"/>
        <v>0.58938193343898571</v>
      </c>
      <c r="AX32" s="14">
        <f t="shared" si="184"/>
        <v>0.57897153351698805</v>
      </c>
      <c r="AY32" s="14">
        <f t="shared" si="184"/>
        <v>0.56805190792522786</v>
      </c>
      <c r="AZ32" s="14">
        <f t="shared" si="184"/>
        <v>0.53963319863226611</v>
      </c>
      <c r="BA32" s="14">
        <f t="shared" si="184"/>
        <v>0.52232891327541531</v>
      </c>
      <c r="BB32" s="14">
        <f t="shared" si="184"/>
        <v>0.50807453416149073</v>
      </c>
      <c r="BC32" s="14">
        <f t="shared" si="184"/>
        <v>0.51213985108449334</v>
      </c>
      <c r="BD32" s="14">
        <f t="shared" si="184"/>
        <v>0.51500682128240105</v>
      </c>
      <c r="BE32" s="14">
        <f t="shared" si="184"/>
        <v>0.49075940860215056</v>
      </c>
      <c r="BF32" s="14">
        <f t="shared" si="184"/>
        <v>0.49218618719542934</v>
      </c>
      <c r="BG32" s="14">
        <f t="shared" si="184"/>
        <v>0.47747893713545042</v>
      </c>
      <c r="BH32" s="14">
        <f t="shared" si="184"/>
        <v>0.47996729354047424</v>
      </c>
      <c r="BI32" s="14">
        <f t="shared" ref="BI32:BK32" si="185">DS32/DS34</f>
        <v>0.49184594031922274</v>
      </c>
      <c r="BJ32" s="14">
        <f t="shared" si="185"/>
        <v>0.49083722601509161</v>
      </c>
      <c r="BK32" s="14">
        <f t="shared" si="185"/>
        <v>0.49478475251280107</v>
      </c>
      <c r="BL32" s="38"/>
      <c r="BN32" s="2" t="s">
        <v>59</v>
      </c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>
        <f>726+805+9+41+164+500+200+516+9+35+3+14</f>
        <v>3022</v>
      </c>
      <c r="CI32" s="1">
        <v>3058</v>
      </c>
      <c r="CJ32" s="1">
        <v>3167</v>
      </c>
      <c r="CK32" s="1">
        <v>3177</v>
      </c>
      <c r="CL32" s="1">
        <v>3203</v>
      </c>
      <c r="CM32" s="1"/>
      <c r="CN32" s="1"/>
      <c r="CO32" s="1">
        <v>3112</v>
      </c>
      <c r="CP32" s="1">
        <v>2904</v>
      </c>
      <c r="CQ32" s="1">
        <v>2846</v>
      </c>
      <c r="CR32" s="1">
        <v>2759</v>
      </c>
      <c r="CS32" s="1">
        <v>2616</v>
      </c>
      <c r="CT32" s="1">
        <v>2494</v>
      </c>
      <c r="CU32" s="1">
        <v>2460</v>
      </c>
      <c r="CV32" s="1">
        <v>2476</v>
      </c>
      <c r="CW32" s="1">
        <v>2521</v>
      </c>
      <c r="CX32" s="1">
        <v>2414</v>
      </c>
      <c r="CY32" s="1">
        <v>3284</v>
      </c>
      <c r="CZ32" s="1">
        <v>3196</v>
      </c>
      <c r="DA32" s="1">
        <v>2995</v>
      </c>
      <c r="DB32" s="1">
        <v>3312</v>
      </c>
      <c r="DC32" s="1">
        <v>3280</v>
      </c>
      <c r="DD32" s="1">
        <v>3390</v>
      </c>
      <c r="DE32" s="1">
        <v>3549</v>
      </c>
      <c r="DF32" s="1">
        <v>3715</v>
      </c>
      <c r="DG32" s="1">
        <v>3719</v>
      </c>
      <c r="DH32" s="1">
        <v>3783</v>
      </c>
      <c r="DI32" s="1">
        <v>3677</v>
      </c>
      <c r="DJ32" s="1">
        <v>3472</v>
      </c>
      <c r="DK32" s="1">
        <v>3427</v>
      </c>
      <c r="DL32" s="1">
        <v>3272</v>
      </c>
      <c r="DM32" s="1">
        <f>9+166+974+858+16+49+729+363</f>
        <v>3164</v>
      </c>
      <c r="DN32" s="1">
        <v>3020</v>
      </c>
      <c r="DO32" s="1">
        <v>2921</v>
      </c>
      <c r="DP32" s="1">
        <v>2929</v>
      </c>
      <c r="DQ32" s="1">
        <v>2947</v>
      </c>
      <c r="DR32" s="1">
        <v>2935</v>
      </c>
      <c r="DS32" s="1">
        <v>2835</v>
      </c>
      <c r="DT32" s="1">
        <v>2732</v>
      </c>
      <c r="DU32" s="1">
        <v>2609</v>
      </c>
    </row>
    <row r="33" spans="1:125" ht="13.5" customHeight="1" x14ac:dyDescent="0.2">
      <c r="A33" s="39"/>
      <c r="D33" s="2" t="s">
        <v>60</v>
      </c>
      <c r="X33" s="14">
        <f t="shared" ref="X33:Y33" si="186">CH33/CH34</f>
        <v>0.34461071351116895</v>
      </c>
      <c r="Y33" s="14">
        <f t="shared" si="186"/>
        <v>0.34476108849367904</v>
      </c>
      <c r="Z33" s="14">
        <f t="shared" ref="Z33" si="187">CJ33/CJ34</f>
        <v>0.34848796543921001</v>
      </c>
      <c r="AA33" s="14">
        <f t="shared" ref="AA33" si="188">CK33/CK34</f>
        <v>0.34857494361287678</v>
      </c>
      <c r="AB33" s="14">
        <f t="shared" ref="AB33" si="189">CL33/CL34</f>
        <v>0.35682730923694778</v>
      </c>
      <c r="AC33" s="14"/>
      <c r="AD33" s="14"/>
      <c r="AE33" s="14">
        <f t="shared" ref="AE33" si="190">CO33/CO34</f>
        <v>0.36914656395702411</v>
      </c>
      <c r="AF33" s="14">
        <f t="shared" ref="AF33" si="191">CP33/CP34</f>
        <v>0.38604651162790699</v>
      </c>
      <c r="AG33" s="14">
        <f t="shared" ref="AG33" si="192">CQ33/CQ34</f>
        <v>0.38438243564784774</v>
      </c>
      <c r="AH33" s="14">
        <f t="shared" ref="AH33" si="193">CR33/CR34</f>
        <v>0.38470115967885815</v>
      </c>
      <c r="AI33" s="14">
        <f t="shared" ref="AI33" si="194">CS33/CS34</f>
        <v>0.38112136266855928</v>
      </c>
      <c r="AJ33" s="14">
        <f t="shared" ref="AJ33" si="195">CT33/CT34</f>
        <v>0.38328387734915925</v>
      </c>
      <c r="AK33" s="14">
        <f t="shared" ref="AK33" si="196">CU33/CU34</f>
        <v>0.37148696985181401</v>
      </c>
      <c r="AL33" s="14">
        <f t="shared" ref="AL33" si="197">CV33/CV34</f>
        <v>0.37647947620246791</v>
      </c>
      <c r="AM33" s="14">
        <f t="shared" ref="AM33" si="198">CW33/CW34</f>
        <v>0.384521484375</v>
      </c>
      <c r="AN33" s="14">
        <f t="shared" ref="AN33" si="199">CX33/CX34</f>
        <v>0.40746195385370643</v>
      </c>
      <c r="AO33" s="14">
        <f t="shared" ref="AO33" si="200">CY33/CY34</f>
        <v>0.37803030303030305</v>
      </c>
      <c r="AP33" s="14">
        <f t="shared" ref="AP33" si="201">CZ33/CZ34</f>
        <v>0.39181731684110371</v>
      </c>
      <c r="AQ33" s="14">
        <f t="shared" ref="AQ33" si="202">DA33/DA34</f>
        <v>0.40704810928529006</v>
      </c>
      <c r="AR33" s="14">
        <f t="shared" ref="AR33" si="203">DB33/DB34</f>
        <v>0.39912917271407838</v>
      </c>
      <c r="AS33" s="14">
        <f t="shared" ref="AS33" si="204">DC33/DC34</f>
        <v>0.41407645587709896</v>
      </c>
      <c r="AT33" s="14">
        <f t="shared" ref="AT33" si="205">DD33/DD34</f>
        <v>0.40609670637701473</v>
      </c>
      <c r="AU33" s="14">
        <f t="shared" ref="AU33:BH33" si="206">DE33/DE34</f>
        <v>0.41085657370517931</v>
      </c>
      <c r="AV33" s="14">
        <f t="shared" si="206"/>
        <v>0.40919211195928751</v>
      </c>
      <c r="AW33" s="14">
        <f t="shared" si="206"/>
        <v>0.41061806656101424</v>
      </c>
      <c r="AX33" s="14">
        <f t="shared" si="206"/>
        <v>0.42102846648301195</v>
      </c>
      <c r="AY33" s="14">
        <f t="shared" si="206"/>
        <v>0.43194809207477214</v>
      </c>
      <c r="AZ33" s="14">
        <f t="shared" si="206"/>
        <v>0.46036680136773389</v>
      </c>
      <c r="BA33" s="14">
        <f t="shared" si="206"/>
        <v>0.47767108672458469</v>
      </c>
      <c r="BB33" s="14">
        <f t="shared" si="206"/>
        <v>0.49192546583850932</v>
      </c>
      <c r="BC33" s="14">
        <f t="shared" si="206"/>
        <v>0.48786014891550666</v>
      </c>
      <c r="BD33" s="14">
        <f t="shared" si="206"/>
        <v>0.48499317871759889</v>
      </c>
      <c r="BE33" s="14">
        <f t="shared" si="206"/>
        <v>0.5092405913978495</v>
      </c>
      <c r="BF33" s="14">
        <f t="shared" si="206"/>
        <v>0.50781381280457061</v>
      </c>
      <c r="BG33" s="14">
        <f t="shared" si="206"/>
        <v>0.52252106286454958</v>
      </c>
      <c r="BH33" s="14">
        <f t="shared" si="206"/>
        <v>0.52003270645952571</v>
      </c>
      <c r="BI33" s="14">
        <f t="shared" ref="BI33:BK33" si="207">DS33/DS34</f>
        <v>0.5081540596807772</v>
      </c>
      <c r="BJ33" s="14">
        <f t="shared" si="207"/>
        <v>0.50916277398490839</v>
      </c>
      <c r="BK33" s="14">
        <f t="shared" si="207"/>
        <v>0.50521524748719893</v>
      </c>
      <c r="BL33" s="38"/>
      <c r="BN33" s="2" t="s">
        <v>60</v>
      </c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>
        <f>634+261+3+0+278+349+27+32+1+4</f>
        <v>1589</v>
      </c>
      <c r="CI33" s="1">
        <v>1609</v>
      </c>
      <c r="CJ33" s="1">
        <v>1694</v>
      </c>
      <c r="CK33" s="1">
        <v>1700</v>
      </c>
      <c r="CL33" s="1">
        <v>1777</v>
      </c>
      <c r="CM33" s="1"/>
      <c r="CN33" s="1"/>
      <c r="CO33" s="1">
        <v>1821</v>
      </c>
      <c r="CP33" s="1">
        <v>1826</v>
      </c>
      <c r="CQ33" s="1">
        <v>1777</v>
      </c>
      <c r="CR33" s="1">
        <v>1725</v>
      </c>
      <c r="CS33" s="1">
        <v>1611</v>
      </c>
      <c r="CT33" s="1">
        <v>1550</v>
      </c>
      <c r="CU33" s="1">
        <v>1454</v>
      </c>
      <c r="CV33" s="1">
        <v>1495</v>
      </c>
      <c r="CW33" s="1">
        <v>1575</v>
      </c>
      <c r="CX33" s="1">
        <v>1660</v>
      </c>
      <c r="CY33" s="1">
        <v>1996</v>
      </c>
      <c r="CZ33" s="1">
        <v>2059</v>
      </c>
      <c r="DA33" s="1">
        <v>2056</v>
      </c>
      <c r="DB33" s="1">
        <v>2200</v>
      </c>
      <c r="DC33" s="1">
        <v>2318</v>
      </c>
      <c r="DD33" s="1">
        <v>2318</v>
      </c>
      <c r="DE33" s="1">
        <v>2475</v>
      </c>
      <c r="DF33" s="1">
        <v>2573</v>
      </c>
      <c r="DG33" s="1">
        <v>2591</v>
      </c>
      <c r="DH33" s="1">
        <v>2751</v>
      </c>
      <c r="DI33" s="1">
        <v>2796</v>
      </c>
      <c r="DJ33" s="1">
        <v>2962</v>
      </c>
      <c r="DK33" s="1">
        <v>3134</v>
      </c>
      <c r="DL33" s="1">
        <v>3168</v>
      </c>
      <c r="DM33" s="1">
        <f>17+57+717+695+6+21+1132+369</f>
        <v>3014</v>
      </c>
      <c r="DN33" s="1">
        <v>2844</v>
      </c>
      <c r="DO33" s="1">
        <v>3031</v>
      </c>
      <c r="DP33" s="1">
        <v>3022</v>
      </c>
      <c r="DQ33" s="1">
        <v>3225</v>
      </c>
      <c r="DR33" s="1">
        <v>3180</v>
      </c>
      <c r="DS33" s="1">
        <v>2929</v>
      </c>
      <c r="DT33" s="1">
        <v>2834</v>
      </c>
      <c r="DU33" s="1">
        <v>2664</v>
      </c>
    </row>
    <row r="34" spans="1:125" ht="13.5" customHeight="1" x14ac:dyDescent="0.2">
      <c r="A34" s="39"/>
      <c r="BL34" s="38"/>
      <c r="BN34" s="20" t="s">
        <v>56</v>
      </c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2">
        <f t="shared" ref="CH34:CL34" si="208">SUM(CH32:CH33)</f>
        <v>4611</v>
      </c>
      <c r="CI34" s="2">
        <f t="shared" si="208"/>
        <v>4667</v>
      </c>
      <c r="CJ34" s="2">
        <f t="shared" si="208"/>
        <v>4861</v>
      </c>
      <c r="CK34" s="2">
        <f t="shared" si="208"/>
        <v>4877</v>
      </c>
      <c r="CL34" s="2">
        <f t="shared" si="208"/>
        <v>4980</v>
      </c>
      <c r="CM34" s="1"/>
      <c r="CN34" s="1"/>
      <c r="CO34" s="1">
        <f t="shared" ref="CO34:CT34" si="209">SUM(CO32:CO33)</f>
        <v>4933</v>
      </c>
      <c r="CP34" s="1">
        <f t="shared" si="209"/>
        <v>4730</v>
      </c>
      <c r="CQ34" s="1">
        <f t="shared" si="209"/>
        <v>4623</v>
      </c>
      <c r="CR34" s="1">
        <f t="shared" si="209"/>
        <v>4484</v>
      </c>
      <c r="CS34" s="1">
        <f t="shared" si="209"/>
        <v>4227</v>
      </c>
      <c r="CT34" s="1">
        <f t="shared" si="209"/>
        <v>4044</v>
      </c>
      <c r="CU34" s="1">
        <f t="shared" ref="CU34:DD34" si="210">SUM(CU32:CU33)</f>
        <v>3914</v>
      </c>
      <c r="CV34" s="1">
        <f t="shared" si="210"/>
        <v>3971</v>
      </c>
      <c r="CW34" s="1">
        <f t="shared" si="210"/>
        <v>4096</v>
      </c>
      <c r="CX34" s="1">
        <f t="shared" si="210"/>
        <v>4074</v>
      </c>
      <c r="CY34" s="1">
        <f t="shared" si="210"/>
        <v>5280</v>
      </c>
      <c r="CZ34" s="1">
        <f t="shared" si="210"/>
        <v>5255</v>
      </c>
      <c r="DA34" s="1">
        <f t="shared" si="210"/>
        <v>5051</v>
      </c>
      <c r="DB34" s="1">
        <f t="shared" si="210"/>
        <v>5512</v>
      </c>
      <c r="DC34" s="1">
        <f t="shared" si="210"/>
        <v>5598</v>
      </c>
      <c r="DD34" s="1">
        <f t="shared" si="210"/>
        <v>5708</v>
      </c>
      <c r="DE34" s="1">
        <f t="shared" ref="DE34:DJ34" si="211">SUM(DE32:DE33)</f>
        <v>6024</v>
      </c>
      <c r="DF34" s="1">
        <f t="shared" si="211"/>
        <v>6288</v>
      </c>
      <c r="DG34" s="1">
        <f t="shared" si="211"/>
        <v>6310</v>
      </c>
      <c r="DH34" s="1">
        <f t="shared" si="211"/>
        <v>6534</v>
      </c>
      <c r="DI34" s="1">
        <f t="shared" si="211"/>
        <v>6473</v>
      </c>
      <c r="DJ34" s="1">
        <f t="shared" si="211"/>
        <v>6434</v>
      </c>
      <c r="DK34" s="1">
        <f t="shared" ref="DK34:DL34" si="212">SUM(DK32:DK33)</f>
        <v>6561</v>
      </c>
      <c r="DL34" s="1">
        <f t="shared" si="212"/>
        <v>6440</v>
      </c>
      <c r="DM34" s="1">
        <f t="shared" ref="DM34:DN34" si="213">SUM(DM32:DM33)</f>
        <v>6178</v>
      </c>
      <c r="DN34" s="1">
        <f t="shared" si="213"/>
        <v>5864</v>
      </c>
      <c r="DO34" s="1">
        <f t="shared" ref="DO34:DP34" si="214">SUM(DO32:DO33)</f>
        <v>5952</v>
      </c>
      <c r="DP34" s="1">
        <f t="shared" si="214"/>
        <v>5951</v>
      </c>
      <c r="DQ34" s="1">
        <f t="shared" ref="DQ34:DR34" si="215">SUM(DQ32:DQ33)</f>
        <v>6172</v>
      </c>
      <c r="DR34" s="1">
        <f t="shared" si="215"/>
        <v>6115</v>
      </c>
      <c r="DS34" s="1">
        <f t="shared" ref="DS34:DT34" si="216">SUM(DS32:DS33)</f>
        <v>5764</v>
      </c>
      <c r="DT34" s="1">
        <f t="shared" si="216"/>
        <v>5566</v>
      </c>
      <c r="DU34" s="1">
        <f t="shared" ref="DU34" si="217">SUM(DU32:DU33)</f>
        <v>5273</v>
      </c>
    </row>
    <row r="35" spans="1:125" ht="13.5" customHeight="1" x14ac:dyDescent="0.2">
      <c r="A35" s="8"/>
      <c r="B35" s="26" t="s">
        <v>67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9"/>
    </row>
    <row r="36" spans="1:125" ht="13.5" customHeight="1" x14ac:dyDescent="0.2">
      <c r="A36" s="8"/>
      <c r="C36" s="3" t="s">
        <v>62</v>
      </c>
      <c r="BL36" s="9"/>
      <c r="BN36" s="2" t="s">
        <v>61</v>
      </c>
    </row>
    <row r="37" spans="1:125" ht="13.5" customHeight="1" x14ac:dyDescent="0.2">
      <c r="A37" s="8"/>
      <c r="D37" s="2" t="s">
        <v>75</v>
      </c>
      <c r="E37" s="14">
        <f t="shared" ref="E37:E38" si="218">BO37/BO$39</f>
        <v>0.97450365726227794</v>
      </c>
      <c r="F37" s="14">
        <f t="shared" ref="F37:F38" si="219">BP37/BP$39</f>
        <v>0.96952095026758911</v>
      </c>
      <c r="G37" s="14">
        <f t="shared" ref="G37:G38" si="220">BQ37/BQ$39</f>
        <v>0.96801897071076071</v>
      </c>
      <c r="H37" s="14">
        <f t="shared" ref="H37:H38" si="221">BR37/BR$39</f>
        <v>0.96326230712711247</v>
      </c>
      <c r="I37" s="14">
        <f t="shared" ref="I37:I38" si="222">BS37/BS$39</f>
        <v>0.96711116426478505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>
        <f t="shared" ref="W37:Y38" si="223">CG37/CG$39</f>
        <v>0.93507806357407619</v>
      </c>
      <c r="X37" s="14">
        <f t="shared" si="223"/>
        <v>0.93225638353309015</v>
      </c>
      <c r="Y37" s="14">
        <f t="shared" si="223"/>
        <v>0.92044715206719108</v>
      </c>
      <c r="Z37" s="14">
        <f t="shared" ref="Z37:Z38" si="224">CJ37/CJ$39</f>
        <v>0.91701097863298309</v>
      </c>
      <c r="AA37" s="14">
        <f t="shared" ref="AA37:AA38" si="225">CK37/CK$39</f>
        <v>0.91760342368045644</v>
      </c>
      <c r="AB37" s="14">
        <f t="shared" ref="AB37:AB38" si="226">CL37/CL$39</f>
        <v>0.91959771378324906</v>
      </c>
      <c r="AC37" s="14">
        <f t="shared" ref="AC37:AC38" si="227">CM37/CM$39</f>
        <v>0.91520545754943239</v>
      </c>
      <c r="AD37" s="14">
        <f t="shared" ref="AD37:AD38" si="228">CN37/CN$39</f>
        <v>0.90914019299577142</v>
      </c>
      <c r="AE37" s="14">
        <f t="shared" ref="AE37:AE38" si="229">CO37/CO$39</f>
        <v>0.90492350166800872</v>
      </c>
      <c r="AF37" s="14">
        <f t="shared" ref="AF37:AF38" si="230">CP37/CP$39</f>
        <v>0.90326917201344337</v>
      </c>
      <c r="AG37" s="14">
        <f t="shared" ref="AG37:AG38" si="231">CQ37/CQ$39</f>
        <v>0.89585741225135351</v>
      </c>
      <c r="AH37" s="14">
        <f t="shared" ref="AH37:AH38" si="232">CR37/CR$39</f>
        <v>0.89883222116301242</v>
      </c>
      <c r="AI37" s="14">
        <f t="shared" ref="AI37:AI38" si="233">CS37/CS$39</f>
        <v>0.91179726187008447</v>
      </c>
      <c r="AJ37" s="14">
        <f t="shared" ref="AJ37:AJ38" si="234">CT37/CT$39</f>
        <v>0.91364003228410007</v>
      </c>
      <c r="AK37" s="14">
        <f t="shared" ref="AK37:AK38" si="235">CU37/CU$39</f>
        <v>0.92089501638603233</v>
      </c>
      <c r="AL37" s="14">
        <f t="shared" ref="AL37:AL38" si="236">CV37/CV$39</f>
        <v>0.9302116669473921</v>
      </c>
      <c r="AM37" s="14">
        <f t="shared" ref="AM37:AM38" si="237">CW37/CW$39</f>
        <v>0.94013733525307341</v>
      </c>
      <c r="AN37" s="14">
        <f t="shared" ref="AN37:AN38" si="238">CX37/CX$39</f>
        <v>0.94292225055612822</v>
      </c>
      <c r="AO37" s="14">
        <f t="shared" ref="AO37:AO38" si="239">CY37/CY$39</f>
        <v>0.92659153213524215</v>
      </c>
      <c r="AP37" s="14">
        <f t="shared" ref="AP37:AP38" si="240">CZ37/CZ$39</f>
        <v>0.93111882980284721</v>
      </c>
      <c r="AQ37" s="14">
        <f t="shared" ref="AQ37:AQ38" si="241">DA37/DA$39</f>
        <v>0.93535411578796146</v>
      </c>
      <c r="AR37" s="14">
        <f t="shared" ref="AR37:AR38" si="242">DB37/DB$39</f>
        <v>0.9357862666979142</v>
      </c>
      <c r="AS37" s="14">
        <f t="shared" ref="AS37:AS38" si="243">DC37/DC$39</f>
        <v>0.94139824986036125</v>
      </c>
      <c r="AT37" s="14">
        <f t="shared" ref="AT37:AT38" si="244">DD37/DD$39</f>
        <v>0.93968312795330311</v>
      </c>
      <c r="AU37" s="14">
        <f t="shared" ref="AU37:AY38" si="245">DE37/DE$39</f>
        <v>0.94042645778938205</v>
      </c>
      <c r="AV37" s="14">
        <f t="shared" si="245"/>
        <v>0.93999747888566743</v>
      </c>
      <c r="AW37" s="14">
        <f t="shared" si="245"/>
        <v>0.94318273334944025</v>
      </c>
      <c r="AX37" s="14">
        <f t="shared" si="245"/>
        <v>0.93925053862726993</v>
      </c>
      <c r="AY37" s="14">
        <f t="shared" si="245"/>
        <v>0.93390207715133533</v>
      </c>
      <c r="AZ37" s="14">
        <f t="shared" ref="AZ37:BH38" si="246">DJ37/DJ$39</f>
        <v>0.93798276886512177</v>
      </c>
      <c r="BA37" s="14">
        <f t="shared" si="246"/>
        <v>0.93549670790825556</v>
      </c>
      <c r="BB37" s="14">
        <f t="shared" si="246"/>
        <v>0.93652621352236332</v>
      </c>
      <c r="BC37" s="14">
        <f t="shared" si="246"/>
        <v>0.93225644394636165</v>
      </c>
      <c r="BD37" s="14">
        <f t="shared" si="246"/>
        <v>0.932686247321316</v>
      </c>
      <c r="BE37" s="14">
        <f t="shared" si="246"/>
        <v>0.92154420921544211</v>
      </c>
      <c r="BF37" s="14">
        <f t="shared" si="246"/>
        <v>0.9153127628491744</v>
      </c>
      <c r="BG37" s="14">
        <f t="shared" si="246"/>
        <v>0.91279989736133094</v>
      </c>
      <c r="BH37" s="14">
        <f t="shared" si="246"/>
        <v>0.92315158676569886</v>
      </c>
      <c r="BI37" s="14">
        <f t="shared" ref="BI37:BK38" si="247">DS37/DS$39</f>
        <v>0.92646873025900189</v>
      </c>
      <c r="BJ37" s="14">
        <f t="shared" si="247"/>
        <v>0.93550163045779866</v>
      </c>
      <c r="BK37" s="14">
        <f t="shared" si="247"/>
        <v>0.94228802814021029</v>
      </c>
      <c r="BL37" s="9"/>
      <c r="BN37" s="2" t="s">
        <v>75</v>
      </c>
      <c r="BO37" s="2">
        <v>13989</v>
      </c>
      <c r="BP37" s="2">
        <v>14855</v>
      </c>
      <c r="BQ37" s="2">
        <v>15104</v>
      </c>
      <c r="BR37" s="2">
        <v>15732</v>
      </c>
      <c r="BS37" s="2">
        <v>16173</v>
      </c>
      <c r="CG37" s="2">
        <v>16650</v>
      </c>
      <c r="CH37" s="2">
        <v>16101</v>
      </c>
      <c r="CI37" s="2">
        <f>7809+7745+4+4</f>
        <v>15562</v>
      </c>
      <c r="CJ37" s="2">
        <f>7776+7744+8+8</f>
        <v>15536</v>
      </c>
      <c r="CK37" s="2">
        <f>8105+7972+2+2</f>
        <v>16081</v>
      </c>
      <c r="CL37" s="2">
        <f>8400+8302+15+16</f>
        <v>16733</v>
      </c>
      <c r="CM37" s="2">
        <f>8564+8608</f>
        <v>17172</v>
      </c>
      <c r="CN37" s="2">
        <v>16770</v>
      </c>
      <c r="CO37" s="2">
        <v>15733</v>
      </c>
      <c r="CP37" s="2">
        <v>14782</v>
      </c>
      <c r="CQ37" s="2">
        <v>14727</v>
      </c>
      <c r="CR37" s="2">
        <v>15086</v>
      </c>
      <c r="CS37" s="2">
        <f>7416+8235</f>
        <v>15651</v>
      </c>
      <c r="CT37" s="2">
        <f>7505+8343</f>
        <v>15848</v>
      </c>
      <c r="CU37" s="2">
        <f>7716+8582</f>
        <v>16298</v>
      </c>
      <c r="CV37" s="2">
        <v>16568</v>
      </c>
      <c r="CW37" s="2">
        <v>16977</v>
      </c>
      <c r="CX37" s="2">
        <v>17379</v>
      </c>
      <c r="CY37" s="2">
        <v>18252</v>
      </c>
      <c r="CZ37" s="2">
        <v>19033</v>
      </c>
      <c r="DA37" s="2">
        <v>19533</v>
      </c>
      <c r="DB37" s="2">
        <v>19965</v>
      </c>
      <c r="DC37" s="2">
        <v>20225</v>
      </c>
      <c r="DD37" s="2">
        <v>20284</v>
      </c>
      <c r="DE37" s="2">
        <v>21611</v>
      </c>
      <c r="DF37" s="2">
        <v>22371</v>
      </c>
      <c r="DG37" s="2">
        <v>23423</v>
      </c>
      <c r="DH37" s="2">
        <v>24413</v>
      </c>
      <c r="DI37" s="2">
        <v>25178</v>
      </c>
      <c r="DJ37" s="2">
        <v>25258</v>
      </c>
      <c r="DK37" s="2">
        <v>25859</v>
      </c>
      <c r="DL37" s="2">
        <v>26027</v>
      </c>
      <c r="DM37" s="2">
        <v>24124</v>
      </c>
      <c r="DN37" s="2">
        <v>22197</v>
      </c>
      <c r="DO37" s="2">
        <v>20720</v>
      </c>
      <c r="DP37" s="2">
        <v>20676</v>
      </c>
      <c r="DQ37" s="2">
        <v>21344</v>
      </c>
      <c r="DR37" s="2">
        <v>21875</v>
      </c>
      <c r="DS37" s="2">
        <v>21999</v>
      </c>
      <c r="DT37" s="2">
        <v>22090</v>
      </c>
      <c r="DU37" s="2">
        <v>23038</v>
      </c>
    </row>
    <row r="38" spans="1:125" ht="13.5" customHeight="1" x14ac:dyDescent="0.2">
      <c r="A38" s="8"/>
      <c r="D38" s="2" t="s">
        <v>76</v>
      </c>
      <c r="E38" s="14">
        <f t="shared" si="218"/>
        <v>2.5496342737722048E-2</v>
      </c>
      <c r="F38" s="14">
        <f t="shared" si="219"/>
        <v>3.0479049732410911E-2</v>
      </c>
      <c r="G38" s="14">
        <f t="shared" si="220"/>
        <v>3.1981029289239252E-2</v>
      </c>
      <c r="H38" s="14">
        <f t="shared" si="221"/>
        <v>3.6737692872887584E-2</v>
      </c>
      <c r="I38" s="14">
        <f t="shared" si="222"/>
        <v>3.288883573521497E-2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>
        <f t="shared" si="223"/>
        <v>6.4921936425923851E-2</v>
      </c>
      <c r="X38" s="14">
        <f t="shared" si="223"/>
        <v>6.7743616466909851E-2</v>
      </c>
      <c r="Y38" s="14">
        <f t="shared" si="223"/>
        <v>7.9552847932808896E-2</v>
      </c>
      <c r="Z38" s="14">
        <f t="shared" si="224"/>
        <v>8.2989021367016885E-2</v>
      </c>
      <c r="AA38" s="14">
        <f t="shared" si="225"/>
        <v>8.2396576319543516E-2</v>
      </c>
      <c r="AB38" s="14">
        <f t="shared" si="226"/>
        <v>8.040228621675094E-2</v>
      </c>
      <c r="AC38" s="14">
        <f t="shared" si="227"/>
        <v>8.4794542450567612E-2</v>
      </c>
      <c r="AD38" s="14">
        <f t="shared" si="228"/>
        <v>9.0859807004228563E-2</v>
      </c>
      <c r="AE38" s="14">
        <f t="shared" si="229"/>
        <v>9.5076498331991263E-2</v>
      </c>
      <c r="AF38" s="14">
        <f t="shared" si="230"/>
        <v>9.6730827986556675E-2</v>
      </c>
      <c r="AG38" s="14">
        <f t="shared" si="231"/>
        <v>0.10414258774864651</v>
      </c>
      <c r="AH38" s="14">
        <f t="shared" si="232"/>
        <v>0.1011677788369876</v>
      </c>
      <c r="AI38" s="14">
        <f t="shared" si="233"/>
        <v>8.8202738129915526E-2</v>
      </c>
      <c r="AJ38" s="14">
        <f t="shared" si="234"/>
        <v>8.6359967715899918E-2</v>
      </c>
      <c r="AK38" s="14">
        <f t="shared" si="235"/>
        <v>7.9104983613967686E-2</v>
      </c>
      <c r="AL38" s="14">
        <f t="shared" si="236"/>
        <v>6.978833305260794E-2</v>
      </c>
      <c r="AM38" s="14">
        <f t="shared" si="237"/>
        <v>5.9862664746926572E-2</v>
      </c>
      <c r="AN38" s="14">
        <f t="shared" si="238"/>
        <v>5.7077749443871735E-2</v>
      </c>
      <c r="AO38" s="14">
        <f t="shared" si="239"/>
        <v>7.340846786475784E-2</v>
      </c>
      <c r="AP38" s="14">
        <f t="shared" si="240"/>
        <v>6.8881170197152786E-2</v>
      </c>
      <c r="AQ38" s="14">
        <f t="shared" si="241"/>
        <v>6.4645884212038499E-2</v>
      </c>
      <c r="AR38" s="14">
        <f t="shared" si="242"/>
        <v>6.4213733302085768E-2</v>
      </c>
      <c r="AS38" s="14">
        <f t="shared" si="243"/>
        <v>5.8601750139638802E-2</v>
      </c>
      <c r="AT38" s="14">
        <f t="shared" si="244"/>
        <v>6.0316872046696932E-2</v>
      </c>
      <c r="AU38" s="14">
        <f>DE38/DE$39</f>
        <v>5.9573542210617926E-2</v>
      </c>
      <c r="AV38" s="14">
        <f t="shared" si="245"/>
        <v>6.0002521114332533E-2</v>
      </c>
      <c r="AW38" s="14">
        <f t="shared" si="245"/>
        <v>5.6817266650559715E-2</v>
      </c>
      <c r="AX38" s="14">
        <f t="shared" si="245"/>
        <v>6.0749461372730074E-2</v>
      </c>
      <c r="AY38" s="14">
        <f t="shared" si="245"/>
        <v>6.6097922848664684E-2</v>
      </c>
      <c r="AZ38" s="14">
        <f t="shared" si="246"/>
        <v>6.2017231134878191E-2</v>
      </c>
      <c r="BA38" s="14">
        <f t="shared" si="246"/>
        <v>6.4503292091744449E-2</v>
      </c>
      <c r="BB38" s="14">
        <f t="shared" si="246"/>
        <v>6.3473786477636643E-2</v>
      </c>
      <c r="BC38" s="14">
        <f t="shared" si="246"/>
        <v>6.7743556053638368E-2</v>
      </c>
      <c r="BD38" s="14">
        <f t="shared" si="246"/>
        <v>6.7313752678683975E-2</v>
      </c>
      <c r="BE38" s="14">
        <f t="shared" si="246"/>
        <v>7.8455790784557902E-2</v>
      </c>
      <c r="BF38" s="14">
        <f t="shared" si="246"/>
        <v>8.4687237150825628E-2</v>
      </c>
      <c r="BG38" s="14">
        <f t="shared" si="246"/>
        <v>8.7200102638669119E-2</v>
      </c>
      <c r="BH38" s="14">
        <f t="shared" si="246"/>
        <v>7.6848413234301152E-2</v>
      </c>
      <c r="BI38" s="14">
        <f t="shared" si="247"/>
        <v>7.3531269740998106E-2</v>
      </c>
      <c r="BJ38" s="14">
        <f t="shared" si="247"/>
        <v>6.4498369542201325E-2</v>
      </c>
      <c r="BK38" s="14">
        <f t="shared" si="247"/>
        <v>5.7711971859789768E-2</v>
      </c>
      <c r="BL38" s="9"/>
      <c r="BN38" s="2" t="s">
        <v>76</v>
      </c>
      <c r="BO38" s="2">
        <v>366</v>
      </c>
      <c r="BP38" s="2">
        <v>467</v>
      </c>
      <c r="BQ38" s="2">
        <v>499</v>
      </c>
      <c r="BR38" s="2">
        <v>600</v>
      </c>
      <c r="BS38" s="2">
        <v>550</v>
      </c>
      <c r="CG38" s="2">
        <v>1156</v>
      </c>
      <c r="CH38" s="2">
        <v>1170</v>
      </c>
      <c r="CI38" s="2">
        <f>374+503+221+247</f>
        <v>1345</v>
      </c>
      <c r="CJ38" s="2">
        <f>404+543+209+250</f>
        <v>1406</v>
      </c>
      <c r="CK38" s="2">
        <f>464+505+237+238</f>
        <v>1444</v>
      </c>
      <c r="CL38" s="2">
        <f>479+554+209+221</f>
        <v>1463</v>
      </c>
      <c r="CM38" s="2">
        <f>756+835</f>
        <v>1591</v>
      </c>
      <c r="CN38" s="2">
        <v>1676</v>
      </c>
      <c r="CO38" s="2">
        <v>1653</v>
      </c>
      <c r="CP38" s="2">
        <v>1583</v>
      </c>
      <c r="CQ38" s="2">
        <v>1712</v>
      </c>
      <c r="CR38" s="2">
        <v>1698</v>
      </c>
      <c r="CS38" s="2">
        <f>711+803</f>
        <v>1514</v>
      </c>
      <c r="CT38" s="2">
        <f>742+756</f>
        <v>1498</v>
      </c>
      <c r="CU38" s="2">
        <f>701+699</f>
        <v>1400</v>
      </c>
      <c r="CV38" s="2">
        <v>1243</v>
      </c>
      <c r="CW38" s="2">
        <v>1081</v>
      </c>
      <c r="CX38" s="2">
        <v>1052</v>
      </c>
      <c r="CY38" s="2">
        <v>1446</v>
      </c>
      <c r="CZ38" s="2">
        <v>1408</v>
      </c>
      <c r="DA38" s="2">
        <v>1350</v>
      </c>
      <c r="DB38" s="2">
        <v>1370</v>
      </c>
      <c r="DC38" s="2">
        <v>1259</v>
      </c>
      <c r="DD38" s="2">
        <v>1302</v>
      </c>
      <c r="DE38" s="2">
        <v>1369</v>
      </c>
      <c r="DF38" s="2">
        <v>1428</v>
      </c>
      <c r="DG38" s="2">
        <v>1411</v>
      </c>
      <c r="DH38" s="2">
        <v>1579</v>
      </c>
      <c r="DI38" s="2">
        <v>1782</v>
      </c>
      <c r="DJ38" s="2">
        <v>1670</v>
      </c>
      <c r="DK38" s="2">
        <v>1783</v>
      </c>
      <c r="DL38" s="2">
        <v>1764</v>
      </c>
      <c r="DM38" s="2">
        <v>1753</v>
      </c>
      <c r="DN38" s="2">
        <v>1602</v>
      </c>
      <c r="DO38" s="2">
        <v>1764</v>
      </c>
      <c r="DP38" s="2">
        <v>1913</v>
      </c>
      <c r="DQ38" s="2">
        <v>2039</v>
      </c>
      <c r="DR38" s="2">
        <v>1821</v>
      </c>
      <c r="DS38" s="2">
        <v>1746</v>
      </c>
      <c r="DT38" s="2">
        <v>1523</v>
      </c>
      <c r="DU38" s="2">
        <v>1411</v>
      </c>
    </row>
    <row r="39" spans="1:125" ht="13.5" customHeight="1" x14ac:dyDescent="0.2">
      <c r="A39" s="8"/>
      <c r="C39" s="3" t="s">
        <v>63</v>
      </c>
      <c r="BL39" s="9"/>
      <c r="BN39" s="20" t="s">
        <v>111</v>
      </c>
      <c r="BO39" s="2">
        <f t="shared" ref="BO39:BS39" si="248">SUM(BO37:BO38)</f>
        <v>14355</v>
      </c>
      <c r="BP39" s="2">
        <f t="shared" si="248"/>
        <v>15322</v>
      </c>
      <c r="BQ39" s="2">
        <f t="shared" si="248"/>
        <v>15603</v>
      </c>
      <c r="BR39" s="2">
        <f t="shared" si="248"/>
        <v>16332</v>
      </c>
      <c r="BS39" s="2">
        <f t="shared" si="248"/>
        <v>16723</v>
      </c>
      <c r="CG39" s="2">
        <f t="shared" ref="CG39:CQ39" si="249">SUM(CG37:CG38)</f>
        <v>17806</v>
      </c>
      <c r="CH39" s="2">
        <f t="shared" si="249"/>
        <v>17271</v>
      </c>
      <c r="CI39" s="2">
        <f t="shared" si="249"/>
        <v>16907</v>
      </c>
      <c r="CJ39" s="2">
        <f t="shared" si="249"/>
        <v>16942</v>
      </c>
      <c r="CK39" s="2">
        <f t="shared" si="249"/>
        <v>17525</v>
      </c>
      <c r="CL39" s="2">
        <f t="shared" si="249"/>
        <v>18196</v>
      </c>
      <c r="CM39" s="2">
        <f t="shared" si="249"/>
        <v>18763</v>
      </c>
      <c r="CN39" s="2">
        <f t="shared" si="249"/>
        <v>18446</v>
      </c>
      <c r="CO39" s="2">
        <f t="shared" si="249"/>
        <v>17386</v>
      </c>
      <c r="CP39" s="2">
        <f t="shared" si="249"/>
        <v>16365</v>
      </c>
      <c r="CQ39" s="2">
        <f t="shared" si="249"/>
        <v>16439</v>
      </c>
      <c r="CR39" s="2">
        <f t="shared" ref="CR39:DI39" si="250">SUM(CR37:CR38)</f>
        <v>16784</v>
      </c>
      <c r="CS39" s="2">
        <f t="shared" si="250"/>
        <v>17165</v>
      </c>
      <c r="CT39" s="2">
        <f t="shared" si="250"/>
        <v>17346</v>
      </c>
      <c r="CU39" s="2">
        <f t="shared" si="250"/>
        <v>17698</v>
      </c>
      <c r="CV39" s="2">
        <f t="shared" si="250"/>
        <v>17811</v>
      </c>
      <c r="CW39" s="2">
        <f t="shared" si="250"/>
        <v>18058</v>
      </c>
      <c r="CX39" s="2">
        <f t="shared" si="250"/>
        <v>18431</v>
      </c>
      <c r="CY39" s="2">
        <f t="shared" si="250"/>
        <v>19698</v>
      </c>
      <c r="CZ39" s="2">
        <f t="shared" si="250"/>
        <v>20441</v>
      </c>
      <c r="DA39" s="2">
        <f t="shared" si="250"/>
        <v>20883</v>
      </c>
      <c r="DB39" s="2">
        <f t="shared" si="250"/>
        <v>21335</v>
      </c>
      <c r="DC39" s="2">
        <f t="shared" si="250"/>
        <v>21484</v>
      </c>
      <c r="DD39" s="2">
        <f t="shared" si="250"/>
        <v>21586</v>
      </c>
      <c r="DE39" s="2">
        <f t="shared" si="250"/>
        <v>22980</v>
      </c>
      <c r="DF39" s="2">
        <f t="shared" si="250"/>
        <v>23799</v>
      </c>
      <c r="DG39" s="2">
        <f t="shared" si="250"/>
        <v>24834</v>
      </c>
      <c r="DH39" s="2">
        <f t="shared" si="250"/>
        <v>25992</v>
      </c>
      <c r="DI39" s="2">
        <f t="shared" si="250"/>
        <v>26960</v>
      </c>
      <c r="DJ39" s="2">
        <f t="shared" ref="DJ39:DO39" si="251">SUM(DJ37:DJ38)</f>
        <v>26928</v>
      </c>
      <c r="DK39" s="2">
        <f t="shared" si="251"/>
        <v>27642</v>
      </c>
      <c r="DL39" s="2">
        <f t="shared" si="251"/>
        <v>27791</v>
      </c>
      <c r="DM39" s="2">
        <f t="shared" si="251"/>
        <v>25877</v>
      </c>
      <c r="DN39" s="2">
        <f t="shared" si="251"/>
        <v>23799</v>
      </c>
      <c r="DO39" s="2">
        <f t="shared" si="251"/>
        <v>22484</v>
      </c>
      <c r="DP39" s="2">
        <f t="shared" ref="DP39:DQ39" si="252">SUM(DP37:DP38)</f>
        <v>22589</v>
      </c>
      <c r="DQ39" s="2">
        <f t="shared" si="252"/>
        <v>23383</v>
      </c>
      <c r="DR39" s="2">
        <f t="shared" ref="DR39:DS39" si="253">SUM(DR37:DR38)</f>
        <v>23696</v>
      </c>
      <c r="DS39" s="2">
        <f t="shared" si="253"/>
        <v>23745</v>
      </c>
      <c r="DT39" s="2">
        <f t="shared" ref="DT39:DU39" si="254">SUM(DT37:DT38)</f>
        <v>23613</v>
      </c>
      <c r="DU39" s="2">
        <f t="shared" si="254"/>
        <v>24449</v>
      </c>
    </row>
    <row r="40" spans="1:125" ht="13.5" customHeight="1" x14ac:dyDescent="0.2">
      <c r="A40" s="8"/>
      <c r="D40" s="2" t="s">
        <v>75</v>
      </c>
      <c r="E40" s="14">
        <f t="shared" ref="E40" si="255">BO40/BO$42</f>
        <v>0.63004172461752439</v>
      </c>
      <c r="F40" s="14">
        <f t="shared" ref="F40" si="256">BP40/BP$42</f>
        <v>0.68388171595168679</v>
      </c>
      <c r="G40" s="14">
        <f t="shared" ref="G40" si="257">BQ40/BQ$42</f>
        <v>0.76829268292682928</v>
      </c>
      <c r="H40" s="14">
        <f t="shared" ref="H40" si="258">BR40/BR$42</f>
        <v>0.73768421052631583</v>
      </c>
      <c r="I40" s="14">
        <f t="shared" ref="I40" si="259">BS40/BS$42</f>
        <v>0.73557886244453408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>
        <f t="shared" ref="W40:Y40" si="260">CG40/CG$42</f>
        <v>0.43171996542783059</v>
      </c>
      <c r="X40" s="14">
        <f t="shared" si="260"/>
        <v>0.44567338972023424</v>
      </c>
      <c r="Y40" s="14">
        <f t="shared" si="260"/>
        <v>0.41654167559460037</v>
      </c>
      <c r="Z40" s="14">
        <f t="shared" ref="Z40" si="261">CJ40/CJ$42</f>
        <v>0.43509565932935612</v>
      </c>
      <c r="AA40" s="14">
        <f t="shared" ref="AA40" si="262">CK40/CK$42</f>
        <v>0.44392044289522248</v>
      </c>
      <c r="AB40" s="14">
        <f t="shared" ref="AB40" si="263">CL40/CL$42</f>
        <v>0.4528112449799197</v>
      </c>
      <c r="AC40" s="14">
        <f t="shared" ref="AC40" si="264">CM40/CM$42</f>
        <v>0.46225863077823287</v>
      </c>
      <c r="AD40" s="14">
        <f t="shared" ref="AD40" si="265">CN40/CN$42</f>
        <v>0.46792890262751158</v>
      </c>
      <c r="AE40" s="14">
        <f t="shared" ref="AE40" si="266">CO40/CO$42</f>
        <v>0.4690857490370971</v>
      </c>
      <c r="AF40" s="14">
        <f t="shared" ref="AF40" si="267">CP40/CP$42</f>
        <v>0.47145877378435519</v>
      </c>
      <c r="AG40" s="14">
        <f t="shared" ref="AG40" si="268">CQ40/CQ$42</f>
        <v>0.46441704520873889</v>
      </c>
      <c r="AH40" s="14">
        <f t="shared" ref="AH40" si="269">CR40/CR$42</f>
        <v>0.48661909009812665</v>
      </c>
      <c r="AI40" s="14">
        <f t="shared" ref="AI40" si="270">CS40/CS$42</f>
        <v>0.47646084693636148</v>
      </c>
      <c r="AJ40" s="14">
        <f t="shared" ref="AJ40" si="271">CT40/CT$42</f>
        <v>0.48417408506429277</v>
      </c>
      <c r="AK40" s="14">
        <f t="shared" ref="AK40" si="272">CU40/CU$42</f>
        <v>0.48773633111905978</v>
      </c>
      <c r="AL40" s="14">
        <f t="shared" ref="AL40" si="273">CV40/CV$42</f>
        <v>0.5109544195416772</v>
      </c>
      <c r="AM40" s="14">
        <f t="shared" ref="AM40" si="274">CW40/CW$42</f>
        <v>0.5361328125</v>
      </c>
      <c r="AN40" s="14">
        <f t="shared" ref="AN40" si="275">CX40/CX$42</f>
        <v>0.54221894943544424</v>
      </c>
      <c r="AO40" s="14">
        <f t="shared" ref="AO40" si="276">CY40/CY$42</f>
        <v>0.48806818181818185</v>
      </c>
      <c r="AP40" s="14">
        <f t="shared" ref="AP40" si="277">CZ40/CZ$42</f>
        <v>0.48125594671741201</v>
      </c>
      <c r="AQ40" s="14">
        <f t="shared" ref="AQ40" si="278">DA40/DA$42</f>
        <v>0.49772322312413386</v>
      </c>
      <c r="AR40" s="14">
        <f t="shared" ref="AR40" si="279">DB40/DB$42</f>
        <v>0.48203918722786648</v>
      </c>
      <c r="AS40" s="14">
        <f t="shared" ref="AS40" si="280">DC40/DC$42</f>
        <v>0.50035727045373346</v>
      </c>
      <c r="AT40" s="14">
        <f t="shared" ref="AT40" si="281">DD40/DD$42</f>
        <v>0.4761737911702873</v>
      </c>
      <c r="AU40" s="14">
        <f>DE40/DE$42</f>
        <v>0.46198539176626824</v>
      </c>
      <c r="AV40" s="14">
        <f t="shared" ref="AV40:AY40" si="282">DF40/DF$42</f>
        <v>0.48282442748091603</v>
      </c>
      <c r="AW40" s="14">
        <f t="shared" si="282"/>
        <v>0.57638668779714741</v>
      </c>
      <c r="AX40" s="14">
        <f t="shared" si="282"/>
        <v>0.58065503520048978</v>
      </c>
      <c r="AY40" s="14">
        <f t="shared" si="282"/>
        <v>0.5989494824656264</v>
      </c>
      <c r="AZ40" s="14">
        <f t="shared" ref="AZ40:BH41" si="283">DJ40/DJ$42</f>
        <v>0.59636307118433318</v>
      </c>
      <c r="BA40" s="14">
        <f t="shared" si="283"/>
        <v>0.59457399786617893</v>
      </c>
      <c r="BB40" s="14">
        <f t="shared" si="283"/>
        <v>0.58819875776397512</v>
      </c>
      <c r="BC40" s="14">
        <f t="shared" si="283"/>
        <v>0.58271285205568146</v>
      </c>
      <c r="BD40" s="14">
        <f t="shared" si="283"/>
        <v>0.56701909959072305</v>
      </c>
      <c r="BE40" s="14">
        <f t="shared" si="283"/>
        <v>0.52923387096774188</v>
      </c>
      <c r="BF40" s="14">
        <f t="shared" si="283"/>
        <v>0.49235422618047386</v>
      </c>
      <c r="BG40" s="14">
        <f t="shared" si="283"/>
        <v>0.46921581335061568</v>
      </c>
      <c r="BH40" s="14">
        <f t="shared" si="283"/>
        <v>0.43712183156173345</v>
      </c>
      <c r="BI40" s="14">
        <f t="shared" ref="BI40:BK41" si="284">DS40/DS$42</f>
        <v>0.45142262317834836</v>
      </c>
      <c r="BJ40" s="14">
        <f t="shared" si="284"/>
        <v>0.46927775781530723</v>
      </c>
      <c r="BK40" s="14">
        <f t="shared" si="284"/>
        <v>0.49402617106011759</v>
      </c>
      <c r="BL40" s="15"/>
      <c r="BN40" s="2" t="s">
        <v>75</v>
      </c>
      <c r="BO40" s="2">
        <v>2718</v>
      </c>
      <c r="BP40" s="2">
        <v>3284</v>
      </c>
      <c r="BQ40" s="2">
        <v>3465</v>
      </c>
      <c r="BR40" s="2">
        <v>3504</v>
      </c>
      <c r="BS40" s="2">
        <v>3647</v>
      </c>
      <c r="CG40" s="2">
        <v>1998</v>
      </c>
      <c r="CH40" s="2">
        <v>2055</v>
      </c>
      <c r="CI40" s="2">
        <f>1105+839</f>
        <v>1944</v>
      </c>
      <c r="CJ40" s="2">
        <f>1214+901</f>
        <v>2115</v>
      </c>
      <c r="CK40" s="2">
        <f>1213+952</f>
        <v>2165</v>
      </c>
      <c r="CL40" s="2">
        <f>1277+978</f>
        <v>2255</v>
      </c>
      <c r="CM40" s="2">
        <f>1323+1047</f>
        <v>2370</v>
      </c>
      <c r="CN40" s="2">
        <v>2422</v>
      </c>
      <c r="CO40" s="2">
        <v>2314</v>
      </c>
      <c r="CP40" s="2">
        <v>2230</v>
      </c>
      <c r="CQ40" s="2">
        <v>2147</v>
      </c>
      <c r="CR40" s="2">
        <v>2182</v>
      </c>
      <c r="CS40" s="2">
        <f>1019+995</f>
        <v>2014</v>
      </c>
      <c r="CT40" s="2">
        <f>1000+958</f>
        <v>1958</v>
      </c>
      <c r="CU40" s="2">
        <f>252+273+650+655+48+31</f>
        <v>1909</v>
      </c>
      <c r="CV40" s="2">
        <v>2029</v>
      </c>
      <c r="CW40" s="2">
        <v>2196</v>
      </c>
      <c r="CX40" s="2">
        <v>2209</v>
      </c>
      <c r="CY40" s="2">
        <v>2577</v>
      </c>
      <c r="CZ40" s="2">
        <v>2529</v>
      </c>
      <c r="DA40" s="2">
        <v>2514</v>
      </c>
      <c r="DB40" s="2">
        <f>45+23+1051+582+10+6+292+648</f>
        <v>2657</v>
      </c>
      <c r="DC40" s="2">
        <f>38+26+1105+643+7+3+336+643</f>
        <v>2801</v>
      </c>
      <c r="DD40" s="2">
        <v>2718</v>
      </c>
      <c r="DE40" s="2">
        <v>2783</v>
      </c>
      <c r="DF40" s="2">
        <v>3036</v>
      </c>
      <c r="DG40" s="2">
        <v>3637</v>
      </c>
      <c r="DH40" s="2">
        <v>3794</v>
      </c>
      <c r="DI40" s="2">
        <v>3877</v>
      </c>
      <c r="DJ40" s="2">
        <v>3837</v>
      </c>
      <c r="DK40" s="2">
        <v>3901</v>
      </c>
      <c r="DL40" s="2">
        <v>3788</v>
      </c>
      <c r="DM40" s="2">
        <v>3600</v>
      </c>
      <c r="DN40" s="2">
        <v>3325</v>
      </c>
      <c r="DO40" s="2">
        <v>3150</v>
      </c>
      <c r="DP40" s="2">
        <v>2930</v>
      </c>
      <c r="DQ40" s="2">
        <v>2896</v>
      </c>
      <c r="DR40" s="2">
        <f>6+13+738+578+14+4+413+907</f>
        <v>2673</v>
      </c>
      <c r="DS40" s="2">
        <v>2602</v>
      </c>
      <c r="DT40" s="2">
        <v>2612</v>
      </c>
      <c r="DU40" s="2">
        <v>2605</v>
      </c>
    </row>
    <row r="41" spans="1:125" ht="13.5" customHeight="1" x14ac:dyDescent="0.2">
      <c r="A41" s="8"/>
      <c r="D41" s="2" t="s">
        <v>76</v>
      </c>
      <c r="E41" s="14">
        <f>BO41/BO$42</f>
        <v>0.36995827538247567</v>
      </c>
      <c r="F41" s="14">
        <f>BP41/BP$42</f>
        <v>0.31611828404831321</v>
      </c>
      <c r="G41" s="14">
        <f>BQ41/BQ$42</f>
        <v>0.23170731707317074</v>
      </c>
      <c r="H41" s="14">
        <f>BR41/BR$42</f>
        <v>0.26231578947368422</v>
      </c>
      <c r="I41" s="14">
        <f>BS41/BS$42</f>
        <v>0.26442113755546592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>
        <f t="shared" ref="W41:AT41" si="285">CG41/CG$42</f>
        <v>0.56828003457216936</v>
      </c>
      <c r="X41" s="14">
        <f t="shared" si="285"/>
        <v>0.55432661027976582</v>
      </c>
      <c r="Y41" s="14">
        <f t="shared" si="285"/>
        <v>0.58345832440539958</v>
      </c>
      <c r="Z41" s="14">
        <f t="shared" si="285"/>
        <v>0.56490434067064388</v>
      </c>
      <c r="AA41" s="14">
        <f t="shared" si="285"/>
        <v>0.55607955710477752</v>
      </c>
      <c r="AB41" s="14">
        <f t="shared" si="285"/>
        <v>0.54718875502008035</v>
      </c>
      <c r="AC41" s="14">
        <f t="shared" si="285"/>
        <v>0.53774136922176707</v>
      </c>
      <c r="AD41" s="14">
        <f t="shared" si="285"/>
        <v>0.53207109737248837</v>
      </c>
      <c r="AE41" s="14">
        <f t="shared" si="285"/>
        <v>0.5309142509629029</v>
      </c>
      <c r="AF41" s="14">
        <f t="shared" si="285"/>
        <v>0.52854122621564481</v>
      </c>
      <c r="AG41" s="14">
        <f t="shared" si="285"/>
        <v>0.53558295479126106</v>
      </c>
      <c r="AH41" s="14">
        <f t="shared" si="285"/>
        <v>0.51338090990187335</v>
      </c>
      <c r="AI41" s="14">
        <f t="shared" si="285"/>
        <v>0.52353915306363852</v>
      </c>
      <c r="AJ41" s="14">
        <f t="shared" si="285"/>
        <v>0.51582591493570717</v>
      </c>
      <c r="AK41" s="14">
        <f t="shared" si="285"/>
        <v>0.51226366888094022</v>
      </c>
      <c r="AL41" s="14">
        <f t="shared" si="285"/>
        <v>0.48904558045832286</v>
      </c>
      <c r="AM41" s="14">
        <f t="shared" si="285"/>
        <v>0.4638671875</v>
      </c>
      <c r="AN41" s="14">
        <f t="shared" si="285"/>
        <v>0.4577810505645557</v>
      </c>
      <c r="AO41" s="14">
        <f t="shared" si="285"/>
        <v>0.51193181818181821</v>
      </c>
      <c r="AP41" s="14">
        <f t="shared" si="285"/>
        <v>0.51874405328258799</v>
      </c>
      <c r="AQ41" s="14">
        <f t="shared" si="285"/>
        <v>0.50227677687586614</v>
      </c>
      <c r="AR41" s="14">
        <f t="shared" si="285"/>
        <v>0.51796081277213357</v>
      </c>
      <c r="AS41" s="14">
        <f t="shared" si="285"/>
        <v>0.49964272954626654</v>
      </c>
      <c r="AT41" s="14">
        <f t="shared" si="285"/>
        <v>0.52382620882971265</v>
      </c>
      <c r="AU41" s="14">
        <f>DE41/DE$42</f>
        <v>0.53801460823373171</v>
      </c>
      <c r="AV41" s="14">
        <f>DF41/DF$42</f>
        <v>0.51717557251908397</v>
      </c>
      <c r="AW41" s="14">
        <f>DG41/DG$42</f>
        <v>0.42361331220285259</v>
      </c>
      <c r="AX41" s="14">
        <f>DH41/DH$42</f>
        <v>0.41934496479951028</v>
      </c>
      <c r="AY41" s="14">
        <f>DI41/DI$42</f>
        <v>0.40105051753437354</v>
      </c>
      <c r="AZ41" s="14">
        <f t="shared" si="283"/>
        <v>0.40363692881566676</v>
      </c>
      <c r="BA41" s="14">
        <f t="shared" si="283"/>
        <v>0.40542600213382107</v>
      </c>
      <c r="BB41" s="14">
        <f t="shared" si="283"/>
        <v>0.41180124223602482</v>
      </c>
      <c r="BC41" s="14">
        <f t="shared" si="283"/>
        <v>0.41728714794431854</v>
      </c>
      <c r="BD41" s="14">
        <f t="shared" si="283"/>
        <v>0.43298090040927695</v>
      </c>
      <c r="BE41" s="14">
        <f t="shared" si="283"/>
        <v>0.47076612903225806</v>
      </c>
      <c r="BF41" s="14">
        <f t="shared" si="283"/>
        <v>0.50764577381952614</v>
      </c>
      <c r="BG41" s="14">
        <f t="shared" si="283"/>
        <v>0.53078418664938432</v>
      </c>
      <c r="BH41" s="14">
        <f t="shared" si="283"/>
        <v>0.56287816843826655</v>
      </c>
      <c r="BI41" s="14">
        <f t="shared" si="284"/>
        <v>0.54857737682165164</v>
      </c>
      <c r="BJ41" s="14">
        <f t="shared" si="284"/>
        <v>0.53072224218469277</v>
      </c>
      <c r="BK41" s="14">
        <f t="shared" si="284"/>
        <v>0.50597382893988241</v>
      </c>
      <c r="BL41" s="15"/>
      <c r="BN41" s="2" t="s">
        <v>76</v>
      </c>
      <c r="BO41" s="2">
        <v>1596</v>
      </c>
      <c r="BP41" s="2">
        <v>1518</v>
      </c>
      <c r="BQ41" s="2">
        <v>1045</v>
      </c>
      <c r="BR41" s="2">
        <v>1246</v>
      </c>
      <c r="BS41" s="2">
        <v>1311</v>
      </c>
      <c r="CG41" s="2">
        <v>2630</v>
      </c>
      <c r="CH41" s="2">
        <v>2556</v>
      </c>
      <c r="CI41" s="2">
        <f>1457+1266</f>
        <v>2723</v>
      </c>
      <c r="CJ41" s="2">
        <f>1402+1344</f>
        <v>2746</v>
      </c>
      <c r="CK41" s="2">
        <f>1395+1317</f>
        <v>2712</v>
      </c>
      <c r="CL41" s="2">
        <f>1336+1389</f>
        <v>2725</v>
      </c>
      <c r="CM41" s="2">
        <f>1329+1428</f>
        <v>2757</v>
      </c>
      <c r="CN41" s="2">
        <v>2754</v>
      </c>
      <c r="CO41" s="2">
        <v>2619</v>
      </c>
      <c r="CP41" s="2">
        <v>2500</v>
      </c>
      <c r="CQ41" s="2">
        <v>2476</v>
      </c>
      <c r="CR41" s="2">
        <v>2302</v>
      </c>
      <c r="CS41" s="2">
        <f>1053+1160</f>
        <v>2213</v>
      </c>
      <c r="CT41" s="2">
        <f>1014+1072</f>
        <v>2086</v>
      </c>
      <c r="CU41" s="2">
        <f>50+64+794+795+93+209</f>
        <v>2005</v>
      </c>
      <c r="CV41" s="2">
        <v>1942</v>
      </c>
      <c r="CW41" s="2">
        <v>1900</v>
      </c>
      <c r="CX41" s="2">
        <v>1865</v>
      </c>
      <c r="CY41" s="2">
        <v>2703</v>
      </c>
      <c r="CZ41" s="2">
        <v>2726</v>
      </c>
      <c r="DA41" s="2">
        <v>2537</v>
      </c>
      <c r="DB41" s="2">
        <f>356+125+822+368+36+16+700+432</f>
        <v>2855</v>
      </c>
      <c r="DC41" s="2">
        <f>328+145+757+383+51+11+658+464</f>
        <v>2797</v>
      </c>
      <c r="DD41" s="2">
        <v>2990</v>
      </c>
      <c r="DE41" s="2">
        <v>3241</v>
      </c>
      <c r="DF41" s="2">
        <v>3252</v>
      </c>
      <c r="DG41" s="2">
        <v>2673</v>
      </c>
      <c r="DH41" s="2">
        <v>2740</v>
      </c>
      <c r="DI41" s="2">
        <v>2596</v>
      </c>
      <c r="DJ41" s="2">
        <v>2597</v>
      </c>
      <c r="DK41" s="2">
        <v>2660</v>
      </c>
      <c r="DL41" s="2">
        <v>2652</v>
      </c>
      <c r="DM41" s="2">
        <v>2578</v>
      </c>
      <c r="DN41" s="2">
        <v>2539</v>
      </c>
      <c r="DO41" s="2">
        <v>2802</v>
      </c>
      <c r="DP41" s="2">
        <v>3021</v>
      </c>
      <c r="DQ41" s="2">
        <v>3276</v>
      </c>
      <c r="DR41" s="2">
        <f>85+57+1275+1192+78+26+326+403</f>
        <v>3442</v>
      </c>
      <c r="DS41" s="2">
        <v>3162</v>
      </c>
      <c r="DT41" s="2">
        <v>2954</v>
      </c>
      <c r="DU41" s="2">
        <v>2668</v>
      </c>
    </row>
    <row r="42" spans="1:125" ht="13.5" customHeight="1" x14ac:dyDescent="0.2">
      <c r="A42" s="8"/>
      <c r="B42" s="22"/>
      <c r="C42" s="22"/>
      <c r="D42" s="22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9"/>
      <c r="BN42" s="20" t="s">
        <v>110</v>
      </c>
      <c r="BO42" s="2">
        <f>SUM(BO40:BO41)</f>
        <v>4314</v>
      </c>
      <c r="BP42" s="2">
        <f>SUM(BP40:BP41)</f>
        <v>4802</v>
      </c>
      <c r="BQ42" s="2">
        <f>SUM(BQ40:BQ41)</f>
        <v>4510</v>
      </c>
      <c r="BR42" s="2">
        <f>SUM(BR40:BR41)</f>
        <v>4750</v>
      </c>
      <c r="BS42" s="2">
        <f>SUM(BS40:BS41)</f>
        <v>4958</v>
      </c>
      <c r="CG42" s="2">
        <f t="shared" ref="CG42:DJ42" si="286">SUM(CG40:CG41)</f>
        <v>4628</v>
      </c>
      <c r="CH42" s="2">
        <f t="shared" si="286"/>
        <v>4611</v>
      </c>
      <c r="CI42" s="2">
        <f t="shared" si="286"/>
        <v>4667</v>
      </c>
      <c r="CJ42" s="2">
        <f t="shared" si="286"/>
        <v>4861</v>
      </c>
      <c r="CK42" s="2">
        <f t="shared" si="286"/>
        <v>4877</v>
      </c>
      <c r="CL42" s="2">
        <f t="shared" si="286"/>
        <v>4980</v>
      </c>
      <c r="CM42" s="2">
        <f t="shared" si="286"/>
        <v>5127</v>
      </c>
      <c r="CN42" s="2">
        <f t="shared" si="286"/>
        <v>5176</v>
      </c>
      <c r="CO42" s="2">
        <f t="shared" si="286"/>
        <v>4933</v>
      </c>
      <c r="CP42" s="2">
        <f t="shared" si="286"/>
        <v>4730</v>
      </c>
      <c r="CQ42" s="2">
        <f t="shared" si="286"/>
        <v>4623</v>
      </c>
      <c r="CR42" s="2">
        <f t="shared" si="286"/>
        <v>4484</v>
      </c>
      <c r="CS42" s="2">
        <f t="shared" si="286"/>
        <v>4227</v>
      </c>
      <c r="CT42" s="2">
        <f t="shared" si="286"/>
        <v>4044</v>
      </c>
      <c r="CU42" s="2">
        <f t="shared" si="286"/>
        <v>3914</v>
      </c>
      <c r="CV42" s="2">
        <f t="shared" si="286"/>
        <v>3971</v>
      </c>
      <c r="CW42" s="2">
        <f t="shared" si="286"/>
        <v>4096</v>
      </c>
      <c r="CX42" s="2">
        <f t="shared" si="286"/>
        <v>4074</v>
      </c>
      <c r="CY42" s="2">
        <f t="shared" si="286"/>
        <v>5280</v>
      </c>
      <c r="CZ42" s="2">
        <f t="shared" si="286"/>
        <v>5255</v>
      </c>
      <c r="DA42" s="2">
        <f t="shared" si="286"/>
        <v>5051</v>
      </c>
      <c r="DB42" s="2">
        <f t="shared" si="286"/>
        <v>5512</v>
      </c>
      <c r="DC42" s="2">
        <f t="shared" si="286"/>
        <v>5598</v>
      </c>
      <c r="DD42" s="2">
        <f t="shared" si="286"/>
        <v>5708</v>
      </c>
      <c r="DE42" s="2">
        <f t="shared" si="286"/>
        <v>6024</v>
      </c>
      <c r="DF42" s="2">
        <f t="shared" si="286"/>
        <v>6288</v>
      </c>
      <c r="DG42" s="2">
        <f t="shared" si="286"/>
        <v>6310</v>
      </c>
      <c r="DH42" s="2">
        <f t="shared" si="286"/>
        <v>6534</v>
      </c>
      <c r="DI42" s="2">
        <f t="shared" si="286"/>
        <v>6473</v>
      </c>
      <c r="DJ42" s="2">
        <f t="shared" si="286"/>
        <v>6434</v>
      </c>
      <c r="DK42" s="2">
        <f t="shared" ref="DK42:DL42" si="287">SUM(DK40:DK41)</f>
        <v>6561</v>
      </c>
      <c r="DL42" s="2">
        <f t="shared" si="287"/>
        <v>6440</v>
      </c>
      <c r="DM42" s="2">
        <f t="shared" ref="DM42:DN42" si="288">SUM(DM40:DM41)</f>
        <v>6178</v>
      </c>
      <c r="DN42" s="2">
        <f t="shared" si="288"/>
        <v>5864</v>
      </c>
      <c r="DO42" s="2">
        <f t="shared" ref="DO42:DP42" si="289">SUM(DO40:DO41)</f>
        <v>5952</v>
      </c>
      <c r="DP42" s="2">
        <f t="shared" si="289"/>
        <v>5951</v>
      </c>
      <c r="DQ42" s="2">
        <f t="shared" ref="DQ42:DR42" si="290">SUM(DQ40:DQ41)</f>
        <v>6172</v>
      </c>
      <c r="DR42" s="2">
        <f t="shared" si="290"/>
        <v>6115</v>
      </c>
      <c r="DS42" s="2">
        <f t="shared" ref="DS42:DT42" si="291">SUM(DS40:DS41)</f>
        <v>5764</v>
      </c>
      <c r="DT42" s="2">
        <f t="shared" si="291"/>
        <v>5566</v>
      </c>
      <c r="DU42" s="2">
        <f t="shared" ref="DU42" si="292">SUM(DU40:DU41)</f>
        <v>5273</v>
      </c>
    </row>
    <row r="43" spans="1:125" ht="13.5" customHeight="1" x14ac:dyDescent="0.2">
      <c r="A43" s="8"/>
      <c r="BL43" s="9"/>
    </row>
    <row r="44" spans="1:125" ht="13.5" customHeight="1" x14ac:dyDescent="0.2">
      <c r="A44" s="8"/>
      <c r="B44" s="2" t="s">
        <v>72</v>
      </c>
      <c r="BL44" s="9"/>
      <c r="BN44" s="2" t="s">
        <v>75</v>
      </c>
      <c r="CG44" s="2">
        <v>1138</v>
      </c>
      <c r="CH44" s="2">
        <v>1149</v>
      </c>
      <c r="CI44" s="2">
        <v>1135</v>
      </c>
      <c r="CJ44" s="2">
        <v>1142</v>
      </c>
      <c r="CK44" s="2">
        <v>1151</v>
      </c>
      <c r="CL44" s="2">
        <v>1145</v>
      </c>
      <c r="CO44" s="2">
        <v>1096</v>
      </c>
      <c r="CQ44" s="2">
        <v>1095</v>
      </c>
      <c r="CR44" s="2">
        <v>1071</v>
      </c>
      <c r="CS44" s="2">
        <v>1108</v>
      </c>
      <c r="CT44" s="2">
        <v>1149</v>
      </c>
      <c r="CU44" s="2">
        <f>171+159+436+385</f>
        <v>1151</v>
      </c>
      <c r="CV44" s="2">
        <v>1092</v>
      </c>
      <c r="CW44" s="2">
        <v>1136</v>
      </c>
      <c r="CX44" s="2">
        <v>1122</v>
      </c>
      <c r="CY44" s="2">
        <v>1086</v>
      </c>
      <c r="CZ44" s="2">
        <v>1093</v>
      </c>
      <c r="DA44" s="2">
        <v>1008</v>
      </c>
      <c r="DB44" s="2">
        <v>1069</v>
      </c>
      <c r="DC44" s="2">
        <v>1084</v>
      </c>
      <c r="DD44" s="2">
        <v>1095</v>
      </c>
      <c r="DE44" s="2">
        <v>1111</v>
      </c>
      <c r="DF44" s="2">
        <f>1048+98</f>
        <v>1146</v>
      </c>
      <c r="DG44" s="2">
        <f>1071+111</f>
        <v>1182</v>
      </c>
      <c r="DH44" s="2">
        <f>1123+102</f>
        <v>1225</v>
      </c>
      <c r="DI44" s="2">
        <f>1137+112</f>
        <v>1249</v>
      </c>
      <c r="DJ44" s="2">
        <f>1087+136</f>
        <v>1223</v>
      </c>
      <c r="DK44" s="2">
        <v>1202</v>
      </c>
      <c r="DL44" s="2">
        <v>1175</v>
      </c>
      <c r="DM44" s="2">
        <v>1169</v>
      </c>
      <c r="DN44" s="2">
        <v>1164</v>
      </c>
      <c r="DO44" s="2">
        <v>1395</v>
      </c>
      <c r="DP44" s="2">
        <v>1460</v>
      </c>
      <c r="DQ44" s="2">
        <f>1322+195</f>
        <v>1517</v>
      </c>
      <c r="DR44" s="2">
        <v>1577</v>
      </c>
      <c r="DS44" s="2">
        <v>1658</v>
      </c>
      <c r="DT44" s="2">
        <v>1693</v>
      </c>
      <c r="DU44" s="2">
        <f>1514+182</f>
        <v>1696</v>
      </c>
    </row>
    <row r="45" spans="1:125" ht="13.5" customHeight="1" x14ac:dyDescent="0.2">
      <c r="A45" s="8"/>
      <c r="BL45" s="9"/>
      <c r="BN45" s="2" t="s">
        <v>76</v>
      </c>
      <c r="CG45" s="2">
        <v>13</v>
      </c>
      <c r="CH45" s="2">
        <v>16</v>
      </c>
      <c r="CI45" s="2">
        <v>18</v>
      </c>
      <c r="CJ45" s="2">
        <v>13</v>
      </c>
      <c r="CK45" s="2">
        <v>15</v>
      </c>
      <c r="CL45" s="2">
        <v>23</v>
      </c>
      <c r="CO45" s="2">
        <v>15</v>
      </c>
      <c r="CQ45" s="2">
        <v>18</v>
      </c>
      <c r="CR45" s="2">
        <v>17</v>
      </c>
      <c r="CS45" s="2">
        <v>19</v>
      </c>
      <c r="CT45" s="2">
        <v>13</v>
      </c>
      <c r="CU45" s="2">
        <f>1+1+10+5</f>
        <v>17</v>
      </c>
      <c r="CV45" s="2">
        <v>56</v>
      </c>
      <c r="CW45" s="2">
        <v>19</v>
      </c>
      <c r="CX45" s="2">
        <v>40</v>
      </c>
      <c r="CY45" s="2">
        <v>60</v>
      </c>
      <c r="CZ45" s="2">
        <v>16</v>
      </c>
      <c r="DA45" s="2">
        <v>61</v>
      </c>
      <c r="DB45" s="2">
        <v>14</v>
      </c>
      <c r="DC45" s="2">
        <v>18</v>
      </c>
      <c r="DD45" s="2">
        <v>16</v>
      </c>
      <c r="DE45" s="2">
        <v>15</v>
      </c>
      <c r="DF45" s="2">
        <v>4</v>
      </c>
      <c r="DG45" s="2">
        <f>14+1</f>
        <v>15</v>
      </c>
      <c r="DH45" s="2">
        <v>11</v>
      </c>
      <c r="DI45" s="2">
        <f>20+2</f>
        <v>22</v>
      </c>
      <c r="DJ45" s="2">
        <f>28+3</f>
        <v>31</v>
      </c>
      <c r="DK45" s="2">
        <v>20</v>
      </c>
      <c r="DL45" s="2">
        <v>18</v>
      </c>
      <c r="DM45" s="2">
        <v>15</v>
      </c>
      <c r="DN45" s="2">
        <v>17</v>
      </c>
      <c r="DO45" s="2">
        <v>12</v>
      </c>
      <c r="DP45" s="2">
        <v>14</v>
      </c>
      <c r="DQ45" s="2">
        <v>17</v>
      </c>
      <c r="DR45" s="2">
        <v>13</v>
      </c>
      <c r="DS45" s="2">
        <v>137</v>
      </c>
      <c r="DT45" s="2">
        <v>141</v>
      </c>
      <c r="DU45" s="2">
        <f>65+60</f>
        <v>125</v>
      </c>
    </row>
    <row r="46" spans="1:125" ht="13.5" customHeight="1" x14ac:dyDescent="0.2">
      <c r="A46" s="8"/>
      <c r="B46" s="2" t="s">
        <v>86</v>
      </c>
      <c r="BL46" s="9"/>
      <c r="BN46" s="20" t="s">
        <v>109</v>
      </c>
      <c r="CG46" s="2">
        <f t="shared" ref="CG46:CL46" si="293">SUM(CG44:CG45)</f>
        <v>1151</v>
      </c>
      <c r="CH46" s="2">
        <f t="shared" si="293"/>
        <v>1165</v>
      </c>
      <c r="CI46" s="2">
        <f t="shared" si="293"/>
        <v>1153</v>
      </c>
      <c r="CJ46" s="2">
        <f t="shared" si="293"/>
        <v>1155</v>
      </c>
      <c r="CK46" s="2">
        <f t="shared" si="293"/>
        <v>1166</v>
      </c>
      <c r="CL46" s="2">
        <f t="shared" si="293"/>
        <v>1168</v>
      </c>
      <c r="CO46" s="2">
        <f t="shared" ref="CO46" si="294">SUM(CO44:CO45)</f>
        <v>1111</v>
      </c>
      <c r="CQ46" s="2">
        <f t="shared" ref="CQ46:CT46" si="295">SUM(CQ44:CQ45)</f>
        <v>1113</v>
      </c>
      <c r="CR46" s="2">
        <f t="shared" si="295"/>
        <v>1088</v>
      </c>
      <c r="CS46" s="2">
        <f t="shared" si="295"/>
        <v>1127</v>
      </c>
      <c r="CT46" s="2">
        <f t="shared" si="295"/>
        <v>1162</v>
      </c>
      <c r="CU46" s="2">
        <f t="shared" ref="CU46:CZ46" si="296">SUM(CU44:CU45)</f>
        <v>1168</v>
      </c>
      <c r="CV46" s="2">
        <f t="shared" si="296"/>
        <v>1148</v>
      </c>
      <c r="CW46" s="2">
        <f t="shared" si="296"/>
        <v>1155</v>
      </c>
      <c r="CX46" s="2">
        <f t="shared" si="296"/>
        <v>1162</v>
      </c>
      <c r="CY46" s="2">
        <f t="shared" si="296"/>
        <v>1146</v>
      </c>
      <c r="CZ46" s="2">
        <f t="shared" si="296"/>
        <v>1109</v>
      </c>
      <c r="DA46" s="2">
        <f t="shared" ref="DA46:DB46" si="297">SUM(DA44:DA45)</f>
        <v>1069</v>
      </c>
      <c r="DB46" s="2">
        <f t="shared" si="297"/>
        <v>1083</v>
      </c>
      <c r="DC46" s="2">
        <f t="shared" ref="DC46:DG46" si="298">SUM(DC44:DC45)</f>
        <v>1102</v>
      </c>
      <c r="DD46" s="2">
        <f t="shared" si="298"/>
        <v>1111</v>
      </c>
      <c r="DE46" s="2">
        <f t="shared" si="298"/>
        <v>1126</v>
      </c>
      <c r="DF46" s="2">
        <f t="shared" si="298"/>
        <v>1150</v>
      </c>
      <c r="DG46" s="2">
        <f t="shared" si="298"/>
        <v>1197</v>
      </c>
      <c r="DH46" s="2">
        <f t="shared" ref="DH46:DM46" si="299">SUM(DH44:DH45)</f>
        <v>1236</v>
      </c>
      <c r="DI46" s="2">
        <f t="shared" si="299"/>
        <v>1271</v>
      </c>
      <c r="DJ46" s="2">
        <f t="shared" si="299"/>
        <v>1254</v>
      </c>
      <c r="DK46" s="2">
        <f t="shared" si="299"/>
        <v>1222</v>
      </c>
      <c r="DL46" s="2">
        <f t="shared" si="299"/>
        <v>1193</v>
      </c>
      <c r="DM46" s="2">
        <f t="shared" si="299"/>
        <v>1184</v>
      </c>
      <c r="DN46" s="2">
        <f t="shared" ref="DN46:DO46" si="300">SUM(DN44:DN45)</f>
        <v>1181</v>
      </c>
      <c r="DO46" s="2">
        <f t="shared" si="300"/>
        <v>1407</v>
      </c>
      <c r="DP46" s="2">
        <f t="shared" ref="DP46:DQ46" si="301">SUM(DP44:DP45)</f>
        <v>1474</v>
      </c>
      <c r="DQ46" s="2">
        <f t="shared" si="301"/>
        <v>1534</v>
      </c>
      <c r="DR46" s="2">
        <f t="shared" ref="DR46:DS46" si="302">SUM(DR44:DR45)</f>
        <v>1590</v>
      </c>
      <c r="DS46" s="2">
        <f t="shared" si="302"/>
        <v>1795</v>
      </c>
      <c r="DT46" s="2">
        <f t="shared" ref="DT46:DU46" si="303">SUM(DT44:DT45)</f>
        <v>1834</v>
      </c>
      <c r="DU46" s="2">
        <f t="shared" si="303"/>
        <v>1821</v>
      </c>
    </row>
    <row r="47" spans="1:125" ht="13.5" customHeight="1" x14ac:dyDescent="0.2">
      <c r="A47" s="8"/>
      <c r="B47" s="2" t="s">
        <v>87</v>
      </c>
      <c r="BL47" s="9"/>
      <c r="CN47" s="20"/>
    </row>
    <row r="48" spans="1:125" ht="13.5" customHeight="1" x14ac:dyDescent="0.2">
      <c r="A48" s="8"/>
      <c r="BL48" s="9"/>
      <c r="BN48" s="3" t="s">
        <v>75</v>
      </c>
      <c r="CG48" s="3">
        <f t="shared" ref="CG48:CH48" si="304">CG37+CG40+CG44</f>
        <v>19786</v>
      </c>
      <c r="CH48" s="3">
        <f t="shared" si="304"/>
        <v>19305</v>
      </c>
      <c r="CI48" s="3">
        <f t="shared" ref="CI48:CL48" si="305">CI37+CI40+CI44</f>
        <v>18641</v>
      </c>
      <c r="CJ48" s="3">
        <f t="shared" si="305"/>
        <v>18793</v>
      </c>
      <c r="CK48" s="3">
        <f t="shared" si="305"/>
        <v>19397</v>
      </c>
      <c r="CL48" s="3">
        <f t="shared" si="305"/>
        <v>20133</v>
      </c>
      <c r="CO48" s="3">
        <f t="shared" ref="CO48" si="306">CO37+CO40+CO44</f>
        <v>19143</v>
      </c>
      <c r="CQ48" s="3">
        <f t="shared" ref="CQ48:CT48" si="307">CQ37+CQ40+CQ44</f>
        <v>17969</v>
      </c>
      <c r="CR48" s="3">
        <f t="shared" si="307"/>
        <v>18339</v>
      </c>
      <c r="CS48" s="3">
        <f t="shared" si="307"/>
        <v>18773</v>
      </c>
      <c r="CT48" s="3">
        <f t="shared" si="307"/>
        <v>18955</v>
      </c>
      <c r="CU48" s="3">
        <f t="shared" ref="CU48:DJ48" si="308">CU37+CU40+CU44</f>
        <v>19358</v>
      </c>
      <c r="CV48" s="3">
        <f t="shared" si="308"/>
        <v>19689</v>
      </c>
      <c r="CW48" s="3">
        <f t="shared" si="308"/>
        <v>20309</v>
      </c>
      <c r="CX48" s="3">
        <f t="shared" si="308"/>
        <v>20710</v>
      </c>
      <c r="CY48" s="3">
        <f t="shared" si="308"/>
        <v>21915</v>
      </c>
      <c r="CZ48" s="3">
        <f t="shared" si="308"/>
        <v>22655</v>
      </c>
      <c r="DA48" s="3">
        <f t="shared" si="308"/>
        <v>23055</v>
      </c>
      <c r="DB48" s="3">
        <f t="shared" si="308"/>
        <v>23691</v>
      </c>
      <c r="DC48" s="3">
        <f t="shared" si="308"/>
        <v>24110</v>
      </c>
      <c r="DD48" s="3">
        <f t="shared" si="308"/>
        <v>24097</v>
      </c>
      <c r="DE48" s="3">
        <f t="shared" si="308"/>
        <v>25505</v>
      </c>
      <c r="DF48" s="3">
        <f t="shared" si="308"/>
        <v>26553</v>
      </c>
      <c r="DG48" s="3">
        <f t="shared" si="308"/>
        <v>28242</v>
      </c>
      <c r="DH48" s="3">
        <f t="shared" si="308"/>
        <v>29432</v>
      </c>
      <c r="DI48" s="3">
        <f t="shared" si="308"/>
        <v>30304</v>
      </c>
      <c r="DJ48" s="3">
        <f t="shared" si="308"/>
        <v>30318</v>
      </c>
      <c r="DK48" s="3">
        <f t="shared" ref="DK48:DL48" si="309">DK37+DK40+DK44</f>
        <v>30962</v>
      </c>
      <c r="DL48" s="3">
        <f t="shared" si="309"/>
        <v>30990</v>
      </c>
      <c r="DM48" s="3">
        <f t="shared" ref="DM48:DN48" si="310">DM37+DM40+DM44</f>
        <v>28893</v>
      </c>
      <c r="DN48" s="3">
        <f t="shared" si="310"/>
        <v>26686</v>
      </c>
      <c r="DO48" s="3">
        <f t="shared" ref="DO48:DP48" si="311">DO37+DO40+DO44</f>
        <v>25265</v>
      </c>
      <c r="DP48" s="3">
        <f t="shared" si="311"/>
        <v>25066</v>
      </c>
      <c r="DQ48" s="3">
        <f t="shared" ref="DQ48:DR48" si="312">DQ37+DQ40+DQ44</f>
        <v>25757</v>
      </c>
      <c r="DR48" s="3">
        <f t="shared" si="312"/>
        <v>26125</v>
      </c>
      <c r="DS48" s="3">
        <f t="shared" ref="DS48:DT48" si="313">DS37+DS40+DS44</f>
        <v>26259</v>
      </c>
      <c r="DT48" s="3">
        <f t="shared" si="313"/>
        <v>26395</v>
      </c>
      <c r="DU48" s="3">
        <f t="shared" ref="DU48" si="314">DU37+DU40+DU44</f>
        <v>27339</v>
      </c>
    </row>
    <row r="49" spans="1:125" ht="13.5" customHeight="1" x14ac:dyDescent="0.25">
      <c r="A49" s="17"/>
      <c r="B49" s="44" t="s">
        <v>81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5"/>
      <c r="BG49" s="45"/>
      <c r="BH49" s="45"/>
      <c r="BI49" s="18"/>
      <c r="BJ49" s="18"/>
      <c r="BK49" s="18" t="s">
        <v>117</v>
      </c>
      <c r="BL49" s="19"/>
      <c r="BN49" s="3" t="s">
        <v>76</v>
      </c>
      <c r="CG49" s="3">
        <f t="shared" ref="CG49:CH49" si="315">CG38+CG41+CG45</f>
        <v>3799</v>
      </c>
      <c r="CH49" s="3">
        <f t="shared" si="315"/>
        <v>3742</v>
      </c>
      <c r="CI49" s="3">
        <f t="shared" ref="CI49:CL49" si="316">CI38+CI41+CI45</f>
        <v>4086</v>
      </c>
      <c r="CJ49" s="3">
        <f t="shared" si="316"/>
        <v>4165</v>
      </c>
      <c r="CK49" s="3">
        <f t="shared" si="316"/>
        <v>4171</v>
      </c>
      <c r="CL49" s="3">
        <f t="shared" si="316"/>
        <v>4211</v>
      </c>
      <c r="CO49" s="3">
        <f t="shared" ref="CO49" si="317">CO38+CO41+CO45</f>
        <v>4287</v>
      </c>
      <c r="CQ49" s="3">
        <f t="shared" ref="CQ49:CT49" si="318">CQ38+CQ41+CQ45</f>
        <v>4206</v>
      </c>
      <c r="CR49" s="3">
        <f t="shared" si="318"/>
        <v>4017</v>
      </c>
      <c r="CS49" s="3">
        <f t="shared" si="318"/>
        <v>3746</v>
      </c>
      <c r="CT49" s="3">
        <f t="shared" si="318"/>
        <v>3597</v>
      </c>
      <c r="CU49" s="3">
        <f t="shared" ref="CU49:DJ49" si="319">CU38+CU41+CU45</f>
        <v>3422</v>
      </c>
      <c r="CV49" s="3">
        <f t="shared" si="319"/>
        <v>3241</v>
      </c>
      <c r="CW49" s="3">
        <f t="shared" si="319"/>
        <v>3000</v>
      </c>
      <c r="CX49" s="3">
        <f t="shared" si="319"/>
        <v>2957</v>
      </c>
      <c r="CY49" s="3">
        <f t="shared" si="319"/>
        <v>4209</v>
      </c>
      <c r="CZ49" s="3">
        <f t="shared" si="319"/>
        <v>4150</v>
      </c>
      <c r="DA49" s="3">
        <f t="shared" si="319"/>
        <v>3948</v>
      </c>
      <c r="DB49" s="3">
        <f t="shared" si="319"/>
        <v>4239</v>
      </c>
      <c r="DC49" s="3">
        <f t="shared" si="319"/>
        <v>4074</v>
      </c>
      <c r="DD49" s="3">
        <f t="shared" si="319"/>
        <v>4308</v>
      </c>
      <c r="DE49" s="3">
        <f t="shared" si="319"/>
        <v>4625</v>
      </c>
      <c r="DF49" s="3">
        <f t="shared" si="319"/>
        <v>4684</v>
      </c>
      <c r="DG49" s="3">
        <f t="shared" si="319"/>
        <v>4099</v>
      </c>
      <c r="DH49" s="3">
        <f t="shared" si="319"/>
        <v>4330</v>
      </c>
      <c r="DI49" s="3">
        <f t="shared" si="319"/>
        <v>4400</v>
      </c>
      <c r="DJ49" s="3">
        <f t="shared" si="319"/>
        <v>4298</v>
      </c>
      <c r="DK49" s="3">
        <f t="shared" ref="DK49:DL49" si="320">DK38+DK41+DK45</f>
        <v>4463</v>
      </c>
      <c r="DL49" s="3">
        <f t="shared" si="320"/>
        <v>4434</v>
      </c>
      <c r="DM49" s="3">
        <f t="shared" ref="DM49:DN49" si="321">DM38+DM41+DM45</f>
        <v>4346</v>
      </c>
      <c r="DN49" s="3">
        <f t="shared" si="321"/>
        <v>4158</v>
      </c>
      <c r="DO49" s="3">
        <f t="shared" ref="DO49:DP49" si="322">DO38+DO41+DO45</f>
        <v>4578</v>
      </c>
      <c r="DP49" s="3">
        <f t="shared" si="322"/>
        <v>4948</v>
      </c>
      <c r="DQ49" s="3">
        <f t="shared" ref="DQ49:DR49" si="323">DQ38+DQ41+DQ45</f>
        <v>5332</v>
      </c>
      <c r="DR49" s="3">
        <f t="shared" si="323"/>
        <v>5276</v>
      </c>
      <c r="DS49" s="3">
        <f t="shared" ref="DS49:DT49" si="324">DS38+DS41+DS45</f>
        <v>5045</v>
      </c>
      <c r="DT49" s="3">
        <f t="shared" si="324"/>
        <v>4618</v>
      </c>
      <c r="DU49" s="3">
        <f t="shared" ref="DU49" si="325">DU38+DU41+DU45</f>
        <v>4204</v>
      </c>
    </row>
    <row r="50" spans="1:125" ht="13.5" customHeight="1" x14ac:dyDescent="0.2">
      <c r="BN50" s="40" t="s">
        <v>112</v>
      </c>
      <c r="CG50" s="3">
        <f t="shared" ref="CG50:CH50" si="326">SUM(CG48:CG49)</f>
        <v>23585</v>
      </c>
      <c r="CH50" s="3">
        <f t="shared" si="326"/>
        <v>23047</v>
      </c>
      <c r="CI50" s="3">
        <f t="shared" ref="CI50:CL50" si="327">SUM(CI48:CI49)</f>
        <v>22727</v>
      </c>
      <c r="CJ50" s="3">
        <f t="shared" si="327"/>
        <v>22958</v>
      </c>
      <c r="CK50" s="3">
        <f t="shared" si="327"/>
        <v>23568</v>
      </c>
      <c r="CL50" s="3">
        <f t="shared" si="327"/>
        <v>24344</v>
      </c>
      <c r="CO50" s="3">
        <f t="shared" ref="CO50" si="328">SUM(CO48:CO49)</f>
        <v>23430</v>
      </c>
      <c r="CQ50" s="3">
        <f t="shared" ref="CQ50:CT50" si="329">SUM(CQ48:CQ49)</f>
        <v>22175</v>
      </c>
      <c r="CR50" s="3">
        <f t="shared" si="329"/>
        <v>22356</v>
      </c>
      <c r="CS50" s="3">
        <f t="shared" si="329"/>
        <v>22519</v>
      </c>
      <c r="CT50" s="3">
        <f t="shared" si="329"/>
        <v>22552</v>
      </c>
      <c r="CU50" s="3">
        <f t="shared" ref="CU50:CZ50" si="330">SUM(CU48:CU49)</f>
        <v>22780</v>
      </c>
      <c r="CV50" s="3">
        <f t="shared" si="330"/>
        <v>22930</v>
      </c>
      <c r="CW50" s="3">
        <f t="shared" si="330"/>
        <v>23309</v>
      </c>
      <c r="CX50" s="3">
        <f t="shared" si="330"/>
        <v>23667</v>
      </c>
      <c r="CY50" s="3">
        <f t="shared" si="330"/>
        <v>26124</v>
      </c>
      <c r="CZ50" s="3">
        <f t="shared" si="330"/>
        <v>26805</v>
      </c>
      <c r="DA50" s="3">
        <f t="shared" ref="DA50:DB50" si="331">SUM(DA48:DA49)</f>
        <v>27003</v>
      </c>
      <c r="DB50" s="3">
        <f t="shared" si="331"/>
        <v>27930</v>
      </c>
      <c r="DC50" s="3">
        <f t="shared" ref="DC50:DD50" si="332">SUM(DC48:DC49)</f>
        <v>28184</v>
      </c>
      <c r="DD50" s="3">
        <f t="shared" si="332"/>
        <v>28405</v>
      </c>
      <c r="DE50" s="3">
        <f t="shared" ref="DE50:DG50" si="333">SUM(DE48:DE49)</f>
        <v>30130</v>
      </c>
      <c r="DF50" s="3">
        <f t="shared" si="333"/>
        <v>31237</v>
      </c>
      <c r="DG50" s="3">
        <f t="shared" si="333"/>
        <v>32341</v>
      </c>
      <c r="DH50" s="3">
        <f t="shared" ref="DH50:DM50" si="334">SUM(DH48:DH49)</f>
        <v>33762</v>
      </c>
      <c r="DI50" s="3">
        <f t="shared" si="334"/>
        <v>34704</v>
      </c>
      <c r="DJ50" s="3">
        <f t="shared" si="334"/>
        <v>34616</v>
      </c>
      <c r="DK50" s="3">
        <f t="shared" si="334"/>
        <v>35425</v>
      </c>
      <c r="DL50" s="3">
        <f t="shared" si="334"/>
        <v>35424</v>
      </c>
      <c r="DM50" s="3">
        <f t="shared" si="334"/>
        <v>33239</v>
      </c>
      <c r="DN50" s="3">
        <f t="shared" ref="DN50:DO50" si="335">SUM(DN48:DN49)</f>
        <v>30844</v>
      </c>
      <c r="DO50" s="3">
        <f t="shared" si="335"/>
        <v>29843</v>
      </c>
      <c r="DP50" s="3">
        <f t="shared" ref="DP50:DQ50" si="336">SUM(DP48:DP49)</f>
        <v>30014</v>
      </c>
      <c r="DQ50" s="3">
        <f t="shared" si="336"/>
        <v>31089</v>
      </c>
      <c r="DR50" s="3">
        <f t="shared" ref="DR50:DS50" si="337">SUM(DR48:DR49)</f>
        <v>31401</v>
      </c>
      <c r="DS50" s="3">
        <f t="shared" si="337"/>
        <v>31304</v>
      </c>
      <c r="DT50" s="3">
        <f t="shared" ref="DT50:DU50" si="338">SUM(DT48:DT49)</f>
        <v>31013</v>
      </c>
      <c r="DU50" s="3">
        <f t="shared" si="338"/>
        <v>31543</v>
      </c>
    </row>
    <row r="52" spans="1:125" ht="13.5" customHeight="1" x14ac:dyDescent="0.2"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</row>
    <row r="53" spans="1:125" ht="13.5" customHeight="1" x14ac:dyDescent="0.2"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</row>
    <row r="101" spans="99:99" ht="13.5" customHeight="1" x14ac:dyDescent="0.2">
      <c r="CU101" s="20"/>
    </row>
  </sheetData>
  <mergeCells count="2">
    <mergeCell ref="A2:BL2"/>
    <mergeCell ref="B49:BH49"/>
  </mergeCells>
  <hyperlinks>
    <hyperlink ref="B49:BE49" r:id="rId1" display="Sources: IPEDS EF, Fall Enrollment Survey &amp; DHE 02 (Residence)" xr:uid="{A644ADCB-FDFD-4639-97A2-6F09C9694509}"/>
  </hyperlinks>
  <printOptions horizontalCentered="1"/>
  <pageMargins left="0.7" right="0.45" top="0.5" bottom="0.5" header="0.3" footer="0.3"/>
  <pageSetup orientation="portrait" r:id="rId2"/>
  <ignoredErrors>
    <ignoredError sqref="CL20:DU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U100"/>
  <sheetViews>
    <sheetView workbookViewId="0"/>
  </sheetViews>
  <sheetFormatPr defaultColWidth="9.140625" defaultRowHeight="13.5" customHeight="1" x14ac:dyDescent="0.2"/>
  <cols>
    <col min="1" max="3" width="2.7109375" style="2" customWidth="1"/>
    <col min="4" max="4" width="18.7109375" style="2" customWidth="1"/>
    <col min="5" max="57" width="8.7109375" style="2" hidden="1" customWidth="1"/>
    <col min="58" max="63" width="8.7109375" style="2" customWidth="1"/>
    <col min="64" max="64" width="2.7109375" style="2" customWidth="1"/>
    <col min="65" max="65" width="9.140625" style="2"/>
    <col min="66" max="66" width="18.7109375" style="2" customWidth="1"/>
    <col min="67" max="113" width="9.140625" style="2" hidden="1" customWidth="1"/>
    <col min="114" max="119" width="0" style="2" hidden="1" customWidth="1"/>
    <col min="120" max="125" width="9.140625" style="2"/>
    <col min="126" max="16384" width="9.140625" style="1"/>
  </cols>
  <sheetData>
    <row r="1" spans="1:125" ht="13.5" customHeight="1" x14ac:dyDescent="0.2">
      <c r="Y1" s="12"/>
      <c r="Z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</row>
    <row r="2" spans="1:125" ht="15" customHeight="1" x14ac:dyDescent="0.25">
      <c r="A2" s="41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125" ht="13.5" customHeight="1" x14ac:dyDescent="0.2">
      <c r="A3" s="4"/>
      <c r="B3" s="3"/>
      <c r="C3" s="3"/>
      <c r="D3" s="3"/>
      <c r="Y3" s="3"/>
      <c r="Z3" s="3"/>
      <c r="AA3" s="3"/>
      <c r="AB3" s="3"/>
      <c r="AC3" s="3"/>
      <c r="AD3" s="3"/>
      <c r="AE3" s="3"/>
      <c r="AF3" s="3"/>
      <c r="BL3" s="9"/>
    </row>
    <row r="4" spans="1:125" ht="15" customHeight="1" x14ac:dyDescent="0.25">
      <c r="A4" s="8"/>
      <c r="B4" s="6" t="s">
        <v>1</v>
      </c>
      <c r="C4" s="27"/>
      <c r="D4" s="2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9"/>
    </row>
    <row r="5" spans="1:125" ht="15" customHeight="1" x14ac:dyDescent="0.25">
      <c r="A5" s="8"/>
      <c r="B5" s="7" t="s">
        <v>82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9"/>
      <c r="BN5" s="24" t="s">
        <v>89</v>
      </c>
    </row>
    <row r="6" spans="1:125" ht="13.5" customHeight="1" thickBot="1" x14ac:dyDescent="0.25">
      <c r="A6" s="8"/>
      <c r="BL6" s="9"/>
      <c r="BN6" s="24" t="s">
        <v>74</v>
      </c>
    </row>
    <row r="7" spans="1:125" ht="13.5" customHeight="1" thickTop="1" x14ac:dyDescent="0.2">
      <c r="A7" s="8"/>
      <c r="B7" s="10"/>
      <c r="C7" s="10"/>
      <c r="D7" s="10"/>
      <c r="E7" s="11" t="s">
        <v>3</v>
      </c>
      <c r="F7" s="11" t="s">
        <v>4</v>
      </c>
      <c r="G7" s="11" t="s">
        <v>5</v>
      </c>
      <c r="H7" s="11" t="s">
        <v>6</v>
      </c>
      <c r="I7" s="11" t="s">
        <v>7</v>
      </c>
      <c r="J7" s="11" t="s">
        <v>8</v>
      </c>
      <c r="K7" s="11" t="s">
        <v>9</v>
      </c>
      <c r="L7" s="11" t="s">
        <v>10</v>
      </c>
      <c r="M7" s="11" t="s">
        <v>11</v>
      </c>
      <c r="N7" s="11" t="s">
        <v>12</v>
      </c>
      <c r="O7" s="11" t="s">
        <v>13</v>
      </c>
      <c r="P7" s="11" t="s">
        <v>14</v>
      </c>
      <c r="Q7" s="11" t="s">
        <v>15</v>
      </c>
      <c r="R7" s="11" t="s">
        <v>16</v>
      </c>
      <c r="S7" s="11" t="s">
        <v>17</v>
      </c>
      <c r="T7" s="11" t="s">
        <v>18</v>
      </c>
      <c r="U7" s="11" t="s">
        <v>19</v>
      </c>
      <c r="V7" s="11" t="s">
        <v>20</v>
      </c>
      <c r="W7" s="11" t="s">
        <v>21</v>
      </c>
      <c r="X7" s="11" t="s">
        <v>22</v>
      </c>
      <c r="Y7" s="11" t="s">
        <v>23</v>
      </c>
      <c r="Z7" s="11" t="s">
        <v>24</v>
      </c>
      <c r="AA7" s="11" t="s">
        <v>25</v>
      </c>
      <c r="AB7" s="11" t="s">
        <v>26</v>
      </c>
      <c r="AC7" s="11" t="s">
        <v>27</v>
      </c>
      <c r="AD7" s="11" t="s">
        <v>28</v>
      </c>
      <c r="AE7" s="11" t="s">
        <v>29</v>
      </c>
      <c r="AF7" s="11" t="s">
        <v>30</v>
      </c>
      <c r="AG7" s="11" t="s">
        <v>31</v>
      </c>
      <c r="AH7" s="11" t="s">
        <v>32</v>
      </c>
      <c r="AI7" s="11" t="s">
        <v>33</v>
      </c>
      <c r="AJ7" s="11" t="s">
        <v>83</v>
      </c>
      <c r="AK7" s="11" t="s">
        <v>35</v>
      </c>
      <c r="AL7" s="11" t="s">
        <v>36</v>
      </c>
      <c r="AM7" s="11" t="s">
        <v>37</v>
      </c>
      <c r="AN7" s="11" t="s">
        <v>38</v>
      </c>
      <c r="AO7" s="11" t="s">
        <v>39</v>
      </c>
      <c r="AP7" s="11" t="s">
        <v>40</v>
      </c>
      <c r="AQ7" s="11" t="s">
        <v>41</v>
      </c>
      <c r="AR7" s="11" t="s">
        <v>42</v>
      </c>
      <c r="AS7" s="11" t="s">
        <v>43</v>
      </c>
      <c r="AT7" s="11" t="s">
        <v>44</v>
      </c>
      <c r="AU7" s="11" t="s">
        <v>45</v>
      </c>
      <c r="AV7" s="11" t="s">
        <v>46</v>
      </c>
      <c r="AW7" s="11" t="s">
        <v>47</v>
      </c>
      <c r="AX7" s="11" t="s">
        <v>48</v>
      </c>
      <c r="AY7" s="11" t="s">
        <v>49</v>
      </c>
      <c r="AZ7" s="11" t="s">
        <v>50</v>
      </c>
      <c r="BA7" s="11" t="s">
        <v>100</v>
      </c>
      <c r="BB7" s="11" t="s">
        <v>102</v>
      </c>
      <c r="BC7" s="11" t="s">
        <v>103</v>
      </c>
      <c r="BD7" s="11" t="s">
        <v>104</v>
      </c>
      <c r="BE7" s="11" t="s">
        <v>105</v>
      </c>
      <c r="BF7" s="11" t="s">
        <v>106</v>
      </c>
      <c r="BG7" s="11" t="s">
        <v>107</v>
      </c>
      <c r="BH7" s="11" t="s">
        <v>108</v>
      </c>
      <c r="BI7" s="11" t="s">
        <v>113</v>
      </c>
      <c r="BJ7" s="11" t="s">
        <v>115</v>
      </c>
      <c r="BK7" s="11" t="s">
        <v>116</v>
      </c>
      <c r="BL7" s="9"/>
      <c r="BO7" s="20" t="s">
        <v>3</v>
      </c>
      <c r="BP7" s="20" t="s">
        <v>4</v>
      </c>
      <c r="BQ7" s="20" t="s">
        <v>5</v>
      </c>
      <c r="BR7" s="20" t="s">
        <v>6</v>
      </c>
      <c r="BS7" s="20" t="s">
        <v>7</v>
      </c>
      <c r="BT7" s="20" t="s">
        <v>8</v>
      </c>
      <c r="BU7" s="20" t="s">
        <v>9</v>
      </c>
      <c r="BV7" s="20" t="s">
        <v>10</v>
      </c>
      <c r="BW7" s="20" t="s">
        <v>11</v>
      </c>
      <c r="BX7" s="20" t="s">
        <v>12</v>
      </c>
      <c r="BY7" s="20" t="s">
        <v>13</v>
      </c>
      <c r="BZ7" s="20" t="s">
        <v>14</v>
      </c>
      <c r="CA7" s="20" t="s">
        <v>15</v>
      </c>
      <c r="CB7" s="20" t="s">
        <v>16</v>
      </c>
      <c r="CC7" s="20" t="s">
        <v>17</v>
      </c>
      <c r="CD7" s="20" t="s">
        <v>18</v>
      </c>
      <c r="CE7" s="20" t="s">
        <v>19</v>
      </c>
      <c r="CF7" s="20" t="s">
        <v>20</v>
      </c>
      <c r="CG7" s="20" t="s">
        <v>21</v>
      </c>
      <c r="CH7" s="20" t="s">
        <v>22</v>
      </c>
      <c r="CI7" s="20" t="s">
        <v>23</v>
      </c>
      <c r="CJ7" s="20" t="s">
        <v>24</v>
      </c>
      <c r="CK7" s="20" t="s">
        <v>25</v>
      </c>
      <c r="CL7" s="20" t="s">
        <v>26</v>
      </c>
      <c r="CM7" s="20" t="s">
        <v>27</v>
      </c>
      <c r="CN7" s="20" t="s">
        <v>28</v>
      </c>
      <c r="CO7" s="20" t="s">
        <v>29</v>
      </c>
      <c r="CP7" s="20" t="s">
        <v>30</v>
      </c>
      <c r="CQ7" s="20" t="s">
        <v>31</v>
      </c>
      <c r="CR7" s="20" t="s">
        <v>32</v>
      </c>
      <c r="CS7" s="20" t="s">
        <v>84</v>
      </c>
      <c r="CT7" s="20" t="s">
        <v>34</v>
      </c>
      <c r="CU7" s="20" t="s">
        <v>35</v>
      </c>
      <c r="CV7" s="20" t="s">
        <v>36</v>
      </c>
      <c r="CW7" s="20" t="s">
        <v>37</v>
      </c>
      <c r="CX7" s="20" t="s">
        <v>38</v>
      </c>
      <c r="CY7" s="20" t="s">
        <v>39</v>
      </c>
      <c r="CZ7" s="20" t="s">
        <v>40</v>
      </c>
      <c r="DA7" s="20" t="s">
        <v>41</v>
      </c>
      <c r="DB7" s="20" t="s">
        <v>42</v>
      </c>
      <c r="DC7" s="20" t="s">
        <v>43</v>
      </c>
      <c r="DD7" s="20" t="s">
        <v>44</v>
      </c>
      <c r="DE7" s="20" t="s">
        <v>45</v>
      </c>
      <c r="DF7" s="20" t="s">
        <v>46</v>
      </c>
      <c r="DG7" s="21" t="s">
        <v>47</v>
      </c>
      <c r="DH7" s="20" t="s">
        <v>48</v>
      </c>
      <c r="DI7" s="20" t="s">
        <v>49</v>
      </c>
      <c r="DJ7" s="20" t="s">
        <v>50</v>
      </c>
      <c r="DK7" s="20" t="s">
        <v>100</v>
      </c>
      <c r="DL7" s="20" t="s">
        <v>102</v>
      </c>
      <c r="DM7" s="20" t="s">
        <v>103</v>
      </c>
      <c r="DN7" s="20" t="s">
        <v>104</v>
      </c>
      <c r="DO7" s="20" t="s">
        <v>105</v>
      </c>
      <c r="DP7" s="20" t="s">
        <v>106</v>
      </c>
      <c r="DQ7" s="20" t="s">
        <v>107</v>
      </c>
      <c r="DR7" s="20" t="s">
        <v>108</v>
      </c>
      <c r="DS7" s="20" t="s">
        <v>113</v>
      </c>
      <c r="DT7" s="20" t="s">
        <v>115</v>
      </c>
      <c r="DU7" s="20" t="s">
        <v>116</v>
      </c>
    </row>
    <row r="8" spans="1:125" ht="13.5" customHeight="1" x14ac:dyDescent="0.2">
      <c r="A8" s="8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9"/>
      <c r="BN8" s="2" t="s">
        <v>51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1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</row>
    <row r="9" spans="1:125" ht="13.5" customHeight="1" x14ac:dyDescent="0.2">
      <c r="A9" s="8"/>
      <c r="B9" s="29" t="s">
        <v>68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9"/>
      <c r="BN9" s="2" t="s">
        <v>78</v>
      </c>
      <c r="CL9" s="2">
        <f t="shared" ref="CL9:CS9" si="0">SUM(CL10:CL19)</f>
        <v>11548</v>
      </c>
      <c r="CM9" s="2">
        <f t="shared" si="0"/>
        <v>11271</v>
      </c>
      <c r="CN9" s="2">
        <f t="shared" si="0"/>
        <v>11159</v>
      </c>
      <c r="CO9" s="2">
        <f t="shared" si="0"/>
        <v>10489</v>
      </c>
      <c r="CP9" s="2">
        <f t="shared" si="0"/>
        <v>9858</v>
      </c>
      <c r="CQ9" s="2">
        <f t="shared" si="0"/>
        <v>9962</v>
      </c>
      <c r="CR9" s="2">
        <f t="shared" si="0"/>
        <v>10209</v>
      </c>
      <c r="CS9" s="2">
        <f t="shared" si="0"/>
        <v>10298</v>
      </c>
      <c r="CT9" s="2">
        <v>10444</v>
      </c>
      <c r="CU9" s="2">
        <v>10610</v>
      </c>
      <c r="CV9" s="2">
        <v>10834</v>
      </c>
      <c r="CW9" s="2">
        <v>12029</v>
      </c>
      <c r="CX9" s="2">
        <v>12969</v>
      </c>
      <c r="CY9" s="2">
        <v>13881</v>
      </c>
      <c r="CZ9" s="2">
        <v>14226</v>
      </c>
      <c r="DA9" s="2">
        <v>14256</v>
      </c>
      <c r="DB9" s="2">
        <v>14310</v>
      </c>
      <c r="DC9" s="2">
        <v>14213</v>
      </c>
      <c r="DD9" s="2">
        <v>14442</v>
      </c>
      <c r="DE9" s="2">
        <v>14481</v>
      </c>
      <c r="DF9" s="2">
        <v>14799</v>
      </c>
      <c r="DG9" s="2">
        <v>15259</v>
      </c>
      <c r="DH9" s="2">
        <v>15473</v>
      </c>
      <c r="DI9" s="2">
        <v>15990</v>
      </c>
      <c r="DJ9" s="2">
        <v>15718</v>
      </c>
      <c r="DK9" s="2">
        <v>16146</v>
      </c>
      <c r="DL9" s="2">
        <v>16685</v>
      </c>
      <c r="DM9" s="2">
        <v>16936</v>
      </c>
      <c r="DN9" s="2">
        <v>16372</v>
      </c>
      <c r="DO9" s="2">
        <v>16375</v>
      </c>
      <c r="DP9" s="2">
        <v>16388</v>
      </c>
      <c r="DQ9" s="2">
        <v>16147</v>
      </c>
      <c r="DR9" s="2">
        <v>16003</v>
      </c>
      <c r="DS9" s="2">
        <v>15703</v>
      </c>
      <c r="DT9" s="2">
        <v>15277</v>
      </c>
      <c r="DU9" s="2">
        <v>14732</v>
      </c>
    </row>
    <row r="10" spans="1:125" ht="13.5" customHeight="1" x14ac:dyDescent="0.2">
      <c r="A10" s="8"/>
      <c r="C10" s="3" t="s">
        <v>71</v>
      </c>
      <c r="BL10" s="9"/>
      <c r="BN10" s="2" t="s">
        <v>77</v>
      </c>
      <c r="CL10" s="2">
        <v>956</v>
      </c>
      <c r="CM10" s="2">
        <v>892</v>
      </c>
      <c r="CN10" s="2">
        <v>949</v>
      </c>
      <c r="CO10" s="2">
        <v>818</v>
      </c>
      <c r="CP10" s="2">
        <v>668</v>
      </c>
      <c r="CQ10" s="2">
        <v>640</v>
      </c>
      <c r="CR10" s="2">
        <v>657</v>
      </c>
      <c r="CS10" s="2">
        <f>279+350</f>
        <v>629</v>
      </c>
      <c r="CT10" s="2">
        <v>628</v>
      </c>
      <c r="CU10" s="2">
        <f>283+347</f>
        <v>630</v>
      </c>
      <c r="CV10" s="2">
        <v>684</v>
      </c>
      <c r="CW10" s="2">
        <v>669</v>
      </c>
      <c r="CX10" s="2">
        <v>652</v>
      </c>
      <c r="CY10" s="2">
        <v>725</v>
      </c>
      <c r="CZ10" s="2">
        <v>1013</v>
      </c>
      <c r="DA10" s="2">
        <v>1273</v>
      </c>
      <c r="DB10" s="2">
        <f>693+700</f>
        <v>1393</v>
      </c>
      <c r="DC10" s="2">
        <v>1495</v>
      </c>
      <c r="DD10" s="2">
        <v>1963</v>
      </c>
      <c r="DE10" s="2">
        <v>1764</v>
      </c>
      <c r="DF10" s="2">
        <v>1451</v>
      </c>
      <c r="DG10" s="2">
        <v>1507</v>
      </c>
      <c r="DH10" s="2">
        <v>1226</v>
      </c>
      <c r="DI10" s="2">
        <v>1068</v>
      </c>
      <c r="DJ10" s="2">
        <v>882</v>
      </c>
      <c r="DK10" s="2">
        <v>803</v>
      </c>
      <c r="DL10" s="2">
        <v>699</v>
      </c>
      <c r="DM10" s="2">
        <v>697</v>
      </c>
      <c r="DN10" s="2">
        <v>597</v>
      </c>
      <c r="DO10" s="2">
        <v>572</v>
      </c>
      <c r="DP10" s="2">
        <v>614</v>
      </c>
      <c r="DQ10" s="2">
        <v>411</v>
      </c>
      <c r="DR10" s="2">
        <v>277</v>
      </c>
      <c r="DS10" s="2">
        <v>287</v>
      </c>
      <c r="DT10" s="2">
        <v>333</v>
      </c>
      <c r="DU10" s="2">
        <v>448</v>
      </c>
    </row>
    <row r="11" spans="1:125" ht="13.5" customHeight="1" x14ac:dyDescent="0.2">
      <c r="A11" s="8"/>
      <c r="D11" s="2" t="s">
        <v>114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>
        <f t="shared" ref="O11:O14" si="1">BY11/BY$20</f>
        <v>1.5143464399574921E-2</v>
      </c>
      <c r="P11" s="13">
        <f t="shared" ref="P11:P14" si="2">BZ11/BZ$20</f>
        <v>1.4824920418371986E-2</v>
      </c>
      <c r="Q11" s="13">
        <f t="shared" ref="Q11:Q14" si="3">CA11/CA$20</f>
        <v>2.0267649340574088E-2</v>
      </c>
      <c r="R11" s="13">
        <f t="shared" ref="R11:R14" si="4">CB11/CB$20</f>
        <v>2.2265336289726535E-2</v>
      </c>
      <c r="S11" s="13"/>
      <c r="T11" s="13"/>
      <c r="U11" s="13"/>
      <c r="V11" s="13"/>
      <c r="W11" s="13">
        <f t="shared" ref="W11:Y14" si="5">CG11/CG$20</f>
        <v>1.5526866713189114E-2</v>
      </c>
      <c r="X11" s="13">
        <f t="shared" si="5"/>
        <v>2.4593688193309829E-2</v>
      </c>
      <c r="Y11" s="13">
        <f t="shared" si="5"/>
        <v>2.73676940343607E-2</v>
      </c>
      <c r="Z11" s="13">
        <f t="shared" ref="Z11:Z14" si="6">CJ11/CJ$20</f>
        <v>3.3304794520547944E-2</v>
      </c>
      <c r="AA11" s="13">
        <f t="shared" ref="AA11:AA14" si="7">CK11/CK$20</f>
        <v>3.6291709666322669E-2</v>
      </c>
      <c r="AB11" s="13">
        <f t="shared" ref="AB11:AB14" si="8">CL11/CL$20</f>
        <v>4.3995468277945621E-2</v>
      </c>
      <c r="AC11" s="13">
        <f t="shared" ref="AC11:AC14" si="9">CM11/CM$20</f>
        <v>5.0968301377782063E-2</v>
      </c>
      <c r="AD11" s="13">
        <f t="shared" ref="AD11:AD14" si="10">CN11/CN$20</f>
        <v>6.1802154750244857E-2</v>
      </c>
      <c r="AE11" s="13">
        <f t="shared" ref="AE11:AE14" si="11">CO11/CO$20</f>
        <v>7.1864336676662185E-2</v>
      </c>
      <c r="AF11" s="13">
        <f t="shared" ref="AF11:AF14" si="12">CP11/CP$20</f>
        <v>7.9325353645266591E-2</v>
      </c>
      <c r="AG11" s="13">
        <f t="shared" ref="AG11:AG14" si="13">CQ11/CQ$20</f>
        <v>8.6462132589573054E-2</v>
      </c>
      <c r="AH11" s="13">
        <f t="shared" ref="AH11:AH14" si="14">CR11/CR$20</f>
        <v>7.7365996649916252E-2</v>
      </c>
      <c r="AI11" s="13">
        <f t="shared" ref="AI11:AI14" si="15">CS11/CS$20</f>
        <v>7.9118833385044995E-2</v>
      </c>
      <c r="AJ11" s="13">
        <f t="shared" ref="AJ11:AJ14" si="16">CT11/CT$20</f>
        <v>7.7655677655677657E-2</v>
      </c>
      <c r="AK11" s="13">
        <f t="shared" ref="AK11:AK14" si="17">CU11/CU$20</f>
        <v>6.8937875751503008E-2</v>
      </c>
      <c r="AL11" s="13">
        <f t="shared" ref="AL11:AL14" si="18">CV11/CV$20</f>
        <v>6.7841978955141227E-2</v>
      </c>
      <c r="AM11" s="13">
        <f t="shared" ref="AM11:AM14" si="19">CW11/CW$20</f>
        <v>6.8833652007648183E-2</v>
      </c>
      <c r="AN11" s="13">
        <f t="shared" ref="AN11:AN14" si="20">CX11/CX$20</f>
        <v>7.347568401396444E-2</v>
      </c>
      <c r="AO11" s="13">
        <f t="shared" ref="AO11:AO14" si="21">CY11/CY$20</f>
        <v>6.9397993311036785E-2</v>
      </c>
      <c r="AP11" s="13">
        <f t="shared" ref="AP11:AP14" si="22">CZ11/CZ$20</f>
        <v>7.3488231287368505E-2</v>
      </c>
      <c r="AQ11" s="13">
        <f t="shared" ref="AQ11:AQ14" si="23">DA11/DA$20</f>
        <v>6.0463683278132944E-2</v>
      </c>
      <c r="AR11" s="13">
        <f t="shared" ref="AR11:AR14" si="24">DB11/DB$20</f>
        <v>5.4501819307888826E-2</v>
      </c>
      <c r="AS11" s="13">
        <f t="shared" ref="AS11:AS14" si="25">DC11/DC$20</f>
        <v>5.8814278974681555E-2</v>
      </c>
      <c r="AT11" s="13">
        <f t="shared" ref="AT11:AT14" si="26">DD11/DD$20</f>
        <v>6.2905681544995595E-2</v>
      </c>
      <c r="AU11" s="13">
        <f t="shared" ref="AU11:AY16" si="27">DE11/DE$20</f>
        <v>7.3130455296060395E-2</v>
      </c>
      <c r="AV11" s="13">
        <f t="shared" si="27"/>
        <v>7.4393167515732689E-2</v>
      </c>
      <c r="AW11" s="13">
        <f t="shared" si="27"/>
        <v>7.1189645142524724E-2</v>
      </c>
      <c r="AX11" s="13">
        <f t="shared" si="27"/>
        <v>6.4996139538148381E-2</v>
      </c>
      <c r="AY11" s="13">
        <f t="shared" si="27"/>
        <v>6.339632757003083E-2</v>
      </c>
      <c r="AZ11" s="13">
        <f t="shared" ref="AZ11:BK11" si="28">DJ11/DJ$20</f>
        <v>7.5289835535184688E-2</v>
      </c>
      <c r="BA11" s="13">
        <f t="shared" si="28"/>
        <v>0.10200091246822655</v>
      </c>
      <c r="BB11" s="13">
        <f t="shared" si="28"/>
        <v>0.10058801451269861</v>
      </c>
      <c r="BC11" s="13">
        <f t="shared" si="28"/>
        <v>8.8798571340599791E-2</v>
      </c>
      <c r="BD11" s="13">
        <f t="shared" si="28"/>
        <v>7.8288431061806663E-2</v>
      </c>
      <c r="BE11" s="13">
        <f t="shared" si="28"/>
        <v>7.0492944377649816E-2</v>
      </c>
      <c r="BF11" s="13">
        <f t="shared" si="28"/>
        <v>7.0305566121465699E-2</v>
      </c>
      <c r="BG11" s="13">
        <f t="shared" si="28"/>
        <v>5.8146924250127095E-2</v>
      </c>
      <c r="BH11" s="13">
        <f t="shared" si="28"/>
        <v>8.3746661579549797E-2</v>
      </c>
      <c r="BI11" s="13">
        <f t="shared" si="28"/>
        <v>0.11533471717695901</v>
      </c>
      <c r="BJ11" s="13">
        <f t="shared" si="28"/>
        <v>0.10827087794432548</v>
      </c>
      <c r="BK11" s="13">
        <f t="shared" si="28"/>
        <v>8.422010641276953E-2</v>
      </c>
      <c r="BL11" s="9"/>
      <c r="BN11" s="2" t="s">
        <v>114</v>
      </c>
      <c r="BY11" s="2">
        <v>171</v>
      </c>
      <c r="BZ11" s="2">
        <v>163</v>
      </c>
      <c r="CA11" s="2">
        <v>209</v>
      </c>
      <c r="CB11" s="2">
        <v>241</v>
      </c>
      <c r="CG11" s="2">
        <v>178</v>
      </c>
      <c r="CH11" s="2">
        <v>286</v>
      </c>
      <c r="CI11" s="2">
        <f>205+112</f>
        <v>317</v>
      </c>
      <c r="CJ11" s="2">
        <f>259+130</f>
        <v>389</v>
      </c>
      <c r="CK11" s="2">
        <f>272+150</f>
        <v>422</v>
      </c>
      <c r="CL11" s="2">
        <v>466</v>
      </c>
      <c r="CM11" s="2">
        <f>335+194</f>
        <v>529</v>
      </c>
      <c r="CN11" s="2">
        <v>631</v>
      </c>
      <c r="CO11" s="2">
        <v>695</v>
      </c>
      <c r="CP11" s="2">
        <v>729</v>
      </c>
      <c r="CQ11" s="2">
        <v>806</v>
      </c>
      <c r="CR11" s="2">
        <v>739</v>
      </c>
      <c r="CS11" s="2">
        <f>443+322</f>
        <v>765</v>
      </c>
      <c r="CT11" s="2">
        <v>742</v>
      </c>
      <c r="CU11" s="2">
        <f>386+302</f>
        <v>688</v>
      </c>
      <c r="CV11" s="2">
        <v>735</v>
      </c>
      <c r="CW11" s="2">
        <v>828</v>
      </c>
      <c r="CX11" s="2">
        <v>905</v>
      </c>
      <c r="CY11" s="2">
        <v>913</v>
      </c>
      <c r="CZ11" s="2">
        <v>971</v>
      </c>
      <c r="DA11" s="2">
        <v>785</v>
      </c>
      <c r="DB11" s="2">
        <f>431+273</f>
        <v>704</v>
      </c>
      <c r="DC11" s="2">
        <v>748</v>
      </c>
      <c r="DD11" s="2">
        <v>785</v>
      </c>
      <c r="DE11" s="2">
        <v>930</v>
      </c>
      <c r="DF11" s="2">
        <v>993</v>
      </c>
      <c r="DG11" s="2">
        <v>979</v>
      </c>
      <c r="DH11" s="2">
        <v>926</v>
      </c>
      <c r="DI11" s="2">
        <v>946</v>
      </c>
      <c r="DJ11" s="2">
        <v>1117</v>
      </c>
      <c r="DK11" s="2">
        <v>1565</v>
      </c>
      <c r="DL11" s="2">
        <v>1608</v>
      </c>
      <c r="DM11" s="2">
        <v>1442</v>
      </c>
      <c r="DN11" s="2">
        <v>1235</v>
      </c>
      <c r="DO11" s="2">
        <v>1114</v>
      </c>
      <c r="DP11" s="2">
        <v>1109</v>
      </c>
      <c r="DQ11" s="2">
        <v>915</v>
      </c>
      <c r="DR11" s="2">
        <v>1317</v>
      </c>
      <c r="DS11" s="2">
        <v>1778</v>
      </c>
      <c r="DT11" s="2">
        <v>1618</v>
      </c>
      <c r="DU11" s="2">
        <v>1203</v>
      </c>
    </row>
    <row r="12" spans="1:125" ht="13.5" customHeight="1" x14ac:dyDescent="0.2">
      <c r="A12" s="8"/>
      <c r="D12" s="2" t="s">
        <v>54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>
        <f t="shared" si="1"/>
        <v>1.6029047113000353E-2</v>
      </c>
      <c r="P12" s="13">
        <f t="shared" si="2"/>
        <v>1.2187357889949978E-2</v>
      </c>
      <c r="Q12" s="13">
        <f t="shared" si="3"/>
        <v>1.0376260667183864E-2</v>
      </c>
      <c r="R12" s="13">
        <f t="shared" si="4"/>
        <v>9.0539541759053956E-3</v>
      </c>
      <c r="S12" s="13"/>
      <c r="T12" s="13"/>
      <c r="U12" s="13"/>
      <c r="V12" s="13"/>
      <c r="W12" s="13">
        <f t="shared" si="5"/>
        <v>1.7096999302163293E-2</v>
      </c>
      <c r="X12" s="13">
        <f t="shared" si="5"/>
        <v>1.5392553100008598E-2</v>
      </c>
      <c r="Y12" s="13">
        <f t="shared" si="5"/>
        <v>1.6662349995683327E-2</v>
      </c>
      <c r="Z12" s="13">
        <f t="shared" si="6"/>
        <v>1.6952054794520548E-2</v>
      </c>
      <c r="AA12" s="13">
        <f t="shared" si="7"/>
        <v>1.7543859649122806E-2</v>
      </c>
      <c r="AB12" s="13">
        <f t="shared" si="8"/>
        <v>1.8032477341389727E-2</v>
      </c>
      <c r="AC12" s="13">
        <f t="shared" si="9"/>
        <v>1.7920801618653049E-2</v>
      </c>
      <c r="AD12" s="13">
        <f t="shared" si="10"/>
        <v>2.0274240940254651E-2</v>
      </c>
      <c r="AE12" s="13">
        <f t="shared" si="11"/>
        <v>2.1404198118084996E-2</v>
      </c>
      <c r="AF12" s="13">
        <f t="shared" si="12"/>
        <v>2.2850924918389554E-2</v>
      </c>
      <c r="AG12" s="13">
        <f t="shared" si="13"/>
        <v>2.4458270757348209E-2</v>
      </c>
      <c r="AH12" s="13">
        <f t="shared" si="14"/>
        <v>2.9941373534338359E-2</v>
      </c>
      <c r="AI12" s="13">
        <f t="shared" si="15"/>
        <v>3.0096183679801426E-2</v>
      </c>
      <c r="AJ12" s="13">
        <f t="shared" si="16"/>
        <v>2.8990057561486132E-2</v>
      </c>
      <c r="AK12" s="13">
        <f t="shared" si="17"/>
        <v>3.1663326653306616E-2</v>
      </c>
      <c r="AL12" s="13">
        <f t="shared" si="18"/>
        <v>3.2674912313088424E-2</v>
      </c>
      <c r="AM12" s="13">
        <f t="shared" si="19"/>
        <v>3.2504780114722756E-2</v>
      </c>
      <c r="AN12" s="13">
        <f t="shared" si="20"/>
        <v>3.4667532678411953E-2</v>
      </c>
      <c r="AO12" s="13">
        <f t="shared" si="21"/>
        <v>3.3368805107935544E-2</v>
      </c>
      <c r="AP12" s="13">
        <f t="shared" si="22"/>
        <v>3.4965564217058959E-2</v>
      </c>
      <c r="AQ12" s="13">
        <f t="shared" si="23"/>
        <v>3.6971424170068552E-2</v>
      </c>
      <c r="AR12" s="13">
        <f t="shared" si="24"/>
        <v>3.8708678485716498E-2</v>
      </c>
      <c r="AS12" s="13">
        <f t="shared" si="25"/>
        <v>3.5933322849504637E-2</v>
      </c>
      <c r="AT12" s="13">
        <f t="shared" si="26"/>
        <v>3.7503005048481447E-2</v>
      </c>
      <c r="AU12" s="13">
        <f t="shared" si="27"/>
        <v>4.4035542973971852E-2</v>
      </c>
      <c r="AV12" s="13">
        <f t="shared" si="27"/>
        <v>4.3077614623913692E-2</v>
      </c>
      <c r="AW12" s="13">
        <f t="shared" si="27"/>
        <v>4.6756835369400812E-2</v>
      </c>
      <c r="AX12" s="13">
        <f t="shared" si="27"/>
        <v>4.7448585667157997E-2</v>
      </c>
      <c r="AY12" s="13">
        <f t="shared" si="27"/>
        <v>5.2003752848143681E-2</v>
      </c>
      <c r="AZ12" s="13">
        <f t="shared" ref="AZ12:BK19" si="29">DJ12/DJ$20</f>
        <v>5.7495281747101647E-2</v>
      </c>
      <c r="BA12" s="13">
        <f t="shared" si="29"/>
        <v>6.0809489669556148E-2</v>
      </c>
      <c r="BB12" s="13">
        <f t="shared" si="29"/>
        <v>6.6996121606405598E-2</v>
      </c>
      <c r="BC12" s="13">
        <f t="shared" si="29"/>
        <v>7.1987191329515365E-2</v>
      </c>
      <c r="BD12" s="13">
        <f t="shared" si="29"/>
        <v>7.9873217115689385E-2</v>
      </c>
      <c r="BE12" s="13">
        <f t="shared" si="29"/>
        <v>7.4795924824400437E-2</v>
      </c>
      <c r="BF12" s="13">
        <f t="shared" si="29"/>
        <v>7.8990744262710785E-2</v>
      </c>
      <c r="BG12" s="13">
        <f t="shared" si="29"/>
        <v>8.4900864260294862E-2</v>
      </c>
      <c r="BH12" s="13">
        <f t="shared" si="29"/>
        <v>9.4874729746915937E-2</v>
      </c>
      <c r="BI12" s="13">
        <f t="shared" si="29"/>
        <v>9.9507005708354954E-2</v>
      </c>
      <c r="BJ12" s="13">
        <f t="shared" si="29"/>
        <v>0.11911134903640257</v>
      </c>
      <c r="BK12" s="13">
        <f t="shared" si="29"/>
        <v>0.1321758611033324</v>
      </c>
      <c r="BL12" s="9"/>
      <c r="BN12" s="2" t="s">
        <v>54</v>
      </c>
      <c r="BY12" s="2">
        <v>181</v>
      </c>
      <c r="BZ12" s="2">
        <v>134</v>
      </c>
      <c r="CA12" s="2">
        <v>107</v>
      </c>
      <c r="CB12" s="2">
        <v>98</v>
      </c>
      <c r="CG12" s="2">
        <v>196</v>
      </c>
      <c r="CH12" s="2">
        <v>179</v>
      </c>
      <c r="CI12" s="2">
        <f>106+87</f>
        <v>193</v>
      </c>
      <c r="CJ12" s="2">
        <f>102+96</f>
        <v>198</v>
      </c>
      <c r="CK12" s="2">
        <f>94+110</f>
        <v>204</v>
      </c>
      <c r="CL12" s="2">
        <v>191</v>
      </c>
      <c r="CM12" s="2">
        <f>87+99</f>
        <v>186</v>
      </c>
      <c r="CN12" s="2">
        <v>207</v>
      </c>
      <c r="CO12" s="2">
        <v>207</v>
      </c>
      <c r="CP12" s="2">
        <v>210</v>
      </c>
      <c r="CQ12" s="2">
        <v>228</v>
      </c>
      <c r="CR12" s="2">
        <v>286</v>
      </c>
      <c r="CS12" s="2">
        <f>132+159</f>
        <v>291</v>
      </c>
      <c r="CT12" s="2">
        <v>277</v>
      </c>
      <c r="CU12" s="2">
        <f>129+187</f>
        <v>316</v>
      </c>
      <c r="CV12" s="2">
        <v>354</v>
      </c>
      <c r="CW12" s="2">
        <v>391</v>
      </c>
      <c r="CX12" s="2">
        <v>427</v>
      </c>
      <c r="CY12" s="2">
        <v>439</v>
      </c>
      <c r="CZ12" s="2">
        <v>462</v>
      </c>
      <c r="DA12" s="2">
        <v>480</v>
      </c>
      <c r="DB12" s="2">
        <f>206+294</f>
        <v>500</v>
      </c>
      <c r="DC12" s="2">
        <v>457</v>
      </c>
      <c r="DD12" s="2">
        <v>468</v>
      </c>
      <c r="DE12" s="2">
        <v>560</v>
      </c>
      <c r="DF12" s="2">
        <v>575</v>
      </c>
      <c r="DG12" s="2">
        <v>643</v>
      </c>
      <c r="DH12" s="2">
        <v>676</v>
      </c>
      <c r="DI12" s="2">
        <v>776</v>
      </c>
      <c r="DJ12" s="2">
        <v>853</v>
      </c>
      <c r="DK12" s="2">
        <v>933</v>
      </c>
      <c r="DL12" s="2">
        <v>1071</v>
      </c>
      <c r="DM12" s="2">
        <v>1169</v>
      </c>
      <c r="DN12" s="2">
        <v>1260</v>
      </c>
      <c r="DO12" s="2">
        <v>1182</v>
      </c>
      <c r="DP12" s="2">
        <v>1246</v>
      </c>
      <c r="DQ12" s="2">
        <v>1336</v>
      </c>
      <c r="DR12" s="2">
        <v>1492</v>
      </c>
      <c r="DS12" s="2">
        <v>1534</v>
      </c>
      <c r="DT12" s="2">
        <v>1780</v>
      </c>
      <c r="DU12" s="2">
        <v>1888</v>
      </c>
    </row>
    <row r="13" spans="1:125" ht="13.5" customHeight="1" x14ac:dyDescent="0.2">
      <c r="A13" s="8"/>
      <c r="D13" s="2" t="s">
        <v>52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>
        <f t="shared" si="1"/>
        <v>8.5901523202267099E-3</v>
      </c>
      <c r="P13" s="13">
        <f t="shared" si="2"/>
        <v>7.9126875852660299E-3</v>
      </c>
      <c r="Q13" s="13">
        <f t="shared" si="3"/>
        <v>5.5275407292474784E-3</v>
      </c>
      <c r="R13" s="13">
        <f t="shared" si="4"/>
        <v>5.9127864005912786E-3</v>
      </c>
      <c r="S13" s="13"/>
      <c r="T13" s="13"/>
      <c r="U13" s="13"/>
      <c r="V13" s="13"/>
      <c r="W13" s="13">
        <f t="shared" si="5"/>
        <v>4.8848569434752267E-3</v>
      </c>
      <c r="X13" s="13">
        <f t="shared" si="5"/>
        <v>4.9015392553100005E-3</v>
      </c>
      <c r="Y13" s="13">
        <f t="shared" si="5"/>
        <v>5.7843391176724511E-3</v>
      </c>
      <c r="Z13" s="13">
        <f t="shared" si="6"/>
        <v>5.9931506849315065E-3</v>
      </c>
      <c r="AA13" s="13">
        <f t="shared" si="7"/>
        <v>5.8479532163742687E-3</v>
      </c>
      <c r="AB13" s="13">
        <f t="shared" si="8"/>
        <v>6.5143504531722058E-3</v>
      </c>
      <c r="AC13" s="13">
        <f t="shared" si="9"/>
        <v>6.9370844975431157E-3</v>
      </c>
      <c r="AD13" s="13">
        <f t="shared" si="10"/>
        <v>5.9745347698334965E-3</v>
      </c>
      <c r="AE13" s="13">
        <f t="shared" si="11"/>
        <v>7.3415365525798778E-3</v>
      </c>
      <c r="AF13" s="13">
        <f t="shared" si="12"/>
        <v>5.9847660500544067E-3</v>
      </c>
      <c r="AG13" s="13">
        <f t="shared" si="13"/>
        <v>6.1145676893370523E-3</v>
      </c>
      <c r="AH13" s="13">
        <f t="shared" si="14"/>
        <v>6.1767169179229482E-3</v>
      </c>
      <c r="AI13" s="13">
        <f t="shared" si="15"/>
        <v>6.7225152549384628E-3</v>
      </c>
      <c r="AJ13" s="13">
        <f t="shared" si="16"/>
        <v>7.326007326007326E-3</v>
      </c>
      <c r="AK13" s="13">
        <f t="shared" si="17"/>
        <v>6.6132264529058116E-3</v>
      </c>
      <c r="AL13" s="13">
        <f t="shared" si="18"/>
        <v>6.4611408528705925E-3</v>
      </c>
      <c r="AM13" s="13">
        <f t="shared" si="19"/>
        <v>7.1493889766397868E-3</v>
      </c>
      <c r="AN13" s="13">
        <f t="shared" si="20"/>
        <v>7.956482909799464E-3</v>
      </c>
      <c r="AO13" s="13">
        <f t="shared" si="21"/>
        <v>9.0453025235633939E-3</v>
      </c>
      <c r="AP13" s="13">
        <f t="shared" si="22"/>
        <v>9.0819647317036244E-3</v>
      </c>
      <c r="AQ13" s="13">
        <f t="shared" si="23"/>
        <v>8.4726180389740422E-3</v>
      </c>
      <c r="AR13" s="13">
        <f t="shared" si="24"/>
        <v>7.6643183401718662E-3</v>
      </c>
      <c r="AS13" s="13">
        <f t="shared" si="25"/>
        <v>7.2338417990250037E-3</v>
      </c>
      <c r="AT13" s="13">
        <f t="shared" si="26"/>
        <v>6.8114432246173572E-3</v>
      </c>
      <c r="AU13" s="13">
        <f t="shared" si="27"/>
        <v>7.3130455296060394E-3</v>
      </c>
      <c r="AV13" s="13">
        <f t="shared" si="27"/>
        <v>5.3191489361702126E-3</v>
      </c>
      <c r="AW13" s="13">
        <f t="shared" si="27"/>
        <v>5.5264688772542177E-3</v>
      </c>
      <c r="AX13" s="13">
        <f t="shared" si="27"/>
        <v>4.0008422825858073E-3</v>
      </c>
      <c r="AY13" s="13">
        <f t="shared" si="27"/>
        <v>4.0879238707947994E-3</v>
      </c>
      <c r="AZ13" s="13">
        <f t="shared" si="29"/>
        <v>3.3701806416823942E-3</v>
      </c>
      <c r="BA13" s="13">
        <f t="shared" si="29"/>
        <v>3.9105781137978232E-3</v>
      </c>
      <c r="BB13" s="13">
        <f t="shared" si="29"/>
        <v>3.4405104466408106E-3</v>
      </c>
      <c r="BC13" s="13">
        <f t="shared" si="29"/>
        <v>3.7563889402056779E-3</v>
      </c>
      <c r="BD13" s="13">
        <f t="shared" si="29"/>
        <v>2.8526148969889066E-3</v>
      </c>
      <c r="BE13" s="13">
        <f t="shared" si="29"/>
        <v>2.8475605897614379E-3</v>
      </c>
      <c r="BF13" s="13">
        <f t="shared" si="29"/>
        <v>2.2822365918600228E-3</v>
      </c>
      <c r="BG13" s="13">
        <f t="shared" si="29"/>
        <v>2.8596847991865784E-3</v>
      </c>
      <c r="BH13" s="13">
        <f t="shared" si="29"/>
        <v>2.9250922039933866E-3</v>
      </c>
      <c r="BI13" s="13">
        <f t="shared" si="29"/>
        <v>3.1785158277114686E-3</v>
      </c>
      <c r="BJ13" s="13">
        <f t="shared" si="29"/>
        <v>3.4127408993576019E-3</v>
      </c>
      <c r="BK13" s="13">
        <f t="shared" si="29"/>
        <v>3.080369644357323E-3</v>
      </c>
      <c r="BL13" s="9"/>
      <c r="BN13" s="2" t="s">
        <v>52</v>
      </c>
      <c r="BY13" s="2">
        <v>97</v>
      </c>
      <c r="BZ13" s="2">
        <v>87</v>
      </c>
      <c r="CA13" s="2">
        <v>57</v>
      </c>
      <c r="CB13" s="2">
        <v>64</v>
      </c>
      <c r="CG13" s="2">
        <v>56</v>
      </c>
      <c r="CH13" s="2">
        <v>57</v>
      </c>
      <c r="CI13" s="2">
        <f>20+47</f>
        <v>67</v>
      </c>
      <c r="CJ13" s="2">
        <f>23+47</f>
        <v>70</v>
      </c>
      <c r="CK13" s="2">
        <f>24+44</f>
        <v>68</v>
      </c>
      <c r="CL13" s="2">
        <v>69</v>
      </c>
      <c r="CM13" s="2">
        <f>24+48</f>
        <v>72</v>
      </c>
      <c r="CN13" s="2">
        <v>61</v>
      </c>
      <c r="CO13" s="2">
        <v>71</v>
      </c>
      <c r="CP13" s="2">
        <v>55</v>
      </c>
      <c r="CQ13" s="2">
        <v>57</v>
      </c>
      <c r="CR13" s="2">
        <v>59</v>
      </c>
      <c r="CS13" s="2">
        <f>30+35</f>
        <v>65</v>
      </c>
      <c r="CT13" s="2">
        <v>70</v>
      </c>
      <c r="CU13" s="2">
        <f>29+37</f>
        <v>66</v>
      </c>
      <c r="CV13" s="2">
        <v>70</v>
      </c>
      <c r="CW13" s="2">
        <v>86</v>
      </c>
      <c r="CX13" s="2">
        <v>98</v>
      </c>
      <c r="CY13" s="2">
        <v>119</v>
      </c>
      <c r="CZ13" s="2">
        <v>120</v>
      </c>
      <c r="DA13" s="2">
        <v>110</v>
      </c>
      <c r="DB13" s="2">
        <f>33+66</f>
        <v>99</v>
      </c>
      <c r="DC13" s="2">
        <v>92</v>
      </c>
      <c r="DD13" s="2">
        <v>85</v>
      </c>
      <c r="DE13" s="2">
        <v>93</v>
      </c>
      <c r="DF13" s="2">
        <v>71</v>
      </c>
      <c r="DG13" s="2">
        <v>76</v>
      </c>
      <c r="DH13" s="2">
        <v>57</v>
      </c>
      <c r="DI13" s="2">
        <v>61</v>
      </c>
      <c r="DJ13" s="2">
        <v>50</v>
      </c>
      <c r="DK13" s="2">
        <v>60</v>
      </c>
      <c r="DL13" s="2">
        <v>55</v>
      </c>
      <c r="DM13" s="2">
        <v>61</v>
      </c>
      <c r="DN13" s="2">
        <v>45</v>
      </c>
      <c r="DO13" s="2">
        <v>45</v>
      </c>
      <c r="DP13" s="2">
        <v>36</v>
      </c>
      <c r="DQ13" s="2">
        <v>45</v>
      </c>
      <c r="DR13" s="2">
        <v>46</v>
      </c>
      <c r="DS13" s="2">
        <v>49</v>
      </c>
      <c r="DT13" s="2">
        <v>51</v>
      </c>
      <c r="DU13" s="2">
        <v>44</v>
      </c>
    </row>
    <row r="14" spans="1:125" ht="13.5" hidden="1" customHeight="1" x14ac:dyDescent="0.2">
      <c r="A14" s="8"/>
      <c r="D14" s="2" t="s">
        <v>85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>
        <f t="shared" si="1"/>
        <v>1.3460857244066596E-2</v>
      </c>
      <c r="P14" s="13">
        <f t="shared" si="2"/>
        <v>9.913597089586175E-3</v>
      </c>
      <c r="Q14" s="13">
        <f t="shared" si="3"/>
        <v>8.6307214895267655E-3</v>
      </c>
      <c r="R14" s="13">
        <f t="shared" si="4"/>
        <v>8.6844050258684403E-3</v>
      </c>
      <c r="S14" s="13"/>
      <c r="T14" s="13"/>
      <c r="U14" s="13"/>
      <c r="V14" s="13"/>
      <c r="W14" s="13">
        <f t="shared" si="5"/>
        <v>2.3551988834612701E-2</v>
      </c>
      <c r="X14" s="13">
        <f t="shared" si="5"/>
        <v>2.4765672026829479E-2</v>
      </c>
      <c r="Y14" s="13">
        <f t="shared" si="5"/>
        <v>2.7885694552361218E-2</v>
      </c>
      <c r="Z14" s="13">
        <f t="shared" si="6"/>
        <v>2.8852739726027397E-2</v>
      </c>
      <c r="AA14" s="13">
        <f t="shared" si="7"/>
        <v>3.1045751633986929E-2</v>
      </c>
      <c r="AB14" s="13">
        <f t="shared" si="8"/>
        <v>3.644259818731118E-2</v>
      </c>
      <c r="AC14" s="13">
        <f t="shared" si="9"/>
        <v>4.1333461797861064E-2</v>
      </c>
      <c r="AD14" s="13">
        <f t="shared" si="10"/>
        <v>4.6229187071498534E-2</v>
      </c>
      <c r="AE14" s="13">
        <f t="shared" si="11"/>
        <v>4.8495502016337504E-2</v>
      </c>
      <c r="AF14" s="13">
        <f t="shared" si="12"/>
        <v>5.2557127312295976E-2</v>
      </c>
      <c r="AG14" s="13">
        <f t="shared" si="13"/>
        <v>4.9560180218837159E-2</v>
      </c>
      <c r="AH14" s="13">
        <f t="shared" si="14"/>
        <v>5.1088777219430483E-2</v>
      </c>
      <c r="AI14" s="13">
        <f t="shared" si="15"/>
        <v>5.6882821387940839E-2</v>
      </c>
      <c r="AJ14" s="13">
        <f t="shared" si="16"/>
        <v>3.1711145996860285E-2</v>
      </c>
      <c r="AK14" s="13">
        <f t="shared" si="17"/>
        <v>5.561122244488978E-2</v>
      </c>
      <c r="AL14" s="13">
        <f t="shared" si="18"/>
        <v>5.8519475724570794E-2</v>
      </c>
      <c r="AM14" s="13">
        <f t="shared" si="19"/>
        <v>5.5532463213899742E-2</v>
      </c>
      <c r="AN14" s="13">
        <f t="shared" si="20"/>
        <v>5.5451814565235041E-2</v>
      </c>
      <c r="AO14" s="13">
        <f t="shared" si="21"/>
        <v>5.4651869869261176E-2</v>
      </c>
      <c r="AP14" s="13">
        <f t="shared" si="22"/>
        <v>5.237266328615757E-2</v>
      </c>
      <c r="AQ14" s="13">
        <f t="shared" si="23"/>
        <v>5.4301779249788185E-2</v>
      </c>
      <c r="AR14" s="13">
        <f t="shared" si="24"/>
        <v>5.8063017728574744E-2</v>
      </c>
      <c r="AS14" s="13">
        <f t="shared" si="25"/>
        <v>6.1487655291712531E-2</v>
      </c>
      <c r="AT14" s="13">
        <f t="shared" si="26"/>
        <v>6.1543392900072123E-2</v>
      </c>
      <c r="AU14" s="13">
        <f t="shared" si="27"/>
        <v>6.2121569552567431E-2</v>
      </c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9"/>
      <c r="BN14" s="2" t="s">
        <v>85</v>
      </c>
      <c r="BY14" s="2">
        <v>152</v>
      </c>
      <c r="BZ14" s="2">
        <v>109</v>
      </c>
      <c r="CA14" s="2">
        <v>89</v>
      </c>
      <c r="CB14" s="2">
        <v>94</v>
      </c>
      <c r="CG14" s="2">
        <v>270</v>
      </c>
      <c r="CH14" s="2">
        <v>288</v>
      </c>
      <c r="CI14" s="2">
        <f>177+146</f>
        <v>323</v>
      </c>
      <c r="CJ14" s="2">
        <f>180+157</f>
        <v>337</v>
      </c>
      <c r="CK14" s="2">
        <f>181+180</f>
        <v>361</v>
      </c>
      <c r="CL14" s="2">
        <v>386</v>
      </c>
      <c r="CM14" s="2">
        <f>215+214</f>
        <v>429</v>
      </c>
      <c r="CN14" s="2">
        <v>472</v>
      </c>
      <c r="CO14" s="2">
        <v>469</v>
      </c>
      <c r="CP14" s="2">
        <v>483</v>
      </c>
      <c r="CQ14" s="2">
        <v>462</v>
      </c>
      <c r="CR14" s="2">
        <v>488</v>
      </c>
      <c r="CS14" s="2">
        <f>248+302</f>
        <v>550</v>
      </c>
      <c r="CT14" s="2">
        <v>303</v>
      </c>
      <c r="CU14" s="2">
        <f>265+290</f>
        <v>555</v>
      </c>
      <c r="CV14" s="2">
        <v>634</v>
      </c>
      <c r="CW14" s="2">
        <v>668</v>
      </c>
      <c r="CX14" s="2">
        <v>683</v>
      </c>
      <c r="CY14" s="2">
        <v>719</v>
      </c>
      <c r="CZ14" s="2">
        <v>692</v>
      </c>
      <c r="DA14" s="2">
        <v>705</v>
      </c>
      <c r="DB14" s="2">
        <f>317+433</f>
        <v>750</v>
      </c>
      <c r="DC14" s="2">
        <v>782</v>
      </c>
      <c r="DD14" s="2">
        <v>768</v>
      </c>
      <c r="DE14" s="2">
        <v>790</v>
      </c>
    </row>
    <row r="15" spans="1:125" ht="13.5" customHeight="1" x14ac:dyDescent="0.2">
      <c r="A15" s="8"/>
      <c r="D15" s="2" t="s">
        <v>53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>
        <f t="shared" ref="AV15:AV19" si="30">DF15/DF$20</f>
        <v>6.3904704824692835E-2</v>
      </c>
      <c r="AW15" s="13">
        <f t="shared" ref="AW15:AW19" si="31">DG15/DG$20</f>
        <v>6.2754508435136705E-2</v>
      </c>
      <c r="AX15" s="13">
        <f t="shared" ref="AX15:AX19" si="32">DH15/DH$20</f>
        <v>6.4083666736856879E-2</v>
      </c>
      <c r="AY15" s="13">
        <f t="shared" ref="AY15:AY19" si="33">DI15/DI$20</f>
        <v>6.2324085243264979E-2</v>
      </c>
      <c r="AZ15" s="13">
        <f t="shared" si="29"/>
        <v>6.6257751415475866E-2</v>
      </c>
      <c r="BA15" s="13">
        <f t="shared" si="29"/>
        <v>6.5958417519389953E-2</v>
      </c>
      <c r="BB15" s="13">
        <f t="shared" si="29"/>
        <v>6.3743275365945207E-2</v>
      </c>
      <c r="BC15" s="13">
        <f t="shared" si="29"/>
        <v>6.6321817845926473E-2</v>
      </c>
      <c r="BD15" s="13">
        <f t="shared" si="29"/>
        <v>7.1632329635499203E-2</v>
      </c>
      <c r="BE15" s="13">
        <f t="shared" si="29"/>
        <v>7.4542808327532753E-2</v>
      </c>
      <c r="BF15" s="13">
        <f t="shared" si="29"/>
        <v>8.0639026245720807E-2</v>
      </c>
      <c r="BG15" s="13">
        <f t="shared" si="29"/>
        <v>8.3375699034062029E-2</v>
      </c>
      <c r="BH15" s="13">
        <f t="shared" si="29"/>
        <v>8.3492305735724276E-2</v>
      </c>
      <c r="BI15" s="13">
        <f t="shared" si="29"/>
        <v>8.5300985988583294E-2</v>
      </c>
      <c r="BJ15" s="13">
        <f t="shared" si="29"/>
        <v>8.8396680942184155E-2</v>
      </c>
      <c r="BK15" s="13">
        <f t="shared" si="29"/>
        <v>9.4161299355922712E-2</v>
      </c>
      <c r="BL15" s="9"/>
      <c r="BN15" s="2" t="s">
        <v>53</v>
      </c>
      <c r="DF15" s="2">
        <v>853</v>
      </c>
      <c r="DG15" s="2">
        <v>863</v>
      </c>
      <c r="DH15" s="2">
        <v>913</v>
      </c>
      <c r="DI15" s="2">
        <v>930</v>
      </c>
      <c r="DJ15" s="2">
        <v>983</v>
      </c>
      <c r="DK15" s="2">
        <v>1012</v>
      </c>
      <c r="DL15" s="2">
        <v>1019</v>
      </c>
      <c r="DM15" s="2">
        <v>1077</v>
      </c>
      <c r="DN15" s="2">
        <f>882+195+53</f>
        <v>1130</v>
      </c>
      <c r="DO15" s="2">
        <v>1178</v>
      </c>
      <c r="DP15" s="2">
        <v>1272</v>
      </c>
      <c r="DQ15" s="2">
        <v>1312</v>
      </c>
      <c r="DR15" s="2">
        <v>1313</v>
      </c>
      <c r="DS15" s="2">
        <v>1315</v>
      </c>
      <c r="DT15" s="2">
        <v>1321</v>
      </c>
      <c r="DU15" s="2">
        <v>1345</v>
      </c>
    </row>
    <row r="16" spans="1:125" ht="13.5" customHeight="1" x14ac:dyDescent="0.2">
      <c r="A16" s="8"/>
      <c r="D16" s="2" t="s">
        <v>65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>
        <f t="shared" ref="O16" si="34">BY16/BY$20</f>
        <v>7.8551186680835994E-2</v>
      </c>
      <c r="P16" s="13">
        <f t="shared" ref="P16" si="35">BZ16/BZ$20</f>
        <v>7.4943155979990905E-2</v>
      </c>
      <c r="Q16" s="13">
        <f t="shared" ref="Q16" si="36">CA16/CA$20</f>
        <v>6.9530643910007753E-2</v>
      </c>
      <c r="R16" s="13">
        <f t="shared" ref="R16" si="37">CB16/CB$20</f>
        <v>6.6796008869179607E-2</v>
      </c>
      <c r="S16" s="13"/>
      <c r="T16" s="13"/>
      <c r="U16" s="13"/>
      <c r="V16" s="13"/>
      <c r="W16" s="13">
        <f t="shared" ref="W16:Y16" si="38">CG16/CG$20</f>
        <v>7.7023726448011171E-2</v>
      </c>
      <c r="X16" s="13">
        <f t="shared" si="38"/>
        <v>7.2319201995012475E-2</v>
      </c>
      <c r="Y16" s="13">
        <f t="shared" si="38"/>
        <v>6.6045066045066048E-2</v>
      </c>
      <c r="Z16" s="13">
        <f t="shared" ref="Z16" si="39">CJ16/CJ$20</f>
        <v>6.5239726027397263E-2</v>
      </c>
      <c r="AA16" s="13">
        <f t="shared" ref="AA16" si="40">CK16/CK$20</f>
        <v>6.6649466804265561E-2</v>
      </c>
      <c r="AB16" s="13">
        <f t="shared" ref="AB16" si="41">CL16/CL$20</f>
        <v>6.6654078549848936E-2</v>
      </c>
      <c r="AC16" s="13">
        <f t="shared" ref="AC16" si="42">CM16/CM$20</f>
        <v>6.8985451392234318E-2</v>
      </c>
      <c r="AD16" s="13">
        <f t="shared" ref="AD16" si="43">CN16/CN$20</f>
        <v>6.9441723800195893E-2</v>
      </c>
      <c r="AE16" s="13">
        <f t="shared" ref="AE16" si="44">CO16/CO$20</f>
        <v>6.7521455899079721E-2</v>
      </c>
      <c r="AF16" s="13">
        <f t="shared" ref="AF16" si="45">CP16/CP$20</f>
        <v>6.7573449401523392E-2</v>
      </c>
      <c r="AG16" s="13">
        <f t="shared" ref="AG16" si="46">CQ16/CQ$20</f>
        <v>7.5949367088607597E-2</v>
      </c>
      <c r="AH16" s="13">
        <f t="shared" ref="AH16" si="47">CR16/CR$20</f>
        <v>7.9041038525963156E-2</v>
      </c>
      <c r="AI16" s="13">
        <f t="shared" ref="AI16" si="48">CS16/CS$20</f>
        <v>8.5324232081911269E-2</v>
      </c>
      <c r="AJ16" s="13">
        <f t="shared" ref="AJ16" si="49">CT16/CT$20</f>
        <v>9.4191522762951341E-2</v>
      </c>
      <c r="AK16" s="13">
        <f t="shared" ref="AK16" si="50">CU16/CU$20</f>
        <v>9.4689378757515028E-2</v>
      </c>
      <c r="AL16" s="13">
        <f t="shared" ref="AL16" si="51">CV16/CV$20</f>
        <v>9.5255676573749309E-2</v>
      </c>
      <c r="AM16" s="13">
        <f t="shared" ref="AM16" si="52">CW16/CW$20</f>
        <v>0.10316734558151135</v>
      </c>
      <c r="AN16" s="13">
        <f t="shared" ref="AN16" si="53">CX16/CX$20</f>
        <v>0.1053828042542827</v>
      </c>
      <c r="AO16" s="13">
        <f t="shared" ref="AO16" si="54">CY16/CY$20</f>
        <v>0.10930373973852235</v>
      </c>
      <c r="AP16" s="13">
        <f t="shared" ref="AP16" si="55">CZ16/CZ$20</f>
        <v>0.10852947854385832</v>
      </c>
      <c r="AQ16" s="13">
        <f t="shared" ref="AQ16" si="56">DA16/DA$20</f>
        <v>0.11753831934067627</v>
      </c>
      <c r="AR16" s="13">
        <f t="shared" ref="AR16" si="57">DB16/DB$20</f>
        <v>0.12123558101726407</v>
      </c>
      <c r="AS16" s="13">
        <f t="shared" ref="AS16" si="58">DC16/DC$20</f>
        <v>0.12108822141846202</v>
      </c>
      <c r="AT16" s="13">
        <f t="shared" ref="AT16" si="59">DD16/DD$20</f>
        <v>0.11996153537943746</v>
      </c>
      <c r="AU16" s="13">
        <f t="shared" si="27"/>
        <v>0.12455767869780608</v>
      </c>
      <c r="AV16" s="13">
        <f t="shared" si="30"/>
        <v>0.12676056338028169</v>
      </c>
      <c r="AW16" s="13">
        <f t="shared" si="31"/>
        <v>0.12558173356602675</v>
      </c>
      <c r="AX16" s="13">
        <f t="shared" si="32"/>
        <v>0.12486839334596757</v>
      </c>
      <c r="AY16" s="13">
        <f t="shared" si="33"/>
        <v>0.12357592815976411</v>
      </c>
      <c r="AZ16" s="13">
        <f t="shared" si="29"/>
        <v>0.12220275006740361</v>
      </c>
      <c r="BA16" s="13">
        <f t="shared" si="29"/>
        <v>0.11229876816789415</v>
      </c>
      <c r="BB16" s="13">
        <f t="shared" si="29"/>
        <v>0.10434129863630677</v>
      </c>
      <c r="BC16" s="13">
        <f t="shared" si="29"/>
        <v>0.10955108073157215</v>
      </c>
      <c r="BD16" s="13">
        <f t="shared" si="29"/>
        <v>0.10421553090332805</v>
      </c>
      <c r="BE16" s="13">
        <f t="shared" si="29"/>
        <v>9.6247547933936597E-2</v>
      </c>
      <c r="BF16" s="13">
        <f t="shared" si="29"/>
        <v>0.100608596424496</v>
      </c>
      <c r="BG16" s="13">
        <f t="shared" si="29"/>
        <v>0.10345704117946111</v>
      </c>
      <c r="BH16" s="13">
        <f t="shared" si="29"/>
        <v>0.10231463817881216</v>
      </c>
      <c r="BI16" s="13">
        <f t="shared" si="29"/>
        <v>9.7950181629475871E-2</v>
      </c>
      <c r="BJ16" s="13">
        <f t="shared" si="29"/>
        <v>0.10572805139186295</v>
      </c>
      <c r="BK16" s="13">
        <f t="shared" si="29"/>
        <v>0.10795295435452254</v>
      </c>
      <c r="BL16" s="9"/>
      <c r="BN16" s="2" t="s">
        <v>65</v>
      </c>
      <c r="BY16" s="2">
        <v>887</v>
      </c>
      <c r="BZ16" s="2">
        <v>824</v>
      </c>
      <c r="CA16" s="2">
        <v>717</v>
      </c>
      <c r="CB16" s="2">
        <v>723</v>
      </c>
      <c r="CG16" s="2">
        <v>883</v>
      </c>
      <c r="CH16" s="2">
        <v>841</v>
      </c>
      <c r="CI16" s="2">
        <f>258+507</f>
        <v>765</v>
      </c>
      <c r="CJ16" s="2">
        <f>252+510</f>
        <v>762</v>
      </c>
      <c r="CK16" s="2">
        <f>248+527</f>
        <v>775</v>
      </c>
      <c r="CL16" s="2">
        <v>706</v>
      </c>
      <c r="CM16" s="2">
        <f>228+488</f>
        <v>716</v>
      </c>
      <c r="CN16" s="2">
        <v>709</v>
      </c>
      <c r="CO16" s="2">
        <v>653</v>
      </c>
      <c r="CP16" s="2">
        <v>621</v>
      </c>
      <c r="CQ16" s="2">
        <v>708</v>
      </c>
      <c r="CR16" s="2">
        <v>755</v>
      </c>
      <c r="CS16" s="2">
        <f>256+569</f>
        <v>825</v>
      </c>
      <c r="CT16" s="2">
        <v>900</v>
      </c>
      <c r="CU16" s="2">
        <f>309+636</f>
        <v>945</v>
      </c>
      <c r="CV16" s="2">
        <v>1032</v>
      </c>
      <c r="CW16" s="2">
        <v>1241</v>
      </c>
      <c r="CX16" s="2">
        <v>1298</v>
      </c>
      <c r="CY16" s="2">
        <v>1438</v>
      </c>
      <c r="CZ16" s="2">
        <v>1434</v>
      </c>
      <c r="DA16" s="2">
        <v>1526</v>
      </c>
      <c r="DB16" s="2">
        <f>467+1099</f>
        <v>1566</v>
      </c>
      <c r="DC16" s="2">
        <v>1540</v>
      </c>
      <c r="DD16" s="2">
        <v>1497</v>
      </c>
      <c r="DE16" s="2">
        <v>1584</v>
      </c>
      <c r="DF16" s="2">
        <v>1692</v>
      </c>
      <c r="DG16" s="2">
        <v>1727</v>
      </c>
      <c r="DH16" s="2">
        <v>1779</v>
      </c>
      <c r="DI16" s="2">
        <v>1844</v>
      </c>
      <c r="DJ16" s="2">
        <v>1813</v>
      </c>
      <c r="DK16" s="2">
        <v>1723</v>
      </c>
      <c r="DL16" s="2">
        <v>1668</v>
      </c>
      <c r="DM16" s="2">
        <v>1779</v>
      </c>
      <c r="DN16" s="2">
        <v>1644</v>
      </c>
      <c r="DO16" s="2">
        <v>1521</v>
      </c>
      <c r="DP16" s="2">
        <v>1587</v>
      </c>
      <c r="DQ16" s="2">
        <v>1628</v>
      </c>
      <c r="DR16" s="2">
        <v>1609</v>
      </c>
      <c r="DS16" s="2">
        <v>1510</v>
      </c>
      <c r="DT16" s="2">
        <v>1580</v>
      </c>
      <c r="DU16" s="2">
        <v>1542</v>
      </c>
    </row>
    <row r="17" spans="1:125" ht="13.5" customHeight="1" x14ac:dyDescent="0.2">
      <c r="A17" s="8"/>
      <c r="D17" s="2" t="s">
        <v>64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>
        <f t="shared" si="30"/>
        <v>6.7425831585256216E-4</v>
      </c>
      <c r="AW17" s="13">
        <f t="shared" si="31"/>
        <v>1.0907504363001745E-3</v>
      </c>
      <c r="AX17" s="13">
        <f t="shared" si="32"/>
        <v>1.4038043096792306E-3</v>
      </c>
      <c r="AY17" s="13">
        <f t="shared" si="33"/>
        <v>1.6083634901487736E-3</v>
      </c>
      <c r="AZ17" s="13">
        <f t="shared" si="29"/>
        <v>1.6176867080075492E-3</v>
      </c>
      <c r="BA17" s="13">
        <f t="shared" si="29"/>
        <v>9.776445284494558E-4</v>
      </c>
      <c r="BB17" s="13">
        <f t="shared" si="29"/>
        <v>8.7576629550857002E-4</v>
      </c>
      <c r="BC17" s="13">
        <f t="shared" si="29"/>
        <v>1.2316029312149763E-3</v>
      </c>
      <c r="BD17" s="13">
        <f t="shared" si="29"/>
        <v>1.0776545166402535E-3</v>
      </c>
      <c r="BE17" s="13">
        <f t="shared" si="29"/>
        <v>1.0757451116876543E-3</v>
      </c>
      <c r="BF17" s="13">
        <f t="shared" si="29"/>
        <v>1.1411182959300114E-3</v>
      </c>
      <c r="BG17" s="13">
        <f t="shared" si="29"/>
        <v>1.0803253685815963E-3</v>
      </c>
      <c r="BH17" s="13">
        <f t="shared" si="29"/>
        <v>7.6306753147653572E-4</v>
      </c>
      <c r="BI17" s="13">
        <f t="shared" si="29"/>
        <v>1.1027503892060196E-3</v>
      </c>
      <c r="BJ17" s="13">
        <f t="shared" si="29"/>
        <v>1.3383297644539614E-3</v>
      </c>
      <c r="BK17" s="13">
        <f t="shared" si="29"/>
        <v>1.1901428171380566E-3</v>
      </c>
      <c r="BL17" s="9"/>
      <c r="BN17" s="2" t="s">
        <v>64</v>
      </c>
      <c r="DF17" s="2">
        <v>9</v>
      </c>
      <c r="DG17" s="2">
        <v>15</v>
      </c>
      <c r="DH17" s="2">
        <v>20</v>
      </c>
      <c r="DI17" s="2">
        <v>24</v>
      </c>
      <c r="DJ17" s="2">
        <v>24</v>
      </c>
      <c r="DK17" s="2">
        <v>15</v>
      </c>
      <c r="DL17" s="2">
        <v>14</v>
      </c>
      <c r="DM17" s="2">
        <v>20</v>
      </c>
      <c r="DN17" s="2">
        <v>17</v>
      </c>
      <c r="DO17" s="2">
        <v>17</v>
      </c>
      <c r="DP17" s="2">
        <v>18</v>
      </c>
      <c r="DQ17" s="2">
        <v>17</v>
      </c>
      <c r="DR17" s="2">
        <v>12</v>
      </c>
      <c r="DS17" s="2">
        <v>17</v>
      </c>
      <c r="DT17" s="2">
        <v>20</v>
      </c>
      <c r="DU17" s="2">
        <v>17</v>
      </c>
    </row>
    <row r="18" spans="1:125" ht="13.5" customHeight="1" x14ac:dyDescent="0.2">
      <c r="A18" s="8"/>
      <c r="D18" s="2" t="s">
        <v>55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>
        <f t="shared" ref="O18" si="60">BY18/BY$20</f>
        <v>0.86822529224229539</v>
      </c>
      <c r="P18" s="13">
        <f t="shared" ref="P18" si="61">BZ18/BZ$20</f>
        <v>0.88021828103683497</v>
      </c>
      <c r="Q18" s="13">
        <f t="shared" ref="Q18" si="62">CA18/CA$20</f>
        <v>0.88566718386345999</v>
      </c>
      <c r="R18" s="13">
        <f t="shared" ref="R18" si="63">CB18/CB$20</f>
        <v>0.88728750923872879</v>
      </c>
      <c r="S18" s="13"/>
      <c r="T18" s="13"/>
      <c r="U18" s="13"/>
      <c r="V18" s="13"/>
      <c r="W18" s="13">
        <f t="shared" ref="W18:AE18" si="64">CG18/CG$20</f>
        <v>0.86191556175854855</v>
      </c>
      <c r="X18" s="13">
        <f t="shared" si="64"/>
        <v>0.85802734542952963</v>
      </c>
      <c r="Y18" s="13">
        <f t="shared" si="64"/>
        <v>0.8562548562548562</v>
      </c>
      <c r="Z18" s="13">
        <f t="shared" si="64"/>
        <v>0.84965753424657531</v>
      </c>
      <c r="AA18" s="13">
        <f t="shared" si="64"/>
        <v>0.84262125902992779</v>
      </c>
      <c r="AB18" s="13">
        <f t="shared" si="64"/>
        <v>0.82836102719033233</v>
      </c>
      <c r="AC18" s="13">
        <f t="shared" si="64"/>
        <v>0.81385489931592636</v>
      </c>
      <c r="AD18" s="13">
        <f t="shared" si="64"/>
        <v>0.79627815866797258</v>
      </c>
      <c r="AE18" s="13">
        <f t="shared" si="64"/>
        <v>0.78337297073725576</v>
      </c>
      <c r="AF18" s="13">
        <f t="shared" ref="AF18:AO18" si="65">CP18/CP$20</f>
        <v>0.77170837867247011</v>
      </c>
      <c r="AG18" s="13">
        <f t="shared" si="65"/>
        <v>0.75745548165629695</v>
      </c>
      <c r="AH18" s="13">
        <f t="shared" si="65"/>
        <v>0.75638609715242877</v>
      </c>
      <c r="AI18" s="13">
        <f t="shared" si="65"/>
        <v>0.74185541421036305</v>
      </c>
      <c r="AJ18" s="13">
        <f t="shared" si="65"/>
        <v>0.7601255886970173</v>
      </c>
      <c r="AK18" s="13">
        <f t="shared" si="65"/>
        <v>0.74248496993987978</v>
      </c>
      <c r="AL18" s="13">
        <f t="shared" si="65"/>
        <v>0.7392468155805797</v>
      </c>
      <c r="AM18" s="13">
        <f t="shared" si="65"/>
        <v>0.7328123701055782</v>
      </c>
      <c r="AN18" s="13">
        <f t="shared" si="65"/>
        <v>0.72306568157830642</v>
      </c>
      <c r="AO18" s="13">
        <f t="shared" si="65"/>
        <v>0.72423228944968077</v>
      </c>
      <c r="AP18" s="13">
        <f t="shared" ref="AP18:AT18" si="66">CZ18/CZ$20</f>
        <v>0.72156209793385306</v>
      </c>
      <c r="AQ18" s="13">
        <f t="shared" si="66"/>
        <v>0.72225217592236002</v>
      </c>
      <c r="AR18" s="13">
        <f t="shared" si="66"/>
        <v>0.719826585120384</v>
      </c>
      <c r="AS18" s="13">
        <f t="shared" si="66"/>
        <v>0.71544267966661423</v>
      </c>
      <c r="AT18" s="13">
        <f t="shared" si="66"/>
        <v>0.71127494190239604</v>
      </c>
      <c r="AU18" s="13">
        <f>DE18/DE$20</f>
        <v>0.68884170794998822</v>
      </c>
      <c r="AV18" s="13">
        <f t="shared" si="30"/>
        <v>0.67643092598142041</v>
      </c>
      <c r="AW18" s="13">
        <f t="shared" si="31"/>
        <v>0.67706515415939494</v>
      </c>
      <c r="AX18" s="13">
        <f t="shared" si="32"/>
        <v>0.67894995437635997</v>
      </c>
      <c r="AY18" s="13">
        <f t="shared" si="33"/>
        <v>0.67162578742795875</v>
      </c>
      <c r="AZ18" s="13">
        <f t="shared" si="29"/>
        <v>0.64640064707468325</v>
      </c>
      <c r="BA18" s="13">
        <f t="shared" si="29"/>
        <v>0.62243368311282021</v>
      </c>
      <c r="BB18" s="13">
        <f t="shared" si="29"/>
        <v>0.62617290128862757</v>
      </c>
      <c r="BC18" s="13">
        <f t="shared" si="29"/>
        <v>0.62793275447995567</v>
      </c>
      <c r="BD18" s="13">
        <f t="shared" si="29"/>
        <v>0.62801901743264654</v>
      </c>
      <c r="BE18" s="13">
        <f t="shared" si="29"/>
        <v>0.63715750174017594</v>
      </c>
      <c r="BF18" s="13">
        <f t="shared" si="29"/>
        <v>0.62165588943831618</v>
      </c>
      <c r="BG18" s="13">
        <f t="shared" si="29"/>
        <v>0.6194077275038129</v>
      </c>
      <c r="BH18" s="13">
        <f t="shared" si="29"/>
        <v>0.58749841027597605</v>
      </c>
      <c r="BI18" s="13">
        <f t="shared" si="29"/>
        <v>0.55312662169174887</v>
      </c>
      <c r="BJ18" s="13">
        <f t="shared" si="29"/>
        <v>0.5245583511777302</v>
      </c>
      <c r="BK18" s="13">
        <f t="shared" si="29"/>
        <v>0.52485298235788291</v>
      </c>
      <c r="BL18" s="9"/>
      <c r="BN18" s="2" t="s">
        <v>55</v>
      </c>
      <c r="BY18" s="2">
        <v>9804</v>
      </c>
      <c r="BZ18" s="2">
        <v>9678</v>
      </c>
      <c r="CA18" s="2">
        <v>9133</v>
      </c>
      <c r="CB18" s="2">
        <v>9604</v>
      </c>
      <c r="CG18" s="2">
        <v>9881</v>
      </c>
      <c r="CH18" s="2">
        <v>9978</v>
      </c>
      <c r="CI18" s="2">
        <f>4504+5414</f>
        <v>9918</v>
      </c>
      <c r="CJ18" s="2">
        <f>4333+5591</f>
        <v>9924</v>
      </c>
      <c r="CK18" s="2">
        <f>4327+5471</f>
        <v>9798</v>
      </c>
      <c r="CL18" s="2">
        <v>8774</v>
      </c>
      <c r="CM18" s="2">
        <v>8447</v>
      </c>
      <c r="CN18" s="2">
        <v>8130</v>
      </c>
      <c r="CO18" s="2">
        <v>7576</v>
      </c>
      <c r="CP18" s="2">
        <v>7092</v>
      </c>
      <c r="CQ18" s="2">
        <v>7061</v>
      </c>
      <c r="CR18" s="2">
        <v>7225</v>
      </c>
      <c r="CS18" s="2">
        <f>3104+4069</f>
        <v>7173</v>
      </c>
      <c r="CT18" s="2">
        <v>7263</v>
      </c>
      <c r="CU18" s="2">
        <f>3124+4286</f>
        <v>7410</v>
      </c>
      <c r="CV18" s="2">
        <v>8009</v>
      </c>
      <c r="CW18" s="2">
        <v>8815</v>
      </c>
      <c r="CX18" s="2">
        <v>8906</v>
      </c>
      <c r="CY18" s="2">
        <v>9528</v>
      </c>
      <c r="CZ18" s="2">
        <v>9534</v>
      </c>
      <c r="DA18" s="2">
        <v>9377</v>
      </c>
      <c r="DB18" s="2">
        <f>3795+5503</f>
        <v>9298</v>
      </c>
      <c r="DC18" s="2">
        <v>9099</v>
      </c>
      <c r="DD18" s="2">
        <v>8876</v>
      </c>
      <c r="DE18" s="2">
        <v>8760</v>
      </c>
      <c r="DF18" s="2">
        <v>9029</v>
      </c>
      <c r="DG18" s="2">
        <v>9311</v>
      </c>
      <c r="DH18" s="2">
        <v>9673</v>
      </c>
      <c r="DI18" s="2">
        <v>10022</v>
      </c>
      <c r="DJ18" s="2">
        <v>9590</v>
      </c>
      <c r="DK18" s="2">
        <v>9550</v>
      </c>
      <c r="DL18" s="2">
        <v>10010</v>
      </c>
      <c r="DM18" s="2">
        <v>10197</v>
      </c>
      <c r="DN18" s="2">
        <v>9907</v>
      </c>
      <c r="DO18" s="2">
        <v>10069</v>
      </c>
      <c r="DP18" s="2">
        <v>9806</v>
      </c>
      <c r="DQ18" s="2">
        <v>9747</v>
      </c>
      <c r="DR18" s="2">
        <v>9239</v>
      </c>
      <c r="DS18" s="2">
        <v>8527</v>
      </c>
      <c r="DT18" s="2">
        <v>7839</v>
      </c>
      <c r="DU18" s="2">
        <v>7497</v>
      </c>
    </row>
    <row r="19" spans="1:125" ht="13.5" customHeight="1" x14ac:dyDescent="0.2">
      <c r="A19" s="8"/>
      <c r="D19" s="2" t="s">
        <v>66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>
        <f t="shared" si="30"/>
        <v>9.4396164219358713E-3</v>
      </c>
      <c r="AW19" s="13">
        <f t="shared" si="31"/>
        <v>1.0034904013961605E-2</v>
      </c>
      <c r="AX19" s="13">
        <f t="shared" si="32"/>
        <v>1.4248613743244192E-2</v>
      </c>
      <c r="AY19" s="13">
        <f t="shared" si="33"/>
        <v>2.1377831389894117E-2</v>
      </c>
      <c r="AZ19" s="13">
        <f t="shared" si="29"/>
        <v>2.7365866810461041E-2</v>
      </c>
      <c r="BA19" s="13">
        <f t="shared" si="29"/>
        <v>3.1610506419865736E-2</v>
      </c>
      <c r="BB19" s="13">
        <f t="shared" si="29"/>
        <v>3.3842111847866882E-2</v>
      </c>
      <c r="BC19" s="13">
        <f t="shared" si="29"/>
        <v>3.0420592401009916E-2</v>
      </c>
      <c r="BD19" s="13">
        <f t="shared" si="29"/>
        <v>3.4041204437400954E-2</v>
      </c>
      <c r="BE19" s="13">
        <f t="shared" si="29"/>
        <v>4.2839967094855408E-2</v>
      </c>
      <c r="BF19" s="13">
        <f t="shared" si="29"/>
        <v>4.437682261950044E-2</v>
      </c>
      <c r="BG19" s="13">
        <f t="shared" si="29"/>
        <v>4.6771733604473821E-2</v>
      </c>
      <c r="BH19" s="13">
        <f t="shared" si="29"/>
        <v>4.4385094747551826E-2</v>
      </c>
      <c r="BI19" s="13">
        <f t="shared" si="29"/>
        <v>4.4499221587960561E-2</v>
      </c>
      <c r="BJ19" s="13">
        <f t="shared" si="29"/>
        <v>4.918361884368308E-2</v>
      </c>
      <c r="BK19" s="13">
        <f t="shared" si="29"/>
        <v>5.2366283954074486E-2</v>
      </c>
      <c r="BL19" s="9"/>
      <c r="BN19" s="2" t="s">
        <v>66</v>
      </c>
      <c r="DF19" s="2">
        <v>126</v>
      </c>
      <c r="DG19" s="2">
        <v>138</v>
      </c>
      <c r="DH19" s="2">
        <v>203</v>
      </c>
      <c r="DI19" s="2">
        <v>319</v>
      </c>
      <c r="DJ19" s="2">
        <v>406</v>
      </c>
      <c r="DK19" s="2">
        <v>485</v>
      </c>
      <c r="DL19" s="2">
        <v>541</v>
      </c>
      <c r="DM19" s="2">
        <v>494</v>
      </c>
      <c r="DN19" s="2">
        <f>590-53</f>
        <v>537</v>
      </c>
      <c r="DO19" s="2">
        <v>677</v>
      </c>
      <c r="DP19" s="2">
        <v>700</v>
      </c>
      <c r="DQ19" s="2">
        <v>736</v>
      </c>
      <c r="DR19" s="2">
        <v>698</v>
      </c>
      <c r="DS19" s="2">
        <v>686</v>
      </c>
      <c r="DT19" s="2">
        <v>735</v>
      </c>
      <c r="DU19" s="2">
        <v>748</v>
      </c>
    </row>
    <row r="20" spans="1:125" ht="13.5" customHeight="1" x14ac:dyDescent="0.2">
      <c r="A20" s="8"/>
      <c r="C20" s="3" t="s">
        <v>57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9"/>
      <c r="BN20" s="20" t="s">
        <v>56</v>
      </c>
      <c r="BY20" s="2">
        <f>SUM(BY11:BY19)</f>
        <v>11292</v>
      </c>
      <c r="BZ20" s="2">
        <f>SUM(BZ11:BZ19)</f>
        <v>10995</v>
      </c>
      <c r="CA20" s="2">
        <f>SUM(CA11:CA19)</f>
        <v>10312</v>
      </c>
      <c r="CB20" s="2">
        <f>SUM(CB11:CB19)</f>
        <v>10824</v>
      </c>
      <c r="CG20" s="2">
        <f>SUM(CG11:CG19)</f>
        <v>11464</v>
      </c>
      <c r="CH20" s="2">
        <f>SUM(CH11:CH19)</f>
        <v>11629</v>
      </c>
      <c r="CI20" s="2">
        <f t="shared" ref="CI20:DJ20" si="67">SUM(CI11:CI19)</f>
        <v>11583</v>
      </c>
      <c r="CJ20" s="2">
        <f t="shared" si="67"/>
        <v>11680</v>
      </c>
      <c r="CK20" s="2">
        <f t="shared" si="67"/>
        <v>11628</v>
      </c>
      <c r="CL20" s="2">
        <f t="shared" si="67"/>
        <v>10592</v>
      </c>
      <c r="CM20" s="2">
        <f t="shared" si="67"/>
        <v>10379</v>
      </c>
      <c r="CN20" s="2">
        <f t="shared" si="67"/>
        <v>10210</v>
      </c>
      <c r="CO20" s="2">
        <f t="shared" si="67"/>
        <v>9671</v>
      </c>
      <c r="CP20" s="2">
        <f t="shared" si="67"/>
        <v>9190</v>
      </c>
      <c r="CQ20" s="2">
        <f t="shared" si="67"/>
        <v>9322</v>
      </c>
      <c r="CR20" s="2">
        <f t="shared" si="67"/>
        <v>9552</v>
      </c>
      <c r="CS20" s="2">
        <f t="shared" si="67"/>
        <v>9669</v>
      </c>
      <c r="CT20" s="2">
        <f t="shared" si="67"/>
        <v>9555</v>
      </c>
      <c r="CU20" s="2">
        <f t="shared" si="67"/>
        <v>9980</v>
      </c>
      <c r="CV20" s="2">
        <f t="shared" si="67"/>
        <v>10834</v>
      </c>
      <c r="CW20" s="2">
        <f t="shared" si="67"/>
        <v>12029</v>
      </c>
      <c r="CX20" s="2">
        <f t="shared" si="67"/>
        <v>12317</v>
      </c>
      <c r="CY20" s="2">
        <f t="shared" si="67"/>
        <v>13156</v>
      </c>
      <c r="CZ20" s="2">
        <f t="shared" si="67"/>
        <v>13213</v>
      </c>
      <c r="DA20" s="2">
        <f t="shared" si="67"/>
        <v>12983</v>
      </c>
      <c r="DB20" s="2">
        <f t="shared" si="67"/>
        <v>12917</v>
      </c>
      <c r="DC20" s="2">
        <f t="shared" si="67"/>
        <v>12718</v>
      </c>
      <c r="DD20" s="2">
        <f t="shared" si="67"/>
        <v>12479</v>
      </c>
      <c r="DE20" s="2">
        <f t="shared" si="67"/>
        <v>12717</v>
      </c>
      <c r="DF20" s="2">
        <f t="shared" si="67"/>
        <v>13348</v>
      </c>
      <c r="DG20" s="2">
        <f t="shared" si="67"/>
        <v>13752</v>
      </c>
      <c r="DH20" s="2">
        <f t="shared" si="67"/>
        <v>14247</v>
      </c>
      <c r="DI20" s="2">
        <f t="shared" si="67"/>
        <v>14922</v>
      </c>
      <c r="DJ20" s="2">
        <f t="shared" si="67"/>
        <v>14836</v>
      </c>
      <c r="DK20" s="2">
        <f t="shared" ref="DK20:DL20" si="68">SUM(DK11:DK19)</f>
        <v>15343</v>
      </c>
      <c r="DL20" s="2">
        <f t="shared" si="68"/>
        <v>15986</v>
      </c>
      <c r="DM20" s="2">
        <f t="shared" ref="DM20" si="69">SUM(DM11:DM19)</f>
        <v>16239</v>
      </c>
      <c r="DN20" s="2">
        <f t="shared" ref="DN20:DO20" si="70">SUM(DN11:DN19)</f>
        <v>15775</v>
      </c>
      <c r="DO20" s="2">
        <f t="shared" si="70"/>
        <v>15803</v>
      </c>
      <c r="DP20" s="2">
        <f t="shared" ref="DP20" si="71">SUM(DP11:DP19)</f>
        <v>15774</v>
      </c>
      <c r="DQ20" s="2">
        <f>SUM(DQ11:DQ19)</f>
        <v>15736</v>
      </c>
      <c r="DR20" s="2">
        <f>SUM(DR11:DR19)</f>
        <v>15726</v>
      </c>
      <c r="DS20" s="2">
        <f>SUM(DS11:DS19)</f>
        <v>15416</v>
      </c>
      <c r="DT20" s="2">
        <f>SUM(DT11:DT19)</f>
        <v>14944</v>
      </c>
      <c r="DU20" s="2">
        <f>SUM(DU11:DU19)</f>
        <v>14284</v>
      </c>
    </row>
    <row r="21" spans="1:125" ht="13.5" customHeight="1" x14ac:dyDescent="0.2">
      <c r="A21" s="8"/>
      <c r="D21" s="2" t="s">
        <v>70</v>
      </c>
      <c r="E21" s="14">
        <f t="shared" ref="E21:E22" si="72">BO21/BO$23</f>
        <v>0.61513116208338614</v>
      </c>
      <c r="F21" s="14">
        <f t="shared" ref="F21:F22" si="73">BP21/BP$23</f>
        <v>0.60216203373722976</v>
      </c>
      <c r="G21" s="14">
        <f t="shared" ref="G21:G22" si="74">BQ21/BQ$23</f>
        <v>0.59902254803954236</v>
      </c>
      <c r="H21" s="14">
        <f t="shared" ref="H21:H22" si="75">BR21/BR$23</f>
        <v>0.60285300806284892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>
        <f t="shared" ref="W21:Y22" si="76">CG21/CG$23</f>
        <v>0.47487787857641311</v>
      </c>
      <c r="X21" s="14">
        <f t="shared" si="76"/>
        <v>0.45945481124774273</v>
      </c>
      <c r="Y21" s="14">
        <f t="shared" si="76"/>
        <v>0.45497712164378828</v>
      </c>
      <c r="Z21" s="14">
        <f t="shared" ref="Z21:Z22" si="77">CJ21/CJ$23</f>
        <v>0.44083904109589039</v>
      </c>
      <c r="AA21" s="14">
        <f t="shared" ref="AA21:AA22" si="78">CK21/CK$23</f>
        <v>0.44255245958032335</v>
      </c>
      <c r="AB21" s="14">
        <f t="shared" ref="AB21:AB22" si="79">CL21/CL$23</f>
        <v>0.44319362660200901</v>
      </c>
      <c r="AC21" s="14">
        <f t="shared" ref="AC21:AC22" si="80">CM21/CM$23</f>
        <v>0.43163871883595067</v>
      </c>
      <c r="AD21" s="14">
        <f t="shared" ref="AD21:AD22" si="81">CN21/CN$23</f>
        <v>0.43812169549242763</v>
      </c>
      <c r="AE21" s="14">
        <f t="shared" ref="AE21:AE22" si="82">CO21/CO$23</f>
        <v>0.44131947754790735</v>
      </c>
      <c r="AF21" s="14">
        <f t="shared" ref="AF21:AF22" si="83">CP21/CP$23</f>
        <v>0.45100426049908704</v>
      </c>
      <c r="AG21" s="14">
        <f t="shared" ref="AG21:AG22" si="84">CQ21/CQ$23</f>
        <v>0.44860469785183699</v>
      </c>
      <c r="AH21" s="14">
        <f t="shared" ref="AH21:AH22" si="85">CR21/CR$23</f>
        <v>0.44176706827309237</v>
      </c>
      <c r="AI21" s="14">
        <f t="shared" ref="AI21:AI22" si="86">CS21/CS$23</f>
        <v>0.43620120411730434</v>
      </c>
      <c r="AJ21" s="14">
        <f t="shared" ref="AJ21:AJ22" si="87">CT21/CT$23</f>
        <v>0.43249712753734204</v>
      </c>
      <c r="AK21" s="14">
        <f t="shared" ref="AK21:AK22" si="88">CU21/CU$23</f>
        <v>0.42648444863336477</v>
      </c>
      <c r="AL21" s="14">
        <f t="shared" ref="AL21:AL22" si="89">CV21/CV$23</f>
        <v>0.42021184233373848</v>
      </c>
      <c r="AM21" s="14">
        <f t="shared" ref="AM21:AM22" si="90">CW21/CW$23</f>
        <v>0.42187746101748308</v>
      </c>
      <c r="AN21" s="14">
        <f t="shared" ref="AN21:AN22" si="91">CX21/CX$23</f>
        <v>0.41869072403423546</v>
      </c>
      <c r="AO21" s="14">
        <f t="shared" ref="AO21:AO22" si="92">CY21/CY$23</f>
        <v>0.40854405302211655</v>
      </c>
      <c r="AP21" s="14">
        <f t="shared" ref="AP21:AP22" si="93">CZ21/CZ$23</f>
        <v>0.40341628005061153</v>
      </c>
      <c r="AQ21" s="14">
        <f t="shared" ref="AQ21:AQ22" si="94">DA21/DA$23</f>
        <v>0.40930134680134678</v>
      </c>
      <c r="AR21" s="14">
        <f t="shared" ref="AR21:AR22" si="95">DB21/DB$23</f>
        <v>0.41523410202655486</v>
      </c>
      <c r="AS21" s="14">
        <f t="shared" ref="AS21:AS22" si="96">DC21/DC$23</f>
        <v>0.42060085836909872</v>
      </c>
      <c r="AT21" s="14">
        <f t="shared" ref="AT21:AT22" si="97">DD21/DD$23</f>
        <v>0.41857083506439552</v>
      </c>
      <c r="AU21" s="14">
        <f t="shared" ref="AU21:AY22" si="98">DE21/DE$23</f>
        <v>0.42911401146329675</v>
      </c>
      <c r="AV21" s="14">
        <f t="shared" si="98"/>
        <v>0.43023177241705518</v>
      </c>
      <c r="AW21" s="14">
        <f t="shared" si="98"/>
        <v>0.42905826069860409</v>
      </c>
      <c r="AX21" s="14">
        <f t="shared" si="98"/>
        <v>0.43003942351192398</v>
      </c>
      <c r="AY21" s="14">
        <f t="shared" si="98"/>
        <v>0.42482801751094434</v>
      </c>
      <c r="AZ21" s="14">
        <f t="shared" ref="AZ21:BK22" si="99">DJ21/DJ$23</f>
        <v>0.4351062476142003</v>
      </c>
      <c r="BA21" s="14">
        <f t="shared" si="99"/>
        <v>0.44562120649077169</v>
      </c>
      <c r="BB21" s="14">
        <f t="shared" si="99"/>
        <v>0.44644890620317651</v>
      </c>
      <c r="BC21" s="14">
        <f t="shared" si="99"/>
        <v>0.44065895134624467</v>
      </c>
      <c r="BD21" s="14">
        <f t="shared" si="99"/>
        <v>0.43458343513315417</v>
      </c>
      <c r="BE21" s="14">
        <f t="shared" si="99"/>
        <v>0.4285801526717557</v>
      </c>
      <c r="BF21" s="14">
        <f t="shared" si="99"/>
        <v>0.42055162313888211</v>
      </c>
      <c r="BG21" s="14">
        <f t="shared" si="99"/>
        <v>0.41617637951322228</v>
      </c>
      <c r="BH21" s="14">
        <f t="shared" si="99"/>
        <v>0.41973379991251641</v>
      </c>
      <c r="BI21" s="14">
        <f t="shared" si="99"/>
        <v>0.42437750748264663</v>
      </c>
      <c r="BJ21" s="14">
        <f t="shared" si="99"/>
        <v>0.42082869673365192</v>
      </c>
      <c r="BK21" s="14">
        <f t="shared" si="99"/>
        <v>0.41929133858267714</v>
      </c>
      <c r="BL21" s="9"/>
      <c r="BN21" s="2" t="s">
        <v>70</v>
      </c>
      <c r="BO21" s="2">
        <v>4854</v>
      </c>
      <c r="BP21" s="2">
        <v>5069</v>
      </c>
      <c r="BQ21" s="2">
        <v>5393</v>
      </c>
      <c r="BR21" s="2">
        <v>5832</v>
      </c>
      <c r="CG21" s="2">
        <v>5444</v>
      </c>
      <c r="CH21" s="2">
        <v>5343</v>
      </c>
      <c r="CI21" s="2">
        <v>5270</v>
      </c>
      <c r="CJ21" s="2">
        <v>5149</v>
      </c>
      <c r="CK21" s="2">
        <v>5146</v>
      </c>
      <c r="CL21" s="2">
        <v>5118</v>
      </c>
      <c r="CM21" s="2">
        <v>4865</v>
      </c>
      <c r="CN21" s="2">
        <v>4889</v>
      </c>
      <c r="CO21" s="2">
        <v>4629</v>
      </c>
      <c r="CP21" s="2">
        <v>4446</v>
      </c>
      <c r="CQ21" s="2">
        <v>4469</v>
      </c>
      <c r="CR21" s="2">
        <v>4510</v>
      </c>
      <c r="CS21" s="2">
        <v>4492</v>
      </c>
      <c r="CT21" s="2">
        <v>4517</v>
      </c>
      <c r="CU21" s="2">
        <v>4525</v>
      </c>
      <c r="CV21" s="2">
        <v>4840</v>
      </c>
      <c r="CW21" s="2">
        <v>5357</v>
      </c>
      <c r="CX21" s="2">
        <v>5430</v>
      </c>
      <c r="CY21" s="2">
        <v>5671</v>
      </c>
      <c r="CZ21" s="2">
        <v>5739</v>
      </c>
      <c r="DA21" s="2">
        <v>5835</v>
      </c>
      <c r="DB21" s="2">
        <v>5942</v>
      </c>
      <c r="DC21" s="2">
        <v>5978</v>
      </c>
      <c r="DD21" s="2">
        <v>6045</v>
      </c>
      <c r="DE21" s="2">
        <v>6214</v>
      </c>
      <c r="DF21" s="2">
        <v>6367</v>
      </c>
      <c r="DG21" s="2">
        <v>6547</v>
      </c>
      <c r="DH21" s="2">
        <v>6654</v>
      </c>
      <c r="DI21" s="2">
        <v>6793</v>
      </c>
      <c r="DJ21" s="2">
        <v>6839</v>
      </c>
      <c r="DK21" s="2">
        <v>7195</v>
      </c>
      <c r="DL21" s="2">
        <v>7449</v>
      </c>
      <c r="DM21" s="2">
        <v>7463</v>
      </c>
      <c r="DN21" s="2">
        <v>7115</v>
      </c>
      <c r="DO21" s="2">
        <v>7018</v>
      </c>
      <c r="DP21" s="2">
        <v>6892</v>
      </c>
      <c r="DQ21" s="2">
        <v>6720</v>
      </c>
      <c r="DR21" s="2">
        <v>6717</v>
      </c>
      <c r="DS21" s="2">
        <v>6664</v>
      </c>
      <c r="DT21" s="2">
        <v>6429</v>
      </c>
      <c r="DU21" s="2">
        <v>6177</v>
      </c>
    </row>
    <row r="22" spans="1:125" ht="13.5" customHeight="1" x14ac:dyDescent="0.2">
      <c r="A22" s="8"/>
      <c r="D22" s="2" t="s">
        <v>69</v>
      </c>
      <c r="E22" s="14">
        <f t="shared" si="72"/>
        <v>0.38486883791661386</v>
      </c>
      <c r="F22" s="14">
        <f t="shared" si="73"/>
        <v>0.39783796626277024</v>
      </c>
      <c r="G22" s="14">
        <f t="shared" si="74"/>
        <v>0.40097745196045764</v>
      </c>
      <c r="H22" s="14">
        <f t="shared" si="75"/>
        <v>0.39714699193715114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>
        <f t="shared" si="76"/>
        <v>0.52512212142358683</v>
      </c>
      <c r="X22" s="14">
        <f t="shared" si="76"/>
        <v>0.54054518875225732</v>
      </c>
      <c r="Y22" s="14">
        <f t="shared" si="76"/>
        <v>0.54502287835621166</v>
      </c>
      <c r="Z22" s="14">
        <f t="shared" si="77"/>
        <v>0.55916095890410955</v>
      </c>
      <c r="AA22" s="14">
        <f t="shared" si="78"/>
        <v>0.55744754041967659</v>
      </c>
      <c r="AB22" s="14">
        <f t="shared" si="79"/>
        <v>0.55680637339799099</v>
      </c>
      <c r="AC22" s="14">
        <f t="shared" si="80"/>
        <v>0.56836128116404938</v>
      </c>
      <c r="AD22" s="14">
        <f t="shared" si="81"/>
        <v>0.56187830450757237</v>
      </c>
      <c r="AE22" s="14">
        <f t="shared" si="82"/>
        <v>0.55868052245209265</v>
      </c>
      <c r="AF22" s="14">
        <f t="shared" si="83"/>
        <v>0.54899573950091296</v>
      </c>
      <c r="AG22" s="14">
        <f t="shared" si="84"/>
        <v>0.55139530214816301</v>
      </c>
      <c r="AH22" s="14">
        <f t="shared" si="85"/>
        <v>0.55823293172690758</v>
      </c>
      <c r="AI22" s="14">
        <f t="shared" si="86"/>
        <v>0.56379879588269566</v>
      </c>
      <c r="AJ22" s="14">
        <f t="shared" si="87"/>
        <v>0.56750287246265796</v>
      </c>
      <c r="AK22" s="14">
        <f t="shared" si="88"/>
        <v>0.57351555136663523</v>
      </c>
      <c r="AL22" s="14">
        <f t="shared" si="89"/>
        <v>0.57978815766626146</v>
      </c>
      <c r="AM22" s="14">
        <f t="shared" si="90"/>
        <v>0.57812253898251698</v>
      </c>
      <c r="AN22" s="14">
        <f t="shared" si="91"/>
        <v>0.58130927596576454</v>
      </c>
      <c r="AO22" s="14">
        <f t="shared" si="92"/>
        <v>0.5914559469778834</v>
      </c>
      <c r="AP22" s="14">
        <f t="shared" si="93"/>
        <v>0.59658371994938841</v>
      </c>
      <c r="AQ22" s="14">
        <f t="shared" si="94"/>
        <v>0.59069865319865322</v>
      </c>
      <c r="AR22" s="14">
        <f t="shared" si="95"/>
        <v>0.58476589797344514</v>
      </c>
      <c r="AS22" s="14">
        <f t="shared" si="96"/>
        <v>0.57939914163090134</v>
      </c>
      <c r="AT22" s="14">
        <f t="shared" si="97"/>
        <v>0.58142916493560448</v>
      </c>
      <c r="AU22" s="14">
        <f t="shared" si="98"/>
        <v>0.57088598853670325</v>
      </c>
      <c r="AV22" s="14">
        <f t="shared" si="98"/>
        <v>0.56976822758294476</v>
      </c>
      <c r="AW22" s="14">
        <f t="shared" si="98"/>
        <v>0.57094173930139591</v>
      </c>
      <c r="AX22" s="14">
        <f t="shared" si="98"/>
        <v>0.56996057648807597</v>
      </c>
      <c r="AY22" s="14">
        <f t="shared" si="98"/>
        <v>0.57517198248905566</v>
      </c>
      <c r="AZ22" s="14">
        <f t="shared" si="99"/>
        <v>0.56489375238579975</v>
      </c>
      <c r="BA22" s="14">
        <f t="shared" si="99"/>
        <v>0.55437879350922825</v>
      </c>
      <c r="BB22" s="14">
        <f t="shared" si="99"/>
        <v>0.55355109379682355</v>
      </c>
      <c r="BC22" s="14">
        <f t="shared" si="99"/>
        <v>0.55934104865375533</v>
      </c>
      <c r="BD22" s="14">
        <f t="shared" si="99"/>
        <v>0.56541656486684588</v>
      </c>
      <c r="BE22" s="14">
        <f t="shared" si="99"/>
        <v>0.57141984732824425</v>
      </c>
      <c r="BF22" s="14">
        <f t="shared" si="99"/>
        <v>0.57944837686111794</v>
      </c>
      <c r="BG22" s="14">
        <f t="shared" si="99"/>
        <v>0.58382362048677772</v>
      </c>
      <c r="BH22" s="14">
        <f t="shared" si="99"/>
        <v>0.58026620008748364</v>
      </c>
      <c r="BI22" s="14">
        <f t="shared" si="99"/>
        <v>0.57562249251735342</v>
      </c>
      <c r="BJ22" s="14">
        <f t="shared" si="99"/>
        <v>0.57917130326634814</v>
      </c>
      <c r="BK22" s="14">
        <f t="shared" si="99"/>
        <v>0.5807086614173228</v>
      </c>
      <c r="BL22" s="9"/>
      <c r="BN22" s="2" t="s">
        <v>69</v>
      </c>
      <c r="BO22" s="2">
        <v>3037</v>
      </c>
      <c r="BP22" s="2">
        <v>3349</v>
      </c>
      <c r="BQ22" s="2">
        <v>3610</v>
      </c>
      <c r="BR22" s="2">
        <v>3842</v>
      </c>
      <c r="CG22" s="2">
        <v>6020</v>
      </c>
      <c r="CH22" s="2">
        <v>6286</v>
      </c>
      <c r="CI22" s="2">
        <v>6313</v>
      </c>
      <c r="CJ22" s="2">
        <v>6531</v>
      </c>
      <c r="CK22" s="2">
        <v>6482</v>
      </c>
      <c r="CL22" s="2">
        <v>6430</v>
      </c>
      <c r="CM22" s="2">
        <v>6406</v>
      </c>
      <c r="CN22" s="2">
        <v>6270</v>
      </c>
      <c r="CO22" s="2">
        <v>5860</v>
      </c>
      <c r="CP22" s="2">
        <v>5412</v>
      </c>
      <c r="CQ22" s="2">
        <v>5493</v>
      </c>
      <c r="CR22" s="2">
        <v>5699</v>
      </c>
      <c r="CS22" s="2">
        <v>5806</v>
      </c>
      <c r="CT22" s="2">
        <v>5927</v>
      </c>
      <c r="CU22" s="2">
        <v>6085</v>
      </c>
      <c r="CV22" s="2">
        <v>6678</v>
      </c>
      <c r="CW22" s="2">
        <v>7341</v>
      </c>
      <c r="CX22" s="2">
        <v>7539</v>
      </c>
      <c r="CY22" s="2">
        <v>8210</v>
      </c>
      <c r="CZ22" s="2">
        <v>8487</v>
      </c>
      <c r="DA22" s="2">
        <v>8421</v>
      </c>
      <c r="DB22" s="2">
        <v>8368</v>
      </c>
      <c r="DC22" s="2">
        <v>8235</v>
      </c>
      <c r="DD22" s="2">
        <v>8397</v>
      </c>
      <c r="DE22" s="2">
        <v>8267</v>
      </c>
      <c r="DF22" s="2">
        <v>8432</v>
      </c>
      <c r="DG22" s="2">
        <v>8712</v>
      </c>
      <c r="DH22" s="2">
        <v>8819</v>
      </c>
      <c r="DI22" s="2">
        <v>9197</v>
      </c>
      <c r="DJ22" s="2">
        <v>8879</v>
      </c>
      <c r="DK22" s="2">
        <v>8951</v>
      </c>
      <c r="DL22" s="2">
        <v>9236</v>
      </c>
      <c r="DM22" s="2">
        <v>9473</v>
      </c>
      <c r="DN22" s="2">
        <v>9257</v>
      </c>
      <c r="DO22" s="2">
        <v>9357</v>
      </c>
      <c r="DP22" s="2">
        <v>9496</v>
      </c>
      <c r="DQ22" s="2">
        <v>9427</v>
      </c>
      <c r="DR22" s="2">
        <v>9286</v>
      </c>
      <c r="DS22" s="2">
        <v>9039</v>
      </c>
      <c r="DT22" s="2">
        <v>8848</v>
      </c>
      <c r="DU22" s="2">
        <v>8555</v>
      </c>
    </row>
    <row r="23" spans="1:125" ht="13.5" customHeight="1" x14ac:dyDescent="0.2">
      <c r="A23" s="8"/>
      <c r="C23" s="3" t="s">
        <v>58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9"/>
      <c r="BN23" s="20" t="s">
        <v>56</v>
      </c>
      <c r="BO23" s="2">
        <f t="shared" ref="BO23:BR23" si="100">SUM(BO21:BO22)</f>
        <v>7891</v>
      </c>
      <c r="BP23" s="2">
        <f t="shared" si="100"/>
        <v>8418</v>
      </c>
      <c r="BQ23" s="2">
        <f t="shared" si="100"/>
        <v>9003</v>
      </c>
      <c r="BR23" s="2">
        <f t="shared" si="100"/>
        <v>9674</v>
      </c>
      <c r="CG23" s="2">
        <f t="shared" ref="CG23:CR23" si="101">SUM(CG21:CG22)</f>
        <v>11464</v>
      </c>
      <c r="CH23" s="2">
        <f t="shared" si="101"/>
        <v>11629</v>
      </c>
      <c r="CI23" s="2">
        <f t="shared" si="101"/>
        <v>11583</v>
      </c>
      <c r="CJ23" s="2">
        <f t="shared" si="101"/>
        <v>11680</v>
      </c>
      <c r="CK23" s="2">
        <f t="shared" si="101"/>
        <v>11628</v>
      </c>
      <c r="CL23" s="2">
        <f t="shared" si="101"/>
        <v>11548</v>
      </c>
      <c r="CM23" s="2">
        <f t="shared" si="101"/>
        <v>11271</v>
      </c>
      <c r="CN23" s="2">
        <f t="shared" si="101"/>
        <v>11159</v>
      </c>
      <c r="CO23" s="2">
        <f t="shared" si="101"/>
        <v>10489</v>
      </c>
      <c r="CP23" s="2">
        <f t="shared" si="101"/>
        <v>9858</v>
      </c>
      <c r="CQ23" s="2">
        <f t="shared" si="101"/>
        <v>9962</v>
      </c>
      <c r="CR23" s="2">
        <f t="shared" si="101"/>
        <v>10209</v>
      </c>
      <c r="CS23" s="2">
        <f t="shared" ref="CS23:DI23" si="102">SUM(CS21:CS22)</f>
        <v>10298</v>
      </c>
      <c r="CT23" s="2">
        <f t="shared" si="102"/>
        <v>10444</v>
      </c>
      <c r="CU23" s="2">
        <f t="shared" si="102"/>
        <v>10610</v>
      </c>
      <c r="CV23" s="2">
        <f t="shared" si="102"/>
        <v>11518</v>
      </c>
      <c r="CW23" s="2">
        <f t="shared" si="102"/>
        <v>12698</v>
      </c>
      <c r="CX23" s="2">
        <f t="shared" si="102"/>
        <v>12969</v>
      </c>
      <c r="CY23" s="2">
        <f t="shared" si="102"/>
        <v>13881</v>
      </c>
      <c r="CZ23" s="2">
        <f t="shared" si="102"/>
        <v>14226</v>
      </c>
      <c r="DA23" s="2">
        <f t="shared" si="102"/>
        <v>14256</v>
      </c>
      <c r="DB23" s="2">
        <f t="shared" si="102"/>
        <v>14310</v>
      </c>
      <c r="DC23" s="2">
        <f t="shared" si="102"/>
        <v>14213</v>
      </c>
      <c r="DD23" s="2">
        <f t="shared" si="102"/>
        <v>14442</v>
      </c>
      <c r="DE23" s="2">
        <f t="shared" si="102"/>
        <v>14481</v>
      </c>
      <c r="DF23" s="2">
        <f t="shared" si="102"/>
        <v>14799</v>
      </c>
      <c r="DG23" s="2">
        <f t="shared" si="102"/>
        <v>15259</v>
      </c>
      <c r="DH23" s="2">
        <f t="shared" si="102"/>
        <v>15473</v>
      </c>
      <c r="DI23" s="2">
        <f t="shared" si="102"/>
        <v>15990</v>
      </c>
      <c r="DJ23" s="2">
        <f t="shared" ref="DJ23:DO23" si="103">SUM(DJ21:DJ22)</f>
        <v>15718</v>
      </c>
      <c r="DK23" s="2">
        <f t="shared" si="103"/>
        <v>16146</v>
      </c>
      <c r="DL23" s="2">
        <f t="shared" si="103"/>
        <v>16685</v>
      </c>
      <c r="DM23" s="2">
        <f t="shared" si="103"/>
        <v>16936</v>
      </c>
      <c r="DN23" s="2">
        <f t="shared" si="103"/>
        <v>16372</v>
      </c>
      <c r="DO23" s="2">
        <f t="shared" si="103"/>
        <v>16375</v>
      </c>
      <c r="DP23" s="2">
        <f t="shared" ref="DP23:DQ23" si="104">SUM(DP21:DP22)</f>
        <v>16388</v>
      </c>
      <c r="DQ23" s="2">
        <f t="shared" si="104"/>
        <v>16147</v>
      </c>
      <c r="DR23" s="2">
        <f t="shared" ref="DR23:DS23" si="105">SUM(DR21:DR22)</f>
        <v>16003</v>
      </c>
      <c r="DS23" s="2">
        <f t="shared" si="105"/>
        <v>15703</v>
      </c>
      <c r="DT23" s="2">
        <f t="shared" ref="DT23:DU23" si="106">SUM(DT21:DT22)</f>
        <v>15277</v>
      </c>
      <c r="DU23" s="2">
        <f t="shared" si="106"/>
        <v>14732</v>
      </c>
    </row>
    <row r="24" spans="1:125" ht="13.5" customHeight="1" x14ac:dyDescent="0.2">
      <c r="A24" s="8"/>
      <c r="D24" s="2" t="s">
        <v>80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>
        <f t="shared" ref="Y24:AH25" si="107">CI24/CI$26</f>
        <v>0.62382357072622563</v>
      </c>
      <c r="Z24" s="14">
        <f t="shared" si="107"/>
        <v>0.61382751247327161</v>
      </c>
      <c r="AA24" s="14">
        <f t="shared" si="107"/>
        <v>0.62668210099840838</v>
      </c>
      <c r="AB24" s="14">
        <f t="shared" si="107"/>
        <v>0.61037214168285758</v>
      </c>
      <c r="AC24" s="14">
        <f t="shared" si="107"/>
        <v>0.61188057863958145</v>
      </c>
      <c r="AD24" s="14">
        <f t="shared" si="107"/>
        <v>0.62071176659185634</v>
      </c>
      <c r="AE24" s="14">
        <f t="shared" si="107"/>
        <v>0.6331308077197999</v>
      </c>
      <c r="AF24" s="14">
        <f t="shared" si="107"/>
        <v>0.6468622354251764</v>
      </c>
      <c r="AG24" s="14">
        <f t="shared" si="107"/>
        <v>0.63404977375565608</v>
      </c>
      <c r="AH24" s="14">
        <f t="shared" si="107"/>
        <v>0.6226519337016575</v>
      </c>
      <c r="AI24" s="14">
        <f t="shared" ref="AI24:AR25" si="108">CS24/CS$26</f>
        <v>0.64180167349118744</v>
      </c>
      <c r="AJ24" s="14">
        <f t="shared" si="108"/>
        <v>0.6382797892231854</v>
      </c>
      <c r="AK24" s="14">
        <f t="shared" si="108"/>
        <v>0.66112300345792852</v>
      </c>
      <c r="AL24" s="14">
        <f t="shared" si="108"/>
        <v>0.70029455081001468</v>
      </c>
      <c r="AM24" s="14">
        <f t="shared" si="108"/>
        <v>0.75132863675689032</v>
      </c>
      <c r="AN24" s="14">
        <f t="shared" si="108"/>
        <v>0.7568746214415506</v>
      </c>
      <c r="AO24" s="14">
        <f t="shared" si="108"/>
        <v>0.75124603534209333</v>
      </c>
      <c r="AP24" s="14">
        <f t="shared" si="108"/>
        <v>0.7598774214731312</v>
      </c>
      <c r="AQ24" s="14">
        <f t="shared" si="108"/>
        <v>0.76791227509847759</v>
      </c>
      <c r="AR24" s="14">
        <f t="shared" si="108"/>
        <v>0.80160151722684647</v>
      </c>
      <c r="AS24" s="14">
        <f t="shared" ref="AS24:BK25" si="109">DC24/DC$26</f>
        <v>0.76521368432271131</v>
      </c>
      <c r="AT24" s="14">
        <f t="shared" si="109"/>
        <v>0.77327756988773932</v>
      </c>
      <c r="AU24" s="14">
        <f t="shared" si="109"/>
        <v>0.76534803285776043</v>
      </c>
      <c r="AV24" s="14">
        <f t="shared" si="109"/>
        <v>0.74650890097004585</v>
      </c>
      <c r="AW24" s="14">
        <f t="shared" si="109"/>
        <v>0.73888324873096445</v>
      </c>
      <c r="AX24" s="14">
        <f t="shared" si="109"/>
        <v>0.74333135743924128</v>
      </c>
      <c r="AY24" s="14">
        <f t="shared" si="109"/>
        <v>0.74719683407142179</v>
      </c>
      <c r="AZ24" s="14">
        <f t="shared" si="109"/>
        <v>0.75007333528894105</v>
      </c>
      <c r="BA24" s="14">
        <f t="shared" si="109"/>
        <v>0.76762651870276477</v>
      </c>
      <c r="BB24" s="14">
        <f t="shared" si="109"/>
        <v>0.80227697233834383</v>
      </c>
      <c r="BC24" s="14">
        <f t="shared" si="109"/>
        <v>0.82971633629528363</v>
      </c>
      <c r="BD24" s="14">
        <f t="shared" si="109"/>
        <v>0.8456735842419979</v>
      </c>
      <c r="BE24" s="14">
        <f t="shared" si="109"/>
        <v>0.85290219984097537</v>
      </c>
      <c r="BF24" s="14">
        <f t="shared" si="109"/>
        <v>0.86691443235111942</v>
      </c>
      <c r="BG24" s="14">
        <f t="shared" si="109"/>
        <v>0.86741634170671988</v>
      </c>
      <c r="BH24" s="14">
        <f t="shared" si="109"/>
        <v>0.87707982800523465</v>
      </c>
      <c r="BI24" s="14">
        <f t="shared" si="109"/>
        <v>0.88928185479909616</v>
      </c>
      <c r="BJ24" s="14">
        <f t="shared" si="109"/>
        <v>0.89664006306040001</v>
      </c>
      <c r="BK24" s="14">
        <f t="shared" si="109"/>
        <v>0.89179618335628563</v>
      </c>
      <c r="BL24" s="9"/>
      <c r="BN24" s="2" t="s">
        <v>80</v>
      </c>
      <c r="CI24" s="2">
        <f>23+550+513+421+31+674+631+381+1+4+2+1+4+2+1+1+46+101+294+8+56+128+314+91+6+3+8+124+2+3+17</f>
        <v>4441</v>
      </c>
      <c r="CJ24" s="2">
        <f>16+491+567+379+38+641+703+347+1+7+43+74+253+7+59+136+274+84+10+1+3+158+2+2+10</f>
        <v>4306</v>
      </c>
      <c r="CK24" s="2">
        <f>15+539+456+432+26+648+711+380+3+2+43+96+233+2+58+119+284+101+6+3+5+153+6+3+7</f>
        <v>4331</v>
      </c>
      <c r="CL24" s="2">
        <v>4084</v>
      </c>
      <c r="CM24" s="2">
        <f>17+516+471+336+26+632+633+405+46+33+88+229+73+54+145+272</f>
        <v>3976</v>
      </c>
      <c r="CN24" s="2">
        <f>25+418+525+354+25+555+629+412+2+2+28+42+92+116+199+208+1+1+1+76+90+8+6+5+6+22+24</f>
        <v>3872</v>
      </c>
      <c r="CO24" s="2">
        <f>20+28+376+469+470+627+408+438+3+1+27+45+77+103+223+228</f>
        <v>3543</v>
      </c>
      <c r="CP24" s="2">
        <f>17+22+395+482+399+540+1+424+404+3+4+45+84+27+27+7+5+51+85+4+3+219+216+12+8</f>
        <v>3484</v>
      </c>
      <c r="CQ24" s="2">
        <f>20+28+391+514+371+474+431+395+2+1+0+44+68+18+29+3+1+62+74+2+2+202+221+6+4</f>
        <v>3363</v>
      </c>
      <c r="CR24" s="2">
        <f>21+22+408+568+411+515+382+398+26+18+27+39+53+90+187+216</f>
        <v>3381</v>
      </c>
      <c r="CS24" s="2">
        <f>15+25+444+606+403+550+334+396+56+112+37+41+76+95+204+211</f>
        <v>3605</v>
      </c>
      <c r="CT24" s="2">
        <f>15+22+435+582+427+577+370+439+95+157+41+46+50+117+188+194</f>
        <v>3755</v>
      </c>
      <c r="CU24" s="2">
        <f>27+19+488+610+395+615+359+437+132+232+47+70+80+104+181+219</f>
        <v>4015</v>
      </c>
      <c r="CV24" s="2">
        <f>24+19+482+653+426+660+363+457+306+540+112+139+72+104+191+207</f>
        <v>4755</v>
      </c>
      <c r="CW24" s="2">
        <f>22+29+486+708+463+642+348+481+773+1178+182+230+72+94+177+194</f>
        <v>6079</v>
      </c>
      <c r="CX24" s="2">
        <v>6248</v>
      </c>
      <c r="CY24" s="2">
        <v>6632</v>
      </c>
      <c r="CZ24" s="2">
        <v>6943</v>
      </c>
      <c r="DA24" s="2">
        <v>7213</v>
      </c>
      <c r="DB24" s="2">
        <v>7608</v>
      </c>
      <c r="DC24" s="2">
        <v>7180</v>
      </c>
      <c r="DD24" s="2">
        <v>7026</v>
      </c>
      <c r="DE24" s="2">
        <v>7081</v>
      </c>
      <c r="DF24" s="2">
        <v>7003</v>
      </c>
      <c r="DG24" s="2">
        <v>7278</v>
      </c>
      <c r="DH24" s="2">
        <v>7524</v>
      </c>
      <c r="DI24" s="2">
        <v>7930</v>
      </c>
      <c r="DJ24" s="2">
        <v>7671</v>
      </c>
      <c r="DK24" s="2">
        <v>8024</v>
      </c>
      <c r="DL24" s="2">
        <v>9020</v>
      </c>
      <c r="DM24" s="2">
        <f>25+47+716+1217+886+1269+645+759+1216+1872+219+214+100+120+184+222</f>
        <v>9711</v>
      </c>
      <c r="DN24" s="2">
        <v>9617</v>
      </c>
      <c r="DO24" s="2">
        <v>9654</v>
      </c>
      <c r="DP24" s="2">
        <v>9797</v>
      </c>
      <c r="DQ24" s="2">
        <v>9565</v>
      </c>
      <c r="DR24" s="2">
        <v>9383</v>
      </c>
      <c r="DS24" s="2">
        <v>9052</v>
      </c>
      <c r="DT24" s="2">
        <v>9100</v>
      </c>
      <c r="DU24" s="2">
        <v>9066</v>
      </c>
    </row>
    <row r="25" spans="1:125" ht="13.5" customHeight="1" x14ac:dyDescent="0.2">
      <c r="A25" s="8"/>
      <c r="D25" s="2" t="s">
        <v>79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>
        <f t="shared" si="107"/>
        <v>0.37617642927377443</v>
      </c>
      <c r="Z25" s="14">
        <f t="shared" si="107"/>
        <v>0.38617248752672845</v>
      </c>
      <c r="AA25" s="14">
        <f t="shared" si="107"/>
        <v>0.37331789900159168</v>
      </c>
      <c r="AB25" s="14">
        <f t="shared" si="107"/>
        <v>0.38962785831714242</v>
      </c>
      <c r="AC25" s="14">
        <f t="shared" si="107"/>
        <v>0.3881194213604186</v>
      </c>
      <c r="AD25" s="14">
        <f t="shared" si="107"/>
        <v>0.37928823340814366</v>
      </c>
      <c r="AE25" s="14">
        <f t="shared" si="107"/>
        <v>0.36686919228020015</v>
      </c>
      <c r="AF25" s="14">
        <f t="shared" si="107"/>
        <v>0.3531377645748236</v>
      </c>
      <c r="AG25" s="14">
        <f t="shared" si="107"/>
        <v>0.36595022624434387</v>
      </c>
      <c r="AH25" s="14">
        <f t="shared" si="107"/>
        <v>0.37734806629834255</v>
      </c>
      <c r="AI25" s="14">
        <f t="shared" si="108"/>
        <v>0.35819832650881256</v>
      </c>
      <c r="AJ25" s="14">
        <f t="shared" si="108"/>
        <v>0.36172021077681454</v>
      </c>
      <c r="AK25" s="14">
        <f t="shared" si="108"/>
        <v>0.33887699654207148</v>
      </c>
      <c r="AL25" s="14">
        <f t="shared" si="108"/>
        <v>0.29970544918998526</v>
      </c>
      <c r="AM25" s="14">
        <f t="shared" si="108"/>
        <v>0.24867136324310962</v>
      </c>
      <c r="AN25" s="14">
        <f t="shared" si="108"/>
        <v>0.24312537855844943</v>
      </c>
      <c r="AO25" s="14">
        <f t="shared" si="108"/>
        <v>0.24875396465790667</v>
      </c>
      <c r="AP25" s="14">
        <f t="shared" si="108"/>
        <v>0.24012257852686877</v>
      </c>
      <c r="AQ25" s="14">
        <f t="shared" si="108"/>
        <v>0.23208772490152241</v>
      </c>
      <c r="AR25" s="14">
        <f t="shared" si="108"/>
        <v>0.1983984827731535</v>
      </c>
      <c r="AS25" s="14">
        <f t="shared" si="109"/>
        <v>0.23478631567728872</v>
      </c>
      <c r="AT25" s="14">
        <f t="shared" si="109"/>
        <v>0.22672243011226062</v>
      </c>
      <c r="AU25" s="14">
        <f t="shared" si="109"/>
        <v>0.23465196714223951</v>
      </c>
      <c r="AV25" s="14">
        <f t="shared" si="109"/>
        <v>0.25349109902995415</v>
      </c>
      <c r="AW25" s="14">
        <f t="shared" si="109"/>
        <v>0.26111675126903555</v>
      </c>
      <c r="AX25" s="14">
        <f t="shared" si="109"/>
        <v>0.25666864256075872</v>
      </c>
      <c r="AY25" s="14">
        <f t="shared" si="109"/>
        <v>0.25280316592857816</v>
      </c>
      <c r="AZ25" s="14">
        <f t="shared" si="109"/>
        <v>0.24992666471105895</v>
      </c>
      <c r="BA25" s="14">
        <f t="shared" si="109"/>
        <v>0.23237348129723526</v>
      </c>
      <c r="BB25" s="14">
        <f t="shared" si="109"/>
        <v>0.19772302766165614</v>
      </c>
      <c r="BC25" s="14">
        <f t="shared" si="109"/>
        <v>0.17028366370471634</v>
      </c>
      <c r="BD25" s="14">
        <f t="shared" si="109"/>
        <v>0.1543264157580021</v>
      </c>
      <c r="BE25" s="14">
        <f t="shared" si="109"/>
        <v>0.14709780015902466</v>
      </c>
      <c r="BF25" s="14">
        <f t="shared" si="109"/>
        <v>0.13308556764888063</v>
      </c>
      <c r="BG25" s="14">
        <f t="shared" si="109"/>
        <v>0.13258365829328014</v>
      </c>
      <c r="BH25" s="14">
        <f t="shared" si="109"/>
        <v>0.12292017199476538</v>
      </c>
      <c r="BI25" s="14">
        <f t="shared" si="109"/>
        <v>0.11071814520090383</v>
      </c>
      <c r="BJ25" s="14">
        <f t="shared" si="109"/>
        <v>0.10335993693959997</v>
      </c>
      <c r="BK25" s="14">
        <f t="shared" si="109"/>
        <v>0.10820381664371434</v>
      </c>
      <c r="BL25" s="9"/>
      <c r="BN25" s="2" t="s">
        <v>79</v>
      </c>
      <c r="CI25" s="2">
        <f>204+85+31+25+1+214+101+95+56+15+346+208+103+69+16+2+327+257+203+148+35+1+1+2+1+13+10+9+4+2+1+15+16+20+31+10+1</f>
        <v>2678</v>
      </c>
      <c r="CJ25" s="2">
        <f>214+102+38+23+2+1+202+129+109+68+12+309+200+93+61+13+1+352+261+180+161+42+3+14+6+7+10+2+18+10+23+21+20+2</f>
        <v>2709</v>
      </c>
      <c r="CK25" s="2">
        <f>196+102+53+33+3+2+210+137+96+80+13+1+1+297+201+92+56+15+2+283+216+168+163+40+1+21+10+9+7+5+22+6+8+17+11+3</f>
        <v>2580</v>
      </c>
      <c r="CL25" s="2">
        <v>2607</v>
      </c>
      <c r="CM25" s="2">
        <f>196+92+45+24+5+229+125+96+65+10+294+179+109+82+16+2+296+241+162+207+43+4</f>
        <v>2522</v>
      </c>
      <c r="CN25" s="2">
        <f>220+225+1+1+85+115+41+82+42+77+7+9+1+212+246+180+165+74+136+55+156+11+23+6+20+35+26+26+17+19+8+26+6+11+1+1</f>
        <v>2366</v>
      </c>
      <c r="CO25" s="2">
        <f>204+193+80+111+59+72+44+82+7+8+1+15+8+208+200+146+140+84+112+70+151+14+26+1+1+8+8</f>
        <v>2053</v>
      </c>
      <c r="CP25" s="2">
        <f>209+149+75+86+46+52+32+55+9+9+1+1+201+174+8+10+142+134+7+10+93+81+8+12+74+132+13+19+13+33+1+6+1+3+3</f>
        <v>1902</v>
      </c>
      <c r="CQ25" s="2">
        <f>231+176+67+86+40+62+36+59+1+5+11+207+180+8+9+139+123+7+7+68+84+7+7+85+139+8+22+12+41+1+7+2+4</f>
        <v>1941</v>
      </c>
      <c r="CR25" s="2">
        <f>218+199+70+108+53+66+37+71+4+19+218+204+122+139+88+100+95+176+19+37+3+3</f>
        <v>2049</v>
      </c>
      <c r="CS25" s="2">
        <f>221+202+76+106+32+66+34+78+4+19+0+1+191+212+117+143+84+94+107+149+15+56+2+3</f>
        <v>2012</v>
      </c>
      <c r="CT25" s="2">
        <f>207+254+69+104+35+73+42+92+8+29+0+0+227+228+123+131+72+105+99+147+20+57+2+4</f>
        <v>2128</v>
      </c>
      <c r="CU25" s="2">
        <f>185+246+67+105+40+76+37+77+6+23+1+211+230+110+122+71+111+93+166+18+59+4</f>
        <v>2058</v>
      </c>
      <c r="CV25" s="2">
        <f>165+230+65+95+40+63+31+83+6+22+8+7+208+215+110+142+89+98+101+144+26+59+2+3+11+12</f>
        <v>2035</v>
      </c>
      <c r="CW25" s="2">
        <f>202+199+73+108+46+54+27+91+8+19+1+3+9+191+207+105+131+78+108+87+139+28+53+2+5+22+16</f>
        <v>2012</v>
      </c>
      <c r="CX25" s="2">
        <v>2007</v>
      </c>
      <c r="CY25" s="2">
        <v>2196</v>
      </c>
      <c r="CZ25" s="2">
        <v>2194</v>
      </c>
      <c r="DA25" s="2">
        <v>2180</v>
      </c>
      <c r="DB25" s="2">
        <v>1883</v>
      </c>
      <c r="DC25" s="2">
        <v>2203</v>
      </c>
      <c r="DD25" s="2">
        <v>2060</v>
      </c>
      <c r="DE25" s="2">
        <v>2171</v>
      </c>
      <c r="DF25" s="2">
        <v>2378</v>
      </c>
      <c r="DG25" s="2">
        <v>2572</v>
      </c>
      <c r="DH25" s="2">
        <v>2598</v>
      </c>
      <c r="DI25" s="2">
        <v>2683</v>
      </c>
      <c r="DJ25" s="2">
        <v>2556</v>
      </c>
      <c r="DK25" s="2">
        <v>2429</v>
      </c>
      <c r="DL25" s="2">
        <v>2223</v>
      </c>
      <c r="DM25" s="2">
        <f>361+306+126+118+48+47+39+46+4+9+1+0+203+168+82+105+54+68+39+93+15+49+5+7</f>
        <v>1993</v>
      </c>
      <c r="DN25" s="2">
        <v>1755</v>
      </c>
      <c r="DO25" s="2">
        <v>1665</v>
      </c>
      <c r="DP25" s="2">
        <v>1504</v>
      </c>
      <c r="DQ25" s="2">
        <v>1462</v>
      </c>
      <c r="DR25" s="2">
        <v>1315</v>
      </c>
      <c r="DS25" s="2">
        <v>1127</v>
      </c>
      <c r="DT25" s="2">
        <v>1049</v>
      </c>
      <c r="DU25" s="2">
        <v>1100</v>
      </c>
    </row>
    <row r="26" spans="1:125" ht="13.5" customHeight="1" x14ac:dyDescent="0.2">
      <c r="A26" s="8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9"/>
      <c r="BN26" s="20" t="s">
        <v>56</v>
      </c>
      <c r="CI26" s="2">
        <f t="shared" ref="CI26:DJ26" si="110">SUM(CI24:CI25)</f>
        <v>7119</v>
      </c>
      <c r="CJ26" s="2">
        <f t="shared" si="110"/>
        <v>7015</v>
      </c>
      <c r="CK26" s="2">
        <f t="shared" si="110"/>
        <v>6911</v>
      </c>
      <c r="CL26" s="2">
        <f t="shared" si="110"/>
        <v>6691</v>
      </c>
      <c r="CM26" s="2">
        <f t="shared" si="110"/>
        <v>6498</v>
      </c>
      <c r="CN26" s="2">
        <f t="shared" si="110"/>
        <v>6238</v>
      </c>
      <c r="CO26" s="2">
        <f t="shared" si="110"/>
        <v>5596</v>
      </c>
      <c r="CP26" s="2">
        <f t="shared" si="110"/>
        <v>5386</v>
      </c>
      <c r="CQ26" s="2">
        <f t="shared" si="110"/>
        <v>5304</v>
      </c>
      <c r="CR26" s="2">
        <f t="shared" si="110"/>
        <v>5430</v>
      </c>
      <c r="CS26" s="2">
        <f t="shared" si="110"/>
        <v>5617</v>
      </c>
      <c r="CT26" s="2">
        <f t="shared" si="110"/>
        <v>5883</v>
      </c>
      <c r="CU26" s="2">
        <f t="shared" si="110"/>
        <v>6073</v>
      </c>
      <c r="CV26" s="2">
        <f t="shared" si="110"/>
        <v>6790</v>
      </c>
      <c r="CW26" s="2">
        <f t="shared" si="110"/>
        <v>8091</v>
      </c>
      <c r="CX26" s="2">
        <f t="shared" si="110"/>
        <v>8255</v>
      </c>
      <c r="CY26" s="2">
        <f t="shared" si="110"/>
        <v>8828</v>
      </c>
      <c r="CZ26" s="2">
        <f t="shared" si="110"/>
        <v>9137</v>
      </c>
      <c r="DA26" s="2">
        <f t="shared" si="110"/>
        <v>9393</v>
      </c>
      <c r="DB26" s="2">
        <f t="shared" si="110"/>
        <v>9491</v>
      </c>
      <c r="DC26" s="2">
        <f t="shared" si="110"/>
        <v>9383</v>
      </c>
      <c r="DD26" s="2">
        <f t="shared" si="110"/>
        <v>9086</v>
      </c>
      <c r="DE26" s="2">
        <f t="shared" si="110"/>
        <v>9252</v>
      </c>
      <c r="DF26" s="2">
        <f t="shared" si="110"/>
        <v>9381</v>
      </c>
      <c r="DG26" s="2">
        <f t="shared" si="110"/>
        <v>9850</v>
      </c>
      <c r="DH26" s="2">
        <f t="shared" si="110"/>
        <v>10122</v>
      </c>
      <c r="DI26" s="2">
        <f t="shared" si="110"/>
        <v>10613</v>
      </c>
      <c r="DJ26" s="2">
        <f t="shared" si="110"/>
        <v>10227</v>
      </c>
      <c r="DK26" s="2">
        <f t="shared" ref="DK26:DL26" si="111">SUM(DK24:DK25)</f>
        <v>10453</v>
      </c>
      <c r="DL26" s="2">
        <f t="shared" si="111"/>
        <v>11243</v>
      </c>
      <c r="DM26" s="2">
        <f t="shared" ref="DM26" si="112">SUM(DM24:DM25)</f>
        <v>11704</v>
      </c>
      <c r="DN26" s="2">
        <f t="shared" ref="DN26:DO26" si="113">SUM(DN24:DN25)</f>
        <v>11372</v>
      </c>
      <c r="DO26" s="2">
        <f t="shared" si="113"/>
        <v>11319</v>
      </c>
      <c r="DP26" s="2">
        <f t="shared" ref="DP26:DQ26" si="114">SUM(DP24:DP25)</f>
        <v>11301</v>
      </c>
      <c r="DQ26" s="2">
        <f t="shared" si="114"/>
        <v>11027</v>
      </c>
      <c r="DR26" s="2">
        <f t="shared" ref="DR26:DS26" si="115">SUM(DR24:DR25)</f>
        <v>10698</v>
      </c>
      <c r="DS26" s="2">
        <f t="shared" si="115"/>
        <v>10179</v>
      </c>
      <c r="DT26" s="2">
        <f t="shared" ref="DT26:DU26" si="116">SUM(DT24:DT25)</f>
        <v>10149</v>
      </c>
      <c r="DU26" s="2">
        <f t="shared" si="116"/>
        <v>10166</v>
      </c>
    </row>
    <row r="27" spans="1:125" ht="13.5" customHeight="1" x14ac:dyDescent="0.2">
      <c r="A27" s="8"/>
      <c r="B27" s="29" t="s">
        <v>97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9"/>
    </row>
    <row r="28" spans="1:125" ht="13.5" customHeight="1" x14ac:dyDescent="0.2">
      <c r="A28" s="8"/>
      <c r="C28" s="3" t="s">
        <v>62</v>
      </c>
      <c r="BL28" s="9"/>
      <c r="BN28" s="2" t="s">
        <v>98</v>
      </c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</row>
    <row r="29" spans="1:125" ht="13.5" customHeight="1" x14ac:dyDescent="0.2">
      <c r="A29" s="8"/>
      <c r="D29" s="2" t="s">
        <v>59</v>
      </c>
      <c r="E29" s="14"/>
      <c r="F29" s="14">
        <f t="shared" ref="F29:F30" si="117">BP29/BP$31</f>
        <v>0.73402233309574716</v>
      </c>
      <c r="G29" s="14">
        <f t="shared" ref="G29:G30" si="118">BQ29/BQ$31</f>
        <v>0.75363767633011214</v>
      </c>
      <c r="H29" s="14">
        <f t="shared" ref="H29:H30" si="119">BR29/BR$31</f>
        <v>0.76421335538556956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>
        <f t="shared" ref="X29:Y30" si="120">CH29/CH$31</f>
        <v>0.84820791089533054</v>
      </c>
      <c r="Y29" s="14">
        <f t="shared" si="120"/>
        <v>0.83979834757036831</v>
      </c>
      <c r="Z29" s="14">
        <f t="shared" ref="Z29:Z30" si="121">CJ29/CJ$31</f>
        <v>0.81781952746939934</v>
      </c>
      <c r="AA29" s="14">
        <f t="shared" ref="AA29:AA30" si="122">CK29/CK$31</f>
        <v>0.8036358389842736</v>
      </c>
      <c r="AB29" s="14">
        <f t="shared" ref="AB29:AB30" si="123">CL29/CL$31</f>
        <v>0.79979113829628523</v>
      </c>
      <c r="AC29" s="14">
        <f t="shared" ref="AC29:AC30" si="124">CM29/CM$31</f>
        <v>0.79935523487872273</v>
      </c>
      <c r="AD29" s="14">
        <f t="shared" ref="AD29:AD30" si="125">CN29/CN$31</f>
        <v>0.79449864065248677</v>
      </c>
      <c r="AE29" s="14">
        <f t="shared" ref="AE29:AE30" si="126">CO29/CO$31</f>
        <v>0.78426051560379917</v>
      </c>
      <c r="AF29" s="14">
        <f t="shared" ref="AF29:AF30" si="127">CP29/CP$31</f>
        <v>0.76574074074074072</v>
      </c>
      <c r="AG29" s="14">
        <f t="shared" ref="AG29:AG30" si="128">CQ29/CQ$31</f>
        <v>0.75202105658958451</v>
      </c>
      <c r="AH29" s="14">
        <f t="shared" ref="AH29:AH30" si="129">CR29/CR$31</f>
        <v>0.75800777633771521</v>
      </c>
      <c r="AI29" s="14">
        <f t="shared" ref="AI29:AI30" si="130">CS29/CS$31</f>
        <v>0.76804690362770245</v>
      </c>
      <c r="AJ29" s="14">
        <f t="shared" ref="AJ29:AJ30" si="131">CT29/CT$31</f>
        <v>0.78222672748775135</v>
      </c>
      <c r="AK29" s="14">
        <f t="shared" ref="AK29:AK30" si="132">CU29/CU$31</f>
        <v>0.7822527832351015</v>
      </c>
      <c r="AL29" s="14">
        <f t="shared" ref="AL29:AL30" si="133">CV29/CV$31</f>
        <v>0.8005891016200295</v>
      </c>
      <c r="AM29" s="14">
        <f t="shared" ref="AM29:AM30" si="134">CW29/CW$31</f>
        <v>0.83104684217031266</v>
      </c>
      <c r="AN29" s="14">
        <f t="shared" ref="AN29:AN30" si="135">CX29/CX$31</f>
        <v>0.8220267502108688</v>
      </c>
      <c r="AO29" s="14">
        <f t="shared" ref="AO29:AO30" si="136">CY29/CY$31</f>
        <v>0.80890642615558062</v>
      </c>
      <c r="AP29" s="14">
        <f t="shared" ref="AP29:AP30" si="137">CZ29/CZ$31</f>
        <v>0.80102541725755427</v>
      </c>
      <c r="AQ29" s="14">
        <f t="shared" ref="AQ29:AQ30" si="138">DA29/DA$31</f>
        <v>0.79548600021292448</v>
      </c>
      <c r="AR29" s="14">
        <f t="shared" ref="AR29:AR30" si="139">DB29/DB$31</f>
        <v>0.79066090439548853</v>
      </c>
      <c r="AS29" s="14">
        <f t="shared" ref="AS29:AS30" si="140">DC29/DC$31</f>
        <v>0.77491207502930837</v>
      </c>
      <c r="AT29" s="14">
        <f t="shared" ref="AT29:AT30" si="141">DD29/DD$31</f>
        <v>0.7799648119639323</v>
      </c>
      <c r="AU29" s="14">
        <f t="shared" ref="AU29:AY30" si="142">DE29/DE$31</f>
        <v>0.76924738149227945</v>
      </c>
      <c r="AV29" s="14">
        <f t="shared" si="142"/>
        <v>0.75471698113207553</v>
      </c>
      <c r="AW29" s="14">
        <f t="shared" si="142"/>
        <v>0.7476142131979695</v>
      </c>
      <c r="AX29" s="14">
        <f t="shared" si="142"/>
        <v>0.74254099980241062</v>
      </c>
      <c r="AY29" s="14">
        <f t="shared" ref="AY29:BK29" si="143">DI29/DI$31</f>
        <v>0.75098925946862638</v>
      </c>
      <c r="AZ29" s="14">
        <f t="shared" si="143"/>
        <v>0.73452625403344085</v>
      </c>
      <c r="BA29" s="14">
        <f t="shared" si="143"/>
        <v>0.73529130393188558</v>
      </c>
      <c r="BB29" s="14">
        <f t="shared" si="143"/>
        <v>0.76598772569598861</v>
      </c>
      <c r="BC29" s="14">
        <f t="shared" si="143"/>
        <v>0.7818694463431306</v>
      </c>
      <c r="BD29" s="14">
        <f t="shared" si="143"/>
        <v>0.77180794934927888</v>
      </c>
      <c r="BE29" s="14">
        <f t="shared" si="143"/>
        <v>0.77321318137644668</v>
      </c>
      <c r="BF29" s="14">
        <f t="shared" si="143"/>
        <v>0.77046279090345982</v>
      </c>
      <c r="BG29" s="14">
        <f t="shared" si="143"/>
        <v>0.78235240772648951</v>
      </c>
      <c r="BH29" s="14">
        <f t="shared" si="143"/>
        <v>0.78678257618246406</v>
      </c>
      <c r="BI29" s="14">
        <f t="shared" si="143"/>
        <v>0.7816091954022989</v>
      </c>
      <c r="BJ29" s="14">
        <f t="shared" si="143"/>
        <v>0.78047098236279433</v>
      </c>
      <c r="BK29" s="14">
        <f t="shared" si="143"/>
        <v>0.77946094825890222</v>
      </c>
      <c r="BL29" s="9"/>
      <c r="BN29" s="2" t="s">
        <v>59</v>
      </c>
      <c r="BP29" s="2">
        <v>6179</v>
      </c>
      <c r="BQ29" s="2">
        <v>6785</v>
      </c>
      <c r="BR29" s="2">
        <v>7393</v>
      </c>
      <c r="CH29" s="2">
        <f>3646+2294</f>
        <v>5940</v>
      </c>
      <c r="CI29" s="2">
        <f>560+53+2902+2114+19+349</f>
        <v>5997</v>
      </c>
      <c r="CJ29" s="2">
        <f>530+60+2848+1944+1+363</f>
        <v>5746</v>
      </c>
      <c r="CK29" s="2">
        <f>583+51+2784+1782+2+368</f>
        <v>5570</v>
      </c>
      <c r="CL29" s="2">
        <f>573+35+2678+1759+6+310</f>
        <v>5361</v>
      </c>
      <c r="CM29" s="2">
        <f>507+35+2661+1698+2+304</f>
        <v>5207</v>
      </c>
      <c r="CN29" s="2">
        <v>4968</v>
      </c>
      <c r="CO29" s="2">
        <v>4624</v>
      </c>
      <c r="CP29" s="2">
        <v>4135</v>
      </c>
      <c r="CQ29" s="2">
        <v>4000</v>
      </c>
      <c r="CR29" s="2">
        <v>4094</v>
      </c>
      <c r="CS29" s="2">
        <v>4192</v>
      </c>
      <c r="CT29" s="2">
        <v>4630</v>
      </c>
      <c r="CU29" s="2">
        <f>490+30+2467+1235+9+547</f>
        <v>4778</v>
      </c>
      <c r="CV29" s="2">
        <v>5436</v>
      </c>
      <c r="CW29" s="2">
        <v>6724</v>
      </c>
      <c r="CX29" s="2">
        <v>6822</v>
      </c>
      <c r="CY29" s="2">
        <v>7175</v>
      </c>
      <c r="CZ29" s="2">
        <v>7343</v>
      </c>
      <c r="DA29" s="2">
        <f>702+13+3268+1038+14+2437</f>
        <v>7472</v>
      </c>
      <c r="DB29" s="2">
        <v>7501</v>
      </c>
      <c r="DC29" s="2">
        <v>7271</v>
      </c>
      <c r="DD29" s="2">
        <v>7093</v>
      </c>
      <c r="DE29" s="2">
        <v>7124</v>
      </c>
      <c r="DF29" s="2">
        <v>7080</v>
      </c>
      <c r="DG29" s="2">
        <v>7364</v>
      </c>
      <c r="DH29" s="2">
        <v>7516</v>
      </c>
      <c r="DI29" s="2">
        <v>7971</v>
      </c>
      <c r="DJ29" s="2">
        <v>7512</v>
      </c>
      <c r="DK29" s="2">
        <v>7686</v>
      </c>
      <c r="DL29" s="2">
        <v>8612</v>
      </c>
      <c r="DM29" s="2">
        <f>871+10+3683+946+57+3584</f>
        <v>9151</v>
      </c>
      <c r="DN29" s="2">
        <v>8777</v>
      </c>
      <c r="DO29" s="2">
        <v>8752</v>
      </c>
      <c r="DP29" s="2">
        <v>8707</v>
      </c>
      <c r="DQ29" s="2">
        <v>8627</v>
      </c>
      <c r="DR29" s="2">
        <v>8417</v>
      </c>
      <c r="DS29" s="2">
        <v>7956</v>
      </c>
      <c r="DT29" s="2">
        <f>841+28+3024+584+41+3403</f>
        <v>7921</v>
      </c>
      <c r="DU29" s="2">
        <v>7924</v>
      </c>
    </row>
    <row r="30" spans="1:125" ht="13.5" customHeight="1" x14ac:dyDescent="0.2">
      <c r="A30" s="8"/>
      <c r="D30" s="2" t="s">
        <v>60</v>
      </c>
      <c r="E30" s="14"/>
      <c r="F30" s="14">
        <f t="shared" si="117"/>
        <v>0.26597766690425279</v>
      </c>
      <c r="G30" s="14">
        <f t="shared" si="118"/>
        <v>0.24636232366988781</v>
      </c>
      <c r="H30" s="14">
        <f t="shared" si="119"/>
        <v>0.23578664461443044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>
        <f t="shared" si="120"/>
        <v>0.15179208910466943</v>
      </c>
      <c r="Y30" s="14">
        <f t="shared" si="120"/>
        <v>0.16020165242963169</v>
      </c>
      <c r="Z30" s="14">
        <f t="shared" si="121"/>
        <v>0.18218047253060063</v>
      </c>
      <c r="AA30" s="14">
        <f t="shared" si="122"/>
        <v>0.19636416101572646</v>
      </c>
      <c r="AB30" s="14">
        <f t="shared" si="123"/>
        <v>0.20020886170371474</v>
      </c>
      <c r="AC30" s="14">
        <f t="shared" si="124"/>
        <v>0.20064476512127724</v>
      </c>
      <c r="AD30" s="14">
        <f t="shared" si="125"/>
        <v>0.20550135934751321</v>
      </c>
      <c r="AE30" s="14">
        <f t="shared" si="126"/>
        <v>0.2157394843962008</v>
      </c>
      <c r="AF30" s="14">
        <f t="shared" si="127"/>
        <v>0.23425925925925925</v>
      </c>
      <c r="AG30" s="14">
        <f t="shared" si="128"/>
        <v>0.24797894341041549</v>
      </c>
      <c r="AH30" s="14">
        <f t="shared" si="129"/>
        <v>0.24199222366228476</v>
      </c>
      <c r="AI30" s="14">
        <f t="shared" si="130"/>
        <v>0.23195309637229755</v>
      </c>
      <c r="AJ30" s="14">
        <f t="shared" si="131"/>
        <v>0.21777327251224868</v>
      </c>
      <c r="AK30" s="14">
        <f t="shared" si="132"/>
        <v>0.2177472167648985</v>
      </c>
      <c r="AL30" s="14">
        <f t="shared" si="133"/>
        <v>0.19941089837997056</v>
      </c>
      <c r="AM30" s="14">
        <f t="shared" si="134"/>
        <v>0.16895315782968731</v>
      </c>
      <c r="AN30" s="14">
        <f t="shared" si="135"/>
        <v>0.17797324978913123</v>
      </c>
      <c r="AO30" s="14">
        <f t="shared" si="136"/>
        <v>0.19109357384441938</v>
      </c>
      <c r="AP30" s="14">
        <f t="shared" si="137"/>
        <v>0.19897458274244573</v>
      </c>
      <c r="AQ30" s="14">
        <f t="shared" si="138"/>
        <v>0.20451399978707549</v>
      </c>
      <c r="AR30" s="14">
        <f t="shared" si="139"/>
        <v>0.20933909560451144</v>
      </c>
      <c r="AS30" s="14">
        <f t="shared" si="140"/>
        <v>0.22508792497069169</v>
      </c>
      <c r="AT30" s="14">
        <f t="shared" si="141"/>
        <v>0.22003518803606772</v>
      </c>
      <c r="AU30" s="14">
        <f t="shared" si="142"/>
        <v>0.23075261850772055</v>
      </c>
      <c r="AV30" s="14">
        <f t="shared" si="142"/>
        <v>0.24528301886792453</v>
      </c>
      <c r="AW30" s="14">
        <f t="shared" si="142"/>
        <v>0.25238578680203044</v>
      </c>
      <c r="AX30" s="14">
        <f t="shared" si="142"/>
        <v>0.25745900019758938</v>
      </c>
      <c r="AY30" s="14">
        <f t="shared" si="142"/>
        <v>0.24901074053137365</v>
      </c>
      <c r="AZ30" s="14">
        <f t="shared" ref="AZ30:BK30" si="144">DJ30/DJ$31</f>
        <v>0.26547374596655909</v>
      </c>
      <c r="BA30" s="14">
        <f t="shared" si="144"/>
        <v>0.26470869606811442</v>
      </c>
      <c r="BB30" s="14">
        <f t="shared" si="144"/>
        <v>0.23401227430401139</v>
      </c>
      <c r="BC30" s="14">
        <f t="shared" si="144"/>
        <v>0.21813055365686945</v>
      </c>
      <c r="BD30" s="14">
        <f t="shared" si="144"/>
        <v>0.22819205065072107</v>
      </c>
      <c r="BE30" s="14">
        <f t="shared" si="144"/>
        <v>0.22678681862355332</v>
      </c>
      <c r="BF30" s="14">
        <f t="shared" si="144"/>
        <v>0.22953720909654013</v>
      </c>
      <c r="BG30" s="14">
        <f t="shared" si="144"/>
        <v>0.21764759227351047</v>
      </c>
      <c r="BH30" s="14">
        <f t="shared" si="144"/>
        <v>0.213217423817536</v>
      </c>
      <c r="BI30" s="14">
        <f t="shared" si="144"/>
        <v>0.21839080459770116</v>
      </c>
      <c r="BJ30" s="14">
        <f t="shared" si="144"/>
        <v>0.21952901763720564</v>
      </c>
      <c r="BK30" s="14">
        <f t="shared" si="144"/>
        <v>0.22053905174109778</v>
      </c>
      <c r="BL30" s="9"/>
      <c r="BN30" s="2" t="s">
        <v>60</v>
      </c>
      <c r="BP30" s="2">
        <v>2239</v>
      </c>
      <c r="BQ30" s="2">
        <f>1181+1037</f>
        <v>2218</v>
      </c>
      <c r="BR30" s="2">
        <f>1194+1087</f>
        <v>2281</v>
      </c>
      <c r="CH30" s="2">
        <f>515+548</f>
        <v>1063</v>
      </c>
      <c r="CI30" s="2">
        <f>77+7+517+498+45</f>
        <v>1144</v>
      </c>
      <c r="CJ30" s="2">
        <f>110+4+597+526+43</f>
        <v>1280</v>
      </c>
      <c r="CK30" s="2">
        <f>85+8+684+537+3+44</f>
        <v>1361</v>
      </c>
      <c r="CL30" s="2">
        <f>91+10+658+511+1+71</f>
        <v>1342</v>
      </c>
      <c r="CM30" s="2">
        <f>101+6+654+485+61</f>
        <v>1307</v>
      </c>
      <c r="CN30" s="2">
        <v>1285</v>
      </c>
      <c r="CO30" s="2">
        <v>1272</v>
      </c>
      <c r="CP30" s="2">
        <v>1265</v>
      </c>
      <c r="CQ30" s="2">
        <v>1319</v>
      </c>
      <c r="CR30" s="2">
        <v>1307</v>
      </c>
      <c r="CS30" s="2">
        <v>1266</v>
      </c>
      <c r="CT30" s="2">
        <v>1289</v>
      </c>
      <c r="CU30" s="2">
        <f>128+13+735+384+70</f>
        <v>1330</v>
      </c>
      <c r="CV30" s="2">
        <v>1354</v>
      </c>
      <c r="CW30" s="2">
        <v>1367</v>
      </c>
      <c r="CX30" s="2">
        <v>1477</v>
      </c>
      <c r="CY30" s="2">
        <v>1695</v>
      </c>
      <c r="CZ30" s="2">
        <v>1824</v>
      </c>
      <c r="DA30" s="2">
        <f>204+2+1215+351+18+131</f>
        <v>1921</v>
      </c>
      <c r="DB30" s="2">
        <v>1986</v>
      </c>
      <c r="DC30" s="2">
        <v>2112</v>
      </c>
      <c r="DD30" s="2">
        <v>2001</v>
      </c>
      <c r="DE30" s="2">
        <v>2137</v>
      </c>
      <c r="DF30" s="2">
        <v>2301</v>
      </c>
      <c r="DG30" s="2">
        <v>2486</v>
      </c>
      <c r="DH30" s="2">
        <v>2606</v>
      </c>
      <c r="DI30" s="2">
        <v>2643</v>
      </c>
      <c r="DJ30" s="2">
        <v>2715</v>
      </c>
      <c r="DK30" s="2">
        <v>2767</v>
      </c>
      <c r="DL30" s="2">
        <v>2631</v>
      </c>
      <c r="DM30" s="2">
        <f>324+7+1650+413+84+75</f>
        <v>2553</v>
      </c>
      <c r="DN30" s="2">
        <v>2595</v>
      </c>
      <c r="DO30" s="2">
        <v>2567</v>
      </c>
      <c r="DP30" s="2">
        <v>2594</v>
      </c>
      <c r="DQ30" s="2">
        <v>2400</v>
      </c>
      <c r="DR30" s="2">
        <v>2281</v>
      </c>
      <c r="DS30" s="2">
        <v>2223</v>
      </c>
      <c r="DT30" s="2">
        <f>401+19+1458+263+35+52</f>
        <v>2228</v>
      </c>
      <c r="DU30" s="2">
        <v>2242</v>
      </c>
    </row>
    <row r="31" spans="1:125" ht="13.5" customHeight="1" x14ac:dyDescent="0.2">
      <c r="A31" s="39"/>
      <c r="C31" s="3" t="s">
        <v>63</v>
      </c>
      <c r="BL31" s="38"/>
      <c r="BN31" s="20" t="s">
        <v>56</v>
      </c>
      <c r="BP31" s="2">
        <f t="shared" ref="BP31:BR31" si="145">SUM(BP29:BP30)</f>
        <v>8418</v>
      </c>
      <c r="BQ31" s="2">
        <f t="shared" si="145"/>
        <v>9003</v>
      </c>
      <c r="BR31" s="2">
        <f t="shared" si="145"/>
        <v>9674</v>
      </c>
      <c r="CH31" s="2">
        <f t="shared" ref="CH31:CQ31" si="146">SUM(CH29:CH30)</f>
        <v>7003</v>
      </c>
      <c r="CI31" s="2">
        <f t="shared" si="146"/>
        <v>7141</v>
      </c>
      <c r="CJ31" s="2">
        <f t="shared" si="146"/>
        <v>7026</v>
      </c>
      <c r="CK31" s="2">
        <f t="shared" si="146"/>
        <v>6931</v>
      </c>
      <c r="CL31" s="2">
        <f t="shared" si="146"/>
        <v>6703</v>
      </c>
      <c r="CM31" s="2">
        <f t="shared" si="146"/>
        <v>6514</v>
      </c>
      <c r="CN31" s="2">
        <f t="shared" si="146"/>
        <v>6253</v>
      </c>
      <c r="CO31" s="2">
        <f t="shared" si="146"/>
        <v>5896</v>
      </c>
      <c r="CP31" s="2">
        <f t="shared" si="146"/>
        <v>5400</v>
      </c>
      <c r="CQ31" s="2">
        <f t="shared" si="146"/>
        <v>5319</v>
      </c>
      <c r="CR31" s="2">
        <f t="shared" ref="CR31:DI31" si="147">SUM(CR29:CR30)</f>
        <v>5401</v>
      </c>
      <c r="CS31" s="2">
        <f t="shared" si="147"/>
        <v>5458</v>
      </c>
      <c r="CT31" s="2">
        <f t="shared" si="147"/>
        <v>5919</v>
      </c>
      <c r="CU31" s="2">
        <f t="shared" si="147"/>
        <v>6108</v>
      </c>
      <c r="CV31" s="2">
        <f t="shared" si="147"/>
        <v>6790</v>
      </c>
      <c r="CW31" s="2">
        <f t="shared" si="147"/>
        <v>8091</v>
      </c>
      <c r="CX31" s="2">
        <f t="shared" si="147"/>
        <v>8299</v>
      </c>
      <c r="CY31" s="2">
        <f t="shared" si="147"/>
        <v>8870</v>
      </c>
      <c r="CZ31" s="2">
        <f t="shared" si="147"/>
        <v>9167</v>
      </c>
      <c r="DA31" s="2">
        <f t="shared" si="147"/>
        <v>9393</v>
      </c>
      <c r="DB31" s="2">
        <f t="shared" si="147"/>
        <v>9487</v>
      </c>
      <c r="DC31" s="2">
        <f t="shared" si="147"/>
        <v>9383</v>
      </c>
      <c r="DD31" s="2">
        <f t="shared" si="147"/>
        <v>9094</v>
      </c>
      <c r="DE31" s="2">
        <f t="shared" si="147"/>
        <v>9261</v>
      </c>
      <c r="DF31" s="2">
        <f t="shared" si="147"/>
        <v>9381</v>
      </c>
      <c r="DG31" s="2">
        <f t="shared" si="147"/>
        <v>9850</v>
      </c>
      <c r="DH31" s="2">
        <f t="shared" si="147"/>
        <v>10122</v>
      </c>
      <c r="DI31" s="2">
        <f t="shared" si="147"/>
        <v>10614</v>
      </c>
      <c r="DJ31" s="2">
        <f t="shared" ref="DJ31:DO31" si="148">SUM(DJ29:DJ30)</f>
        <v>10227</v>
      </c>
      <c r="DK31" s="2">
        <f t="shared" si="148"/>
        <v>10453</v>
      </c>
      <c r="DL31" s="2">
        <f t="shared" si="148"/>
        <v>11243</v>
      </c>
      <c r="DM31" s="2">
        <f t="shared" si="148"/>
        <v>11704</v>
      </c>
      <c r="DN31" s="2">
        <f t="shared" si="148"/>
        <v>11372</v>
      </c>
      <c r="DO31" s="2">
        <f t="shared" si="148"/>
        <v>11319</v>
      </c>
      <c r="DP31" s="2">
        <f t="shared" ref="DP31:DQ31" si="149">SUM(DP29:DP30)</f>
        <v>11301</v>
      </c>
      <c r="DQ31" s="2">
        <f t="shared" si="149"/>
        <v>11027</v>
      </c>
      <c r="DR31" s="2">
        <f t="shared" ref="DR31:DS31" si="150">SUM(DR29:DR30)</f>
        <v>10698</v>
      </c>
      <c r="DS31" s="2">
        <f t="shared" si="150"/>
        <v>10179</v>
      </c>
      <c r="DT31" s="2">
        <f t="shared" ref="DT31:DU31" si="151">SUM(DT29:DT30)</f>
        <v>10149</v>
      </c>
      <c r="DU31" s="2">
        <f t="shared" si="151"/>
        <v>10166</v>
      </c>
    </row>
    <row r="32" spans="1:125" ht="13.5" customHeight="1" x14ac:dyDescent="0.2">
      <c r="A32" s="39"/>
      <c r="D32" s="2" t="s">
        <v>59</v>
      </c>
      <c r="X32" s="14">
        <f t="shared" ref="X32:Y32" si="152">CH32/CH34</f>
        <v>0.6937313432835821</v>
      </c>
      <c r="Y32" s="14">
        <f t="shared" si="152"/>
        <v>0.66854283927454661</v>
      </c>
      <c r="Z32" s="14">
        <f t="shared" ref="Z32" si="153">CJ32/CJ34</f>
        <v>0.64037394098743794</v>
      </c>
      <c r="AA32" s="14">
        <f t="shared" ref="AA32" si="154">CK32/CK34</f>
        <v>0.63136805953062392</v>
      </c>
      <c r="AB32" s="14">
        <f t="shared" ref="AB32" si="155">CL32/CL34</f>
        <v>0.63559322033898302</v>
      </c>
      <c r="AC32" s="14"/>
      <c r="AD32" s="14"/>
      <c r="AE32" s="14">
        <f t="shared" ref="AE32" si="156">CO32/CO34</f>
        <v>0.58260361938120253</v>
      </c>
      <c r="AF32" s="14">
        <f t="shared" ref="AF32" si="157">CP32/CP34</f>
        <v>0.57355623100303954</v>
      </c>
      <c r="AG32" s="14">
        <f t="shared" ref="AG32" si="158">CQ32/CQ34</f>
        <v>0.56981132075471697</v>
      </c>
      <c r="AH32" s="14">
        <f t="shared" ref="AH32" si="159">CR32/CR34</f>
        <v>0.56729418375948304</v>
      </c>
      <c r="AI32" s="14">
        <f t="shared" ref="AI32" si="160">CS32/CS34</f>
        <v>0.55951346655082534</v>
      </c>
      <c r="AJ32" s="14">
        <f t="shared" ref="AJ32" si="161">CT32/CT34</f>
        <v>0.55801272341714636</v>
      </c>
      <c r="AK32" s="14">
        <f t="shared" ref="AK32" si="162">CU32/CU34</f>
        <v>0.58464871556793563</v>
      </c>
      <c r="AL32" s="14">
        <f t="shared" ref="AL32" si="163">CV32/CV34</f>
        <v>0.58437314319667266</v>
      </c>
      <c r="AM32" s="14">
        <f t="shared" ref="AM32" si="164">CW32/CW34</f>
        <v>0.58358848744641767</v>
      </c>
      <c r="AN32" s="14">
        <f t="shared" ref="AN32" si="165">CX32/CX34</f>
        <v>0.57957317073170733</v>
      </c>
      <c r="AO32" s="14">
        <f t="shared" ref="AO32" si="166">CY32/CY34</f>
        <v>0.58174692049272114</v>
      </c>
      <c r="AP32" s="14">
        <f t="shared" ref="AP32" si="167">CZ32/CZ34</f>
        <v>0.55739514348785868</v>
      </c>
      <c r="AQ32" s="14">
        <f t="shared" ref="AQ32" si="168">DA32/DA34</f>
        <v>0.57761947165330962</v>
      </c>
      <c r="AR32" s="14">
        <f t="shared" ref="AR32" si="169">DB32/DB34</f>
        <v>0.57584951456310685</v>
      </c>
      <c r="AS32" s="14">
        <f t="shared" ref="AS32" si="170">DC32/DC34</f>
        <v>0.56549232158988261</v>
      </c>
      <c r="AT32" s="14">
        <f t="shared" ref="AT32" si="171">DD32/DD34</f>
        <v>0.58894736842105266</v>
      </c>
      <c r="AU32" s="14">
        <f t="shared" ref="AU32:AW32" si="172">DE32/DE34</f>
        <v>0.54368666118871545</v>
      </c>
      <c r="AV32" s="14">
        <f t="shared" si="172"/>
        <v>0.55098814229249016</v>
      </c>
      <c r="AW32" s="14">
        <f t="shared" si="172"/>
        <v>0.54468310792893126</v>
      </c>
      <c r="AX32" s="14">
        <f t="shared" ref="AX32:BK32" si="173">DH32/DH34</f>
        <v>0.53737811484290354</v>
      </c>
      <c r="AY32" s="14">
        <f t="shared" si="173"/>
        <v>0.50314982196658453</v>
      </c>
      <c r="AZ32" s="14">
        <f t="shared" si="173"/>
        <v>0.47752808988764045</v>
      </c>
      <c r="BA32" s="14">
        <f t="shared" si="173"/>
        <v>0.43927384300690359</v>
      </c>
      <c r="BB32" s="14">
        <f t="shared" si="173"/>
        <v>0.4015233949945593</v>
      </c>
      <c r="BC32" s="14">
        <f t="shared" si="173"/>
        <v>0.4097462514417532</v>
      </c>
      <c r="BD32" s="14">
        <f t="shared" si="173"/>
        <v>0.43020736614051375</v>
      </c>
      <c r="BE32" s="14">
        <f t="shared" si="173"/>
        <v>0.45938545786431395</v>
      </c>
      <c r="BF32" s="14">
        <f t="shared" si="173"/>
        <v>0.45852051512428871</v>
      </c>
      <c r="BG32" s="14">
        <f t="shared" si="173"/>
        <v>0.49372384937238495</v>
      </c>
      <c r="BH32" s="14">
        <f t="shared" si="173"/>
        <v>0.41471666196786017</v>
      </c>
      <c r="BI32" s="14">
        <f t="shared" si="173"/>
        <v>0.36023360764534113</v>
      </c>
      <c r="BJ32" s="14">
        <f t="shared" si="173"/>
        <v>0.36213621362136211</v>
      </c>
      <c r="BK32" s="14">
        <f t="shared" si="173"/>
        <v>0.41607396870554764</v>
      </c>
      <c r="BL32" s="38"/>
      <c r="BN32" s="2" t="s">
        <v>59</v>
      </c>
      <c r="CH32" s="2">
        <f>248+1295+9+116+73+172+9+402</f>
        <v>2324</v>
      </c>
      <c r="CI32" s="2">
        <v>2138</v>
      </c>
      <c r="CJ32" s="2">
        <v>2192</v>
      </c>
      <c r="CK32" s="2">
        <v>2206</v>
      </c>
      <c r="CL32" s="2">
        <v>2250</v>
      </c>
      <c r="CO32" s="2">
        <v>1996</v>
      </c>
      <c r="CP32" s="2">
        <v>1887</v>
      </c>
      <c r="CQ32" s="2">
        <v>1963</v>
      </c>
      <c r="CR32" s="2">
        <v>2019</v>
      </c>
      <c r="CS32" s="2">
        <v>1932</v>
      </c>
      <c r="CT32" s="2">
        <v>1842</v>
      </c>
      <c r="CU32" s="2">
        <v>1889</v>
      </c>
      <c r="CV32" s="2">
        <v>1967</v>
      </c>
      <c r="CW32" s="2">
        <v>1906</v>
      </c>
      <c r="CX32" s="2">
        <v>1901</v>
      </c>
      <c r="CY32" s="2">
        <v>2078</v>
      </c>
      <c r="CZ32" s="2">
        <v>2020</v>
      </c>
      <c r="DA32" s="2">
        <v>1946</v>
      </c>
      <c r="DB32" s="2">
        <v>1898</v>
      </c>
      <c r="DC32" s="2">
        <v>1878</v>
      </c>
      <c r="DD32" s="2">
        <v>2238</v>
      </c>
      <c r="DE32" s="2">
        <v>1985</v>
      </c>
      <c r="DF32" s="2">
        <v>2091</v>
      </c>
      <c r="DG32" s="2">
        <v>2054</v>
      </c>
      <c r="DH32" s="2">
        <v>1984</v>
      </c>
      <c r="DI32" s="2">
        <v>1837</v>
      </c>
      <c r="DJ32" s="2">
        <v>1785</v>
      </c>
      <c r="DK32" s="2">
        <v>1718</v>
      </c>
      <c r="DL32" s="2">
        <v>1476</v>
      </c>
      <c r="DM32" s="2">
        <f>4+44+2+2+358+655+2+26+103+225</f>
        <v>1421</v>
      </c>
      <c r="DN32" s="2">
        <v>1390</v>
      </c>
      <c r="DO32" s="2">
        <v>1510</v>
      </c>
      <c r="DP32" s="2">
        <v>1531</v>
      </c>
      <c r="DQ32" s="2">
        <v>1652</v>
      </c>
      <c r="DR32" s="2">
        <v>1471</v>
      </c>
      <c r="DS32" s="2">
        <v>1357</v>
      </c>
      <c r="DT32" s="2">
        <f>18+3+18+379+631+4+12+29+113</f>
        <v>1207</v>
      </c>
      <c r="DU32" s="2">
        <f>9+2+16+383+602+8+31+119</f>
        <v>1170</v>
      </c>
    </row>
    <row r="33" spans="1:125" ht="13.5" customHeight="1" x14ac:dyDescent="0.2">
      <c r="A33" s="39"/>
      <c r="D33" s="2" t="s">
        <v>60</v>
      </c>
      <c r="X33" s="14">
        <f t="shared" ref="X33:Y33" si="174">CH33/CH34</f>
        <v>0.3062686567164179</v>
      </c>
      <c r="Y33" s="14">
        <f t="shared" si="174"/>
        <v>0.33145716072545339</v>
      </c>
      <c r="Z33" s="14">
        <f t="shared" ref="Z33" si="175">CJ33/CJ34</f>
        <v>0.35962605901256206</v>
      </c>
      <c r="AA33" s="14">
        <f t="shared" ref="AA33" si="176">CK33/CK34</f>
        <v>0.36863194046937608</v>
      </c>
      <c r="AB33" s="14">
        <f t="shared" ref="AB33" si="177">CL33/CL34</f>
        <v>0.36440677966101692</v>
      </c>
      <c r="AC33" s="14"/>
      <c r="AD33" s="14"/>
      <c r="AE33" s="14">
        <f t="shared" ref="AE33" si="178">CO33/CO34</f>
        <v>0.41739638061879741</v>
      </c>
      <c r="AF33" s="14">
        <f t="shared" ref="AF33" si="179">CP33/CP34</f>
        <v>0.42644376899696046</v>
      </c>
      <c r="AG33" s="14">
        <f t="shared" ref="AG33" si="180">CQ33/CQ34</f>
        <v>0.43018867924528303</v>
      </c>
      <c r="AH33" s="14">
        <f t="shared" ref="AH33" si="181">CR33/CR34</f>
        <v>0.43270581624051702</v>
      </c>
      <c r="AI33" s="14">
        <f t="shared" ref="AI33" si="182">CS33/CS34</f>
        <v>0.44048653344917466</v>
      </c>
      <c r="AJ33" s="14">
        <f t="shared" ref="AJ33" si="183">CT33/CT34</f>
        <v>0.44198727658285369</v>
      </c>
      <c r="AK33" s="14">
        <f t="shared" ref="AK33" si="184">CU33/CU34</f>
        <v>0.41535128443206437</v>
      </c>
      <c r="AL33" s="14">
        <f t="shared" ref="AL33" si="185">CV33/CV34</f>
        <v>0.41562685680332739</v>
      </c>
      <c r="AM33" s="14">
        <f t="shared" ref="AM33" si="186">CW33/CW34</f>
        <v>0.41641151255358239</v>
      </c>
      <c r="AN33" s="14">
        <f t="shared" ref="AN33" si="187">CX33/CX34</f>
        <v>0.42042682926829267</v>
      </c>
      <c r="AO33" s="14">
        <f t="shared" ref="AO33" si="188">CY33/CY34</f>
        <v>0.41825307950727886</v>
      </c>
      <c r="AP33" s="14">
        <f t="shared" ref="AP33" si="189">CZ33/CZ34</f>
        <v>0.44260485651214126</v>
      </c>
      <c r="AQ33" s="14">
        <f t="shared" ref="AQ33" si="190">DA33/DA34</f>
        <v>0.42238052834669043</v>
      </c>
      <c r="AR33" s="14">
        <f t="shared" ref="AR33" si="191">DB33/DB34</f>
        <v>0.42415048543689321</v>
      </c>
      <c r="AS33" s="14">
        <f t="shared" ref="AS33" si="192">DC33/DC34</f>
        <v>0.43450767841011745</v>
      </c>
      <c r="AT33" s="14">
        <f t="shared" ref="AT33" si="193">DD33/DD34</f>
        <v>0.41105263157894739</v>
      </c>
      <c r="AU33" s="14">
        <f t="shared" ref="AU33:AW33" si="194">DE33/DE34</f>
        <v>0.45631333881128455</v>
      </c>
      <c r="AV33" s="14">
        <f t="shared" si="194"/>
        <v>0.4490118577075099</v>
      </c>
      <c r="AW33" s="14">
        <f t="shared" si="194"/>
        <v>0.45531689207106868</v>
      </c>
      <c r="AX33" s="14">
        <f t="shared" ref="AX33:BK33" si="195">DH33/DH34</f>
        <v>0.4626218851570964</v>
      </c>
      <c r="AY33" s="14">
        <f t="shared" si="195"/>
        <v>0.49685017803341552</v>
      </c>
      <c r="AZ33" s="14">
        <f t="shared" si="195"/>
        <v>0.52247191011235961</v>
      </c>
      <c r="BA33" s="14">
        <f t="shared" si="195"/>
        <v>0.56072615699309636</v>
      </c>
      <c r="BB33" s="14">
        <f t="shared" si="195"/>
        <v>0.59847660500544064</v>
      </c>
      <c r="BC33" s="14">
        <f t="shared" si="195"/>
        <v>0.59025374855824686</v>
      </c>
      <c r="BD33" s="14">
        <f t="shared" si="195"/>
        <v>0.5697926338594862</v>
      </c>
      <c r="BE33" s="14">
        <f t="shared" si="195"/>
        <v>0.54061454213568605</v>
      </c>
      <c r="BF33" s="14">
        <f t="shared" si="195"/>
        <v>0.54147948487571129</v>
      </c>
      <c r="BG33" s="14">
        <f t="shared" si="195"/>
        <v>0.50627615062761511</v>
      </c>
      <c r="BH33" s="14">
        <f t="shared" si="195"/>
        <v>0.58528333803213983</v>
      </c>
      <c r="BI33" s="14">
        <f t="shared" si="195"/>
        <v>0.63976639235465893</v>
      </c>
      <c r="BJ33" s="14">
        <f t="shared" si="195"/>
        <v>0.63786378637863783</v>
      </c>
      <c r="BK33" s="14">
        <f t="shared" si="195"/>
        <v>0.58392603129445231</v>
      </c>
      <c r="BL33" s="38"/>
      <c r="BN33" s="2" t="s">
        <v>60</v>
      </c>
      <c r="CH33" s="2">
        <f>218+565+4+21+43+71+1+103</f>
        <v>1026</v>
      </c>
      <c r="CI33" s="2">
        <v>1060</v>
      </c>
      <c r="CJ33" s="2">
        <v>1231</v>
      </c>
      <c r="CK33" s="2">
        <v>1288</v>
      </c>
      <c r="CL33" s="2">
        <v>1290</v>
      </c>
      <c r="CO33" s="2">
        <v>1430</v>
      </c>
      <c r="CP33" s="2">
        <v>1403</v>
      </c>
      <c r="CQ33" s="2">
        <v>1482</v>
      </c>
      <c r="CR33" s="2">
        <v>1540</v>
      </c>
      <c r="CS33" s="2">
        <v>1521</v>
      </c>
      <c r="CT33" s="2">
        <v>1459</v>
      </c>
      <c r="CU33" s="2">
        <v>1342</v>
      </c>
      <c r="CV33" s="2">
        <v>1399</v>
      </c>
      <c r="CW33" s="2">
        <v>1360</v>
      </c>
      <c r="CX33" s="2">
        <v>1379</v>
      </c>
      <c r="CY33" s="2">
        <v>1494</v>
      </c>
      <c r="CZ33" s="2">
        <v>1604</v>
      </c>
      <c r="DA33" s="2">
        <v>1423</v>
      </c>
      <c r="DB33" s="2">
        <v>1398</v>
      </c>
      <c r="DC33" s="2">
        <v>1443</v>
      </c>
      <c r="DD33" s="2">
        <v>1562</v>
      </c>
      <c r="DE33" s="2">
        <v>1666</v>
      </c>
      <c r="DF33" s="2">
        <v>1704</v>
      </c>
      <c r="DG33" s="2">
        <v>1717</v>
      </c>
      <c r="DH33" s="2">
        <v>1708</v>
      </c>
      <c r="DI33" s="2">
        <v>1814</v>
      </c>
      <c r="DJ33" s="2">
        <v>1953</v>
      </c>
      <c r="DK33" s="2">
        <v>2193</v>
      </c>
      <c r="DL33" s="2">
        <v>2200</v>
      </c>
      <c r="DM33" s="2">
        <f>1+77+1+1+864+594+2+9+174+323+1</f>
        <v>2047</v>
      </c>
      <c r="DN33" s="2">
        <v>1841</v>
      </c>
      <c r="DO33" s="2">
        <v>1777</v>
      </c>
      <c r="DP33" s="2">
        <v>1808</v>
      </c>
      <c r="DQ33" s="2">
        <v>1694</v>
      </c>
      <c r="DR33" s="2">
        <v>2076</v>
      </c>
      <c r="DS33" s="2">
        <v>2410</v>
      </c>
      <c r="DT33" s="2">
        <f>2+33+4+8+1135+581+3+5+110+245</f>
        <v>2126</v>
      </c>
      <c r="DU33" s="2">
        <v>1642</v>
      </c>
    </row>
    <row r="34" spans="1:125" ht="13.5" customHeight="1" x14ac:dyDescent="0.2">
      <c r="A34" s="39"/>
      <c r="BL34" s="38"/>
      <c r="BN34" s="20" t="s">
        <v>56</v>
      </c>
      <c r="CH34" s="2">
        <f t="shared" ref="CH34:CL34" si="196">SUM(CH32:CH33)</f>
        <v>3350</v>
      </c>
      <c r="CI34" s="2">
        <f t="shared" si="196"/>
        <v>3198</v>
      </c>
      <c r="CJ34" s="2">
        <f t="shared" si="196"/>
        <v>3423</v>
      </c>
      <c r="CK34" s="2">
        <f t="shared" si="196"/>
        <v>3494</v>
      </c>
      <c r="CL34" s="2">
        <f t="shared" si="196"/>
        <v>3540</v>
      </c>
      <c r="CO34" s="2">
        <f t="shared" ref="CO34:DD34" si="197">SUM(CO32:CO33)</f>
        <v>3426</v>
      </c>
      <c r="CP34" s="2">
        <f t="shared" si="197"/>
        <v>3290</v>
      </c>
      <c r="CQ34" s="2">
        <f t="shared" si="197"/>
        <v>3445</v>
      </c>
      <c r="CR34" s="2">
        <f t="shared" si="197"/>
        <v>3559</v>
      </c>
      <c r="CS34" s="2">
        <f t="shared" si="197"/>
        <v>3453</v>
      </c>
      <c r="CT34" s="2">
        <f t="shared" si="197"/>
        <v>3301</v>
      </c>
      <c r="CU34" s="2">
        <f t="shared" si="197"/>
        <v>3231</v>
      </c>
      <c r="CV34" s="2">
        <f t="shared" si="197"/>
        <v>3366</v>
      </c>
      <c r="CW34" s="2">
        <f t="shared" si="197"/>
        <v>3266</v>
      </c>
      <c r="CX34" s="2">
        <f t="shared" si="197"/>
        <v>3280</v>
      </c>
      <c r="CY34" s="2">
        <f t="shared" si="197"/>
        <v>3572</v>
      </c>
      <c r="CZ34" s="2">
        <f t="shared" si="197"/>
        <v>3624</v>
      </c>
      <c r="DA34" s="2">
        <f t="shared" si="197"/>
        <v>3369</v>
      </c>
      <c r="DB34" s="2">
        <f t="shared" si="197"/>
        <v>3296</v>
      </c>
      <c r="DC34" s="2">
        <f t="shared" si="197"/>
        <v>3321</v>
      </c>
      <c r="DD34" s="2">
        <f t="shared" si="197"/>
        <v>3800</v>
      </c>
      <c r="DE34" s="2">
        <f t="shared" ref="DE34:DF34" si="198">SUM(DE32:DE33)</f>
        <v>3651</v>
      </c>
      <c r="DF34" s="2">
        <f t="shared" si="198"/>
        <v>3795</v>
      </c>
      <c r="DG34" s="2">
        <f t="shared" ref="DG34:DL34" si="199">SUM(DG32:DG33)</f>
        <v>3771</v>
      </c>
      <c r="DH34" s="2">
        <f t="shared" si="199"/>
        <v>3692</v>
      </c>
      <c r="DI34" s="2">
        <f t="shared" si="199"/>
        <v>3651</v>
      </c>
      <c r="DJ34" s="2">
        <f t="shared" si="199"/>
        <v>3738</v>
      </c>
      <c r="DK34" s="2">
        <f t="shared" si="199"/>
        <v>3911</v>
      </c>
      <c r="DL34" s="2">
        <f t="shared" si="199"/>
        <v>3676</v>
      </c>
      <c r="DM34" s="2">
        <f t="shared" ref="DM34" si="200">SUM(DM32:DM33)</f>
        <v>3468</v>
      </c>
      <c r="DN34" s="2">
        <f t="shared" ref="DN34:DO34" si="201">SUM(DN32:DN33)</f>
        <v>3231</v>
      </c>
      <c r="DO34" s="2">
        <f t="shared" si="201"/>
        <v>3287</v>
      </c>
      <c r="DP34" s="2">
        <f t="shared" ref="DP34:DQ34" si="202">SUM(DP32:DP33)</f>
        <v>3339</v>
      </c>
      <c r="DQ34" s="2">
        <f t="shared" si="202"/>
        <v>3346</v>
      </c>
      <c r="DR34" s="2">
        <f t="shared" ref="DR34:DS34" si="203">SUM(DR32:DR33)</f>
        <v>3547</v>
      </c>
      <c r="DS34" s="2">
        <f t="shared" si="203"/>
        <v>3767</v>
      </c>
      <c r="DT34" s="2">
        <f t="shared" ref="DT34" si="204">SUM(DT32:DT33)</f>
        <v>3333</v>
      </c>
      <c r="DU34" s="2">
        <v>2812</v>
      </c>
    </row>
    <row r="35" spans="1:125" ht="13.5" customHeight="1" x14ac:dyDescent="0.2">
      <c r="A35" s="8"/>
      <c r="B35" s="29" t="s">
        <v>67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9"/>
    </row>
    <row r="36" spans="1:125" ht="13.5" customHeight="1" x14ac:dyDescent="0.2">
      <c r="A36" s="8"/>
      <c r="C36" s="3" t="s">
        <v>62</v>
      </c>
      <c r="BL36" s="9"/>
      <c r="BN36" s="2" t="s">
        <v>61</v>
      </c>
    </row>
    <row r="37" spans="1:125" ht="13.5" customHeight="1" x14ac:dyDescent="0.2">
      <c r="A37" s="8"/>
      <c r="D37" s="2" t="s">
        <v>75</v>
      </c>
      <c r="E37" s="14">
        <f t="shared" ref="E37:E38" si="205">BO37/BO$39</f>
        <v>0.69369688385269124</v>
      </c>
      <c r="F37" s="14">
        <f t="shared" ref="F37:F38" si="206">BP37/BP$39</f>
        <v>0.67456297990524428</v>
      </c>
      <c r="G37" s="14">
        <f t="shared" ref="G37:G38" si="207">BQ37/BQ$39</f>
        <v>0.69412134548883997</v>
      </c>
      <c r="H37" s="14">
        <f t="shared" ref="H37:H38" si="208">BR37/BR$39</f>
        <v>0.70662926325114428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>
        <f t="shared" ref="W37:AE38" si="209">CG37/CG$39</f>
        <v>0.58497211623128853</v>
      </c>
      <c r="X37" s="14">
        <f t="shared" si="209"/>
        <v>0.59417392546051695</v>
      </c>
      <c r="Y37" s="14">
        <f t="shared" si="209"/>
        <v>0.57064836857582968</v>
      </c>
      <c r="Z37" s="14">
        <f t="shared" si="209"/>
        <v>0.58155422715627669</v>
      </c>
      <c r="AA37" s="14">
        <f t="shared" si="209"/>
        <v>0.59746068388399942</v>
      </c>
      <c r="AB37" s="14">
        <f t="shared" si="209"/>
        <v>0.59779203341787257</v>
      </c>
      <c r="AC37" s="14">
        <f t="shared" si="209"/>
        <v>0.60254835738409585</v>
      </c>
      <c r="AD37" s="14">
        <f t="shared" si="209"/>
        <v>0.61730369422677112</v>
      </c>
      <c r="AE37" s="14">
        <f t="shared" si="209"/>
        <v>0.63195386702849388</v>
      </c>
      <c r="AF37" s="14">
        <f t="shared" ref="AF37:AO38" si="210">CP37/CP$39</f>
        <v>0.6325925925925926</v>
      </c>
      <c r="AG37" s="14">
        <f t="shared" si="210"/>
        <v>0.64034592968603121</v>
      </c>
      <c r="AH37" s="14">
        <f t="shared" si="210"/>
        <v>0.65669175693042037</v>
      </c>
      <c r="AI37" s="14">
        <f t="shared" si="210"/>
        <v>0.64275568181818177</v>
      </c>
      <c r="AJ37" s="14">
        <f t="shared" si="210"/>
        <v>0.64166244298023312</v>
      </c>
      <c r="AK37" s="14">
        <f t="shared" si="210"/>
        <v>0.62688277668631298</v>
      </c>
      <c r="AL37" s="14">
        <f t="shared" si="210"/>
        <v>0.5742268041237113</v>
      </c>
      <c r="AM37" s="14">
        <f t="shared" si="210"/>
        <v>0.49672475590161907</v>
      </c>
      <c r="AN37" s="14">
        <f t="shared" si="210"/>
        <v>0.5263284733100374</v>
      </c>
      <c r="AO37" s="14">
        <f t="shared" si="210"/>
        <v>0.53506200676437432</v>
      </c>
      <c r="AP37" s="14">
        <f t="shared" ref="AP37:AT38" si="211">CZ37/CZ$39</f>
        <v>0.550779971637395</v>
      </c>
      <c r="AQ37" s="14">
        <f t="shared" si="211"/>
        <v>0.57713190673906101</v>
      </c>
      <c r="AR37" s="14">
        <f t="shared" si="211"/>
        <v>0.59829240012648888</v>
      </c>
      <c r="AS37" s="14">
        <f t="shared" si="211"/>
        <v>0.60609613130128959</v>
      </c>
      <c r="AT37" s="14">
        <f t="shared" si="211"/>
        <v>0.60886298658456128</v>
      </c>
      <c r="AU37" s="14">
        <f>DE37/DE$39</f>
        <v>0.63297700032393911</v>
      </c>
      <c r="AV37" s="14">
        <f>DF37/DF$39</f>
        <v>0.66773265110329394</v>
      </c>
      <c r="AW37" s="14">
        <f t="shared" ref="AU37:AY38" si="212">DG37/DG$39</f>
        <v>0.68467005076142129</v>
      </c>
      <c r="AX37" s="14">
        <f t="shared" si="212"/>
        <v>0.67674372653625769</v>
      </c>
      <c r="AY37" s="14">
        <f t="shared" si="212"/>
        <v>0.64951950254381008</v>
      </c>
      <c r="AZ37" s="14">
        <f t="shared" ref="AZ37:BK38" si="213">DJ37/DJ$39</f>
        <v>0.66617776474039303</v>
      </c>
      <c r="BA37" s="14">
        <f t="shared" si="213"/>
        <v>0.65215727542332347</v>
      </c>
      <c r="BB37" s="14">
        <f t="shared" si="213"/>
        <v>0.59023392333007207</v>
      </c>
      <c r="BC37" s="14">
        <f t="shared" si="213"/>
        <v>0.56980519480519476</v>
      </c>
      <c r="BD37" s="14">
        <f t="shared" si="213"/>
        <v>0.59444249032711927</v>
      </c>
      <c r="BE37" s="14">
        <f t="shared" si="213"/>
        <v>0.58362046117148159</v>
      </c>
      <c r="BF37" s="14">
        <f t="shared" si="213"/>
        <v>0.57401999823024508</v>
      </c>
      <c r="BG37" s="14">
        <f t="shared" si="213"/>
        <v>0.55055772195520092</v>
      </c>
      <c r="BH37" s="14">
        <f t="shared" si="213"/>
        <v>0.54084875677696764</v>
      </c>
      <c r="BI37" s="14">
        <f t="shared" si="213"/>
        <v>0.54936634246979077</v>
      </c>
      <c r="BJ37" s="14">
        <f t="shared" si="213"/>
        <v>0.57148487535717807</v>
      </c>
      <c r="BK37" s="14">
        <f t="shared" si="213"/>
        <v>0.59472752311626997</v>
      </c>
      <c r="BL37" s="9"/>
      <c r="BN37" s="2" t="s">
        <v>75</v>
      </c>
      <c r="BO37" s="2">
        <v>3918</v>
      </c>
      <c r="BP37" s="2">
        <v>4129</v>
      </c>
      <c r="BQ37" s="2">
        <v>4416</v>
      </c>
      <c r="BR37" s="2">
        <v>4786</v>
      </c>
      <c r="CG37" s="2">
        <v>3986</v>
      </c>
      <c r="CH37" s="2">
        <v>4161</v>
      </c>
      <c r="CI37" s="2">
        <f>1856+2200+10+9</f>
        <v>4075</v>
      </c>
      <c r="CJ37" s="2">
        <f>1834+2251+1</f>
        <v>4086</v>
      </c>
      <c r="CK37" s="2">
        <f>1834+2302+3+2</f>
        <v>4141</v>
      </c>
      <c r="CL37" s="2">
        <v>4007</v>
      </c>
      <c r="CM37" s="2">
        <f>1703+2222</f>
        <v>3925</v>
      </c>
      <c r="CN37" s="2">
        <v>3860</v>
      </c>
      <c r="CO37" s="2">
        <v>3726</v>
      </c>
      <c r="CP37" s="2">
        <v>3416</v>
      </c>
      <c r="CQ37" s="2">
        <v>3406</v>
      </c>
      <c r="CR37" s="2">
        <v>3577</v>
      </c>
      <c r="CS37" s="2">
        <f>1567+2053</f>
        <v>3620</v>
      </c>
      <c r="CT37" s="2">
        <f>1616+2182</f>
        <v>3798</v>
      </c>
      <c r="CU37" s="2">
        <f>1612+2217</f>
        <v>3829</v>
      </c>
      <c r="CV37" s="2">
        <v>3899</v>
      </c>
      <c r="CW37" s="2">
        <v>4019</v>
      </c>
      <c r="CX37" s="2">
        <v>4368</v>
      </c>
      <c r="CY37" s="2">
        <v>4746</v>
      </c>
      <c r="CZ37" s="2">
        <v>5049</v>
      </c>
      <c r="DA37" s="2">
        <f>702+204+3268+1215+14+18</f>
        <v>5421</v>
      </c>
      <c r="DB37" s="2">
        <v>5676</v>
      </c>
      <c r="DC37" s="2">
        <v>5687</v>
      </c>
      <c r="DD37" s="2">
        <v>5537</v>
      </c>
      <c r="DE37" s="2">
        <v>5862</v>
      </c>
      <c r="DF37" s="2">
        <v>6264</v>
      </c>
      <c r="DG37" s="2">
        <v>6744</v>
      </c>
      <c r="DH37" s="2">
        <v>6850</v>
      </c>
      <c r="DI37" s="2">
        <v>6894</v>
      </c>
      <c r="DJ37" s="2">
        <v>6813</v>
      </c>
      <c r="DK37" s="2">
        <v>6817</v>
      </c>
      <c r="DL37" s="2">
        <v>6636</v>
      </c>
      <c r="DM37" s="2">
        <v>6669</v>
      </c>
      <c r="DN37" s="2">
        <v>6760</v>
      </c>
      <c r="DO37" s="2">
        <v>6606</v>
      </c>
      <c r="DP37" s="2">
        <v>6487</v>
      </c>
      <c r="DQ37" s="2">
        <v>6071</v>
      </c>
      <c r="DR37" s="2">
        <v>5786</v>
      </c>
      <c r="DS37" s="2">
        <v>5592</v>
      </c>
      <c r="DT37" s="2">
        <v>5800</v>
      </c>
      <c r="DU37" s="2">
        <v>6046</v>
      </c>
    </row>
    <row r="38" spans="1:125" ht="13.5" customHeight="1" x14ac:dyDescent="0.2">
      <c r="A38" s="8"/>
      <c r="D38" s="2" t="s">
        <v>76</v>
      </c>
      <c r="E38" s="14">
        <f t="shared" si="205"/>
        <v>0.30630311614730876</v>
      </c>
      <c r="F38" s="14">
        <f t="shared" si="206"/>
        <v>0.32543702009475578</v>
      </c>
      <c r="G38" s="14">
        <f t="shared" si="207"/>
        <v>0.30587865451116003</v>
      </c>
      <c r="H38" s="14">
        <f t="shared" si="208"/>
        <v>0.29337073674885578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>
        <f t="shared" si="209"/>
        <v>0.41502788376871147</v>
      </c>
      <c r="X38" s="14">
        <f t="shared" si="209"/>
        <v>0.40582607453948311</v>
      </c>
      <c r="Y38" s="14">
        <f t="shared" si="209"/>
        <v>0.42935163142417027</v>
      </c>
      <c r="Z38" s="14">
        <f t="shared" si="209"/>
        <v>0.41844577284372331</v>
      </c>
      <c r="AA38" s="14">
        <f t="shared" si="209"/>
        <v>0.40253931611600058</v>
      </c>
      <c r="AB38" s="14">
        <f t="shared" si="209"/>
        <v>0.40220796658212743</v>
      </c>
      <c r="AC38" s="14">
        <f t="shared" si="209"/>
        <v>0.39745164261590421</v>
      </c>
      <c r="AD38" s="14">
        <f t="shared" si="209"/>
        <v>0.38269630577322883</v>
      </c>
      <c r="AE38" s="14">
        <f t="shared" si="209"/>
        <v>0.36804613297150612</v>
      </c>
      <c r="AF38" s="14">
        <f t="shared" si="210"/>
        <v>0.3674074074074074</v>
      </c>
      <c r="AG38" s="14">
        <f t="shared" si="210"/>
        <v>0.35965407031396879</v>
      </c>
      <c r="AH38" s="14">
        <f t="shared" si="210"/>
        <v>0.34330824306957958</v>
      </c>
      <c r="AI38" s="14">
        <f t="shared" si="210"/>
        <v>0.35724431818181818</v>
      </c>
      <c r="AJ38" s="14">
        <f t="shared" si="210"/>
        <v>0.35833755701976683</v>
      </c>
      <c r="AK38" s="14">
        <f t="shared" si="210"/>
        <v>0.37311722331368696</v>
      </c>
      <c r="AL38" s="14">
        <f t="shared" si="210"/>
        <v>0.42577319587628865</v>
      </c>
      <c r="AM38" s="14">
        <f t="shared" si="210"/>
        <v>0.50327524409838087</v>
      </c>
      <c r="AN38" s="14">
        <f t="shared" si="210"/>
        <v>0.47367152668996265</v>
      </c>
      <c r="AO38" s="14">
        <f t="shared" si="210"/>
        <v>0.46493799323562568</v>
      </c>
      <c r="AP38" s="14">
        <f t="shared" si="211"/>
        <v>0.449220028362605</v>
      </c>
      <c r="AQ38" s="14">
        <f t="shared" si="211"/>
        <v>0.42286809326093899</v>
      </c>
      <c r="AR38" s="14">
        <f t="shared" si="211"/>
        <v>0.40170759987351112</v>
      </c>
      <c r="AS38" s="14">
        <f t="shared" si="211"/>
        <v>0.39390386869871041</v>
      </c>
      <c r="AT38" s="14">
        <f t="shared" si="211"/>
        <v>0.39113701341543877</v>
      </c>
      <c r="AU38" s="14">
        <f t="shared" si="212"/>
        <v>0.36702299967606089</v>
      </c>
      <c r="AV38" s="14">
        <f t="shared" si="212"/>
        <v>0.33226734889670612</v>
      </c>
      <c r="AW38" s="14">
        <f t="shared" si="212"/>
        <v>0.31532994923857866</v>
      </c>
      <c r="AX38" s="14">
        <f t="shared" si="212"/>
        <v>0.32325627346374236</v>
      </c>
      <c r="AY38" s="14">
        <f t="shared" si="212"/>
        <v>0.35048049745618992</v>
      </c>
      <c r="AZ38" s="14">
        <f t="shared" si="213"/>
        <v>0.33382223525960691</v>
      </c>
      <c r="BA38" s="14">
        <f t="shared" si="213"/>
        <v>0.34784272457667653</v>
      </c>
      <c r="BB38" s="14">
        <f t="shared" si="213"/>
        <v>0.40976607666992798</v>
      </c>
      <c r="BC38" s="14">
        <f t="shared" si="213"/>
        <v>0.43019480519480519</v>
      </c>
      <c r="BD38" s="14">
        <f t="shared" si="213"/>
        <v>0.40555750967288073</v>
      </c>
      <c r="BE38" s="14">
        <f t="shared" si="213"/>
        <v>0.41637953882851841</v>
      </c>
      <c r="BF38" s="14">
        <f t="shared" si="213"/>
        <v>0.42598000176975487</v>
      </c>
      <c r="BG38" s="14">
        <f t="shared" si="213"/>
        <v>0.44944227804479914</v>
      </c>
      <c r="BH38" s="14">
        <f t="shared" si="213"/>
        <v>0.45915124322303236</v>
      </c>
      <c r="BI38" s="14">
        <f t="shared" si="213"/>
        <v>0.45063365753020923</v>
      </c>
      <c r="BJ38" s="14">
        <f t="shared" si="213"/>
        <v>0.42851512464282193</v>
      </c>
      <c r="BK38" s="14">
        <f t="shared" si="213"/>
        <v>0.40527247688373008</v>
      </c>
      <c r="BL38" s="9"/>
      <c r="BN38" s="2" t="s">
        <v>76</v>
      </c>
      <c r="BO38" s="2">
        <v>1730</v>
      </c>
      <c r="BP38" s="2">
        <v>1992</v>
      </c>
      <c r="BQ38" s="2">
        <v>1946</v>
      </c>
      <c r="BR38" s="2">
        <v>1987</v>
      </c>
      <c r="CG38" s="2">
        <v>2828</v>
      </c>
      <c r="CH38" s="2">
        <v>2842</v>
      </c>
      <c r="CI38" s="2">
        <f>1193+1479+148+246</f>
        <v>3066</v>
      </c>
      <c r="CJ38" s="2">
        <f>1056+1478+138+268</f>
        <v>2940</v>
      </c>
      <c r="CK38" s="2">
        <f>1040+1338+168+244</f>
        <v>2790</v>
      </c>
      <c r="CL38" s="2">
        <v>2696</v>
      </c>
      <c r="CM38" s="2">
        <f>1083+1506</f>
        <v>2589</v>
      </c>
      <c r="CN38" s="2">
        <v>2393</v>
      </c>
      <c r="CO38" s="2">
        <v>2170</v>
      </c>
      <c r="CP38" s="2">
        <v>1984</v>
      </c>
      <c r="CQ38" s="2">
        <v>1913</v>
      </c>
      <c r="CR38" s="2">
        <v>1870</v>
      </c>
      <c r="CS38" s="2">
        <f>895+1117</f>
        <v>2012</v>
      </c>
      <c r="CT38" s="2">
        <f>930+1191</f>
        <v>2121</v>
      </c>
      <c r="CU38" s="2">
        <f>951+1328</f>
        <v>2279</v>
      </c>
      <c r="CV38" s="2">
        <v>2891</v>
      </c>
      <c r="CW38" s="2">
        <v>4072</v>
      </c>
      <c r="CX38" s="2">
        <v>3931</v>
      </c>
      <c r="CY38" s="2">
        <v>4124</v>
      </c>
      <c r="CZ38" s="2">
        <v>4118</v>
      </c>
      <c r="DA38" s="2">
        <f>13+2+1038+351+2437+131</f>
        <v>3972</v>
      </c>
      <c r="DB38" s="2">
        <v>3811</v>
      </c>
      <c r="DC38" s="2">
        <v>3696</v>
      </c>
      <c r="DD38" s="2">
        <v>3557</v>
      </c>
      <c r="DE38" s="2">
        <v>3399</v>
      </c>
      <c r="DF38" s="2">
        <v>3117</v>
      </c>
      <c r="DG38" s="2">
        <v>3106</v>
      </c>
      <c r="DH38" s="2">
        <v>3272</v>
      </c>
      <c r="DI38" s="2">
        <v>3720</v>
      </c>
      <c r="DJ38" s="2">
        <v>3414</v>
      </c>
      <c r="DK38" s="2">
        <v>3636</v>
      </c>
      <c r="DL38" s="2">
        <v>4607</v>
      </c>
      <c r="DM38" s="2">
        <v>5035</v>
      </c>
      <c r="DN38" s="2">
        <v>4612</v>
      </c>
      <c r="DO38" s="2">
        <v>4713</v>
      </c>
      <c r="DP38" s="2">
        <v>4814</v>
      </c>
      <c r="DQ38" s="2">
        <v>4956</v>
      </c>
      <c r="DR38" s="2">
        <v>4912</v>
      </c>
      <c r="DS38" s="2">
        <v>4587</v>
      </c>
      <c r="DT38" s="2">
        <v>4349</v>
      </c>
      <c r="DU38" s="2">
        <v>4120</v>
      </c>
    </row>
    <row r="39" spans="1:125" ht="13.5" customHeight="1" x14ac:dyDescent="0.2">
      <c r="A39" s="8"/>
      <c r="C39" s="3" t="s">
        <v>63</v>
      </c>
      <c r="BL39" s="9"/>
      <c r="BN39" s="20" t="s">
        <v>111</v>
      </c>
      <c r="BO39" s="2">
        <f t="shared" ref="BO39:BR39" si="214">SUM(BO37:BO38)</f>
        <v>5648</v>
      </c>
      <c r="BP39" s="2">
        <f t="shared" si="214"/>
        <v>6121</v>
      </c>
      <c r="BQ39" s="2">
        <f t="shared" si="214"/>
        <v>6362</v>
      </c>
      <c r="BR39" s="2">
        <f t="shared" si="214"/>
        <v>6773</v>
      </c>
      <c r="CG39" s="2">
        <f t="shared" ref="CG39:CR39" si="215">SUM(CG37:CG38)</f>
        <v>6814</v>
      </c>
      <c r="CH39" s="2">
        <f t="shared" si="215"/>
        <v>7003</v>
      </c>
      <c r="CI39" s="2">
        <f t="shared" si="215"/>
        <v>7141</v>
      </c>
      <c r="CJ39" s="2">
        <f t="shared" si="215"/>
        <v>7026</v>
      </c>
      <c r="CK39" s="2">
        <f t="shared" si="215"/>
        <v>6931</v>
      </c>
      <c r="CL39" s="2">
        <f t="shared" si="215"/>
        <v>6703</v>
      </c>
      <c r="CM39" s="2">
        <f t="shared" si="215"/>
        <v>6514</v>
      </c>
      <c r="CN39" s="2">
        <f t="shared" si="215"/>
        <v>6253</v>
      </c>
      <c r="CO39" s="2">
        <f t="shared" si="215"/>
        <v>5896</v>
      </c>
      <c r="CP39" s="2">
        <f t="shared" si="215"/>
        <v>5400</v>
      </c>
      <c r="CQ39" s="2">
        <f t="shared" si="215"/>
        <v>5319</v>
      </c>
      <c r="CR39" s="2">
        <f t="shared" si="215"/>
        <v>5447</v>
      </c>
      <c r="CS39" s="2">
        <f t="shared" ref="CS39:DI39" si="216">SUM(CS37:CS38)</f>
        <v>5632</v>
      </c>
      <c r="CT39" s="2">
        <f t="shared" si="216"/>
        <v>5919</v>
      </c>
      <c r="CU39" s="2">
        <f t="shared" si="216"/>
        <v>6108</v>
      </c>
      <c r="CV39" s="2">
        <f t="shared" si="216"/>
        <v>6790</v>
      </c>
      <c r="CW39" s="2">
        <f t="shared" si="216"/>
        <v>8091</v>
      </c>
      <c r="CX39" s="2">
        <f t="shared" si="216"/>
        <v>8299</v>
      </c>
      <c r="CY39" s="2">
        <f t="shared" si="216"/>
        <v>8870</v>
      </c>
      <c r="CZ39" s="2">
        <f t="shared" si="216"/>
        <v>9167</v>
      </c>
      <c r="DA39" s="2">
        <f t="shared" si="216"/>
        <v>9393</v>
      </c>
      <c r="DB39" s="2">
        <f t="shared" si="216"/>
        <v>9487</v>
      </c>
      <c r="DC39" s="2">
        <f t="shared" si="216"/>
        <v>9383</v>
      </c>
      <c r="DD39" s="2">
        <f t="shared" si="216"/>
        <v>9094</v>
      </c>
      <c r="DE39" s="2">
        <f t="shared" si="216"/>
        <v>9261</v>
      </c>
      <c r="DF39" s="2">
        <f t="shared" si="216"/>
        <v>9381</v>
      </c>
      <c r="DG39" s="2">
        <f t="shared" si="216"/>
        <v>9850</v>
      </c>
      <c r="DH39" s="2">
        <f t="shared" si="216"/>
        <v>10122</v>
      </c>
      <c r="DI39" s="2">
        <f t="shared" si="216"/>
        <v>10614</v>
      </c>
      <c r="DJ39" s="2">
        <f t="shared" ref="DJ39:DO39" si="217">SUM(DJ37:DJ38)</f>
        <v>10227</v>
      </c>
      <c r="DK39" s="2">
        <f t="shared" si="217"/>
        <v>10453</v>
      </c>
      <c r="DL39" s="2">
        <f t="shared" si="217"/>
        <v>11243</v>
      </c>
      <c r="DM39" s="2">
        <f t="shared" si="217"/>
        <v>11704</v>
      </c>
      <c r="DN39" s="2">
        <f t="shared" si="217"/>
        <v>11372</v>
      </c>
      <c r="DO39" s="2">
        <f t="shared" si="217"/>
        <v>11319</v>
      </c>
      <c r="DP39" s="2">
        <f t="shared" ref="DP39:DQ39" si="218">SUM(DP37:DP38)</f>
        <v>11301</v>
      </c>
      <c r="DQ39" s="2">
        <f t="shared" si="218"/>
        <v>11027</v>
      </c>
      <c r="DR39" s="2">
        <f t="shared" ref="DR39:DS39" si="219">SUM(DR37:DR38)</f>
        <v>10698</v>
      </c>
      <c r="DS39" s="2">
        <f t="shared" si="219"/>
        <v>10179</v>
      </c>
      <c r="DT39" s="2">
        <f t="shared" ref="DT39:DU39" si="220">SUM(DT37:DT38)</f>
        <v>10149</v>
      </c>
      <c r="DU39" s="2">
        <f t="shared" si="220"/>
        <v>10166</v>
      </c>
    </row>
    <row r="40" spans="1:125" ht="13.5" customHeight="1" x14ac:dyDescent="0.2">
      <c r="A40" s="8"/>
      <c r="D40" s="2" t="s">
        <v>75</v>
      </c>
      <c r="E40" s="14">
        <f t="shared" ref="E40:E41" si="221">BO40/BO$42</f>
        <v>0.41729826125724478</v>
      </c>
      <c r="F40" s="14">
        <f t="shared" ref="F40:F41" si="222">BP40/BP$42</f>
        <v>0.4092294296909012</v>
      </c>
      <c r="G40" s="14">
        <f t="shared" ref="G40:G41" si="223">BQ40/BQ$42</f>
        <v>0.38735327527451724</v>
      </c>
      <c r="H40" s="14">
        <f t="shared" ref="H40:H41" si="224">BR40/BR$42</f>
        <v>0.41192692175112028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>
        <f t="shared" ref="W40:Y41" si="225">CG40/CG$42</f>
        <v>0.17499999999999999</v>
      </c>
      <c r="X40" s="14">
        <f t="shared" si="225"/>
        <v>0.18059701492537314</v>
      </c>
      <c r="Y40" s="14">
        <f t="shared" si="225"/>
        <v>0.1991869918699187</v>
      </c>
      <c r="Z40" s="14">
        <f t="shared" ref="Z40:Z41" si="226">CJ40/CJ$42</f>
        <v>0.2042068361086766</v>
      </c>
      <c r="AA40" s="14">
        <f t="shared" ref="AA40:AA41" si="227">CK40/CK$42</f>
        <v>0.20435031482541499</v>
      </c>
      <c r="AB40" s="14">
        <f t="shared" ref="AB40:AB41" si="228">CL40/CL$42</f>
        <v>0.20819209039548023</v>
      </c>
      <c r="AC40" s="14">
        <f t="shared" ref="AC40:AC41" si="229">CM40/CM$42</f>
        <v>0.20466030320044917</v>
      </c>
      <c r="AD40" s="14">
        <f t="shared" ref="AD40:AD41" si="230">CN40/CN$42</f>
        <v>0.19179184549356224</v>
      </c>
      <c r="AE40" s="14">
        <f t="shared" ref="AE40:AE41" si="231">CO40/CO$42</f>
        <v>0.2078225335668418</v>
      </c>
      <c r="AF40" s="14">
        <f t="shared" ref="AF40:AF41" si="232">CP40/CP$42</f>
        <v>0.21610942249240123</v>
      </c>
      <c r="AG40" s="14">
        <f t="shared" ref="AG40:AG41" si="233">CQ40/CQ$42</f>
        <v>0.22438316400580552</v>
      </c>
      <c r="AH40" s="14">
        <f t="shared" ref="AH40:AH41" si="234">CR40/CR$42</f>
        <v>0.24124404595124685</v>
      </c>
      <c r="AI40" s="14">
        <f t="shared" ref="AI40:AI41" si="235">CS40/CS$42</f>
        <v>0.25543006081668113</v>
      </c>
      <c r="AJ40" s="14">
        <f t="shared" ref="AJ40:AJ41" si="236">CT40/CT$42</f>
        <v>0.27779460769463798</v>
      </c>
      <c r="AK40" s="14">
        <f t="shared" ref="AK40:AK41" si="237">CU40/CU$42</f>
        <v>0.27554179566563469</v>
      </c>
      <c r="AL40" s="14">
        <f t="shared" ref="AL40:AL41" si="238">CV40/CV$42</f>
        <v>0.26559714795008915</v>
      </c>
      <c r="AM40" s="14">
        <f t="shared" ref="AM40:AM41" si="239">CW40/CW$42</f>
        <v>0.30955296999387633</v>
      </c>
      <c r="AN40" s="14">
        <f t="shared" ref="AN40:AN41" si="240">CX40/CX$42</f>
        <v>0.28597560975609754</v>
      </c>
      <c r="AO40" s="14">
        <f t="shared" ref="AO40:AO41" si="241">CY40/CY$42</f>
        <v>0.29087346024636057</v>
      </c>
      <c r="AP40" s="14">
        <f t="shared" ref="AP40:AP41" si="242">CZ40/CZ$42</f>
        <v>0.31721470019342357</v>
      </c>
      <c r="AQ40" s="14">
        <f t="shared" ref="AQ40:AQ41" si="243">DA40/DA$42</f>
        <v>0.3226476699317305</v>
      </c>
      <c r="AR40" s="14">
        <f t="shared" ref="AR40:AR41" si="244">DB40/DB$42</f>
        <v>0.33646844660194175</v>
      </c>
      <c r="AS40" s="14">
        <f t="shared" ref="AS40:AS41" si="245">DC40/DC$42</f>
        <v>0.34628124059018367</v>
      </c>
      <c r="AT40" s="14">
        <f t="shared" ref="AT40:AT41" si="246">DD40/DD$42</f>
        <v>0.29947368421052634</v>
      </c>
      <c r="AU40" s="14">
        <f t="shared" ref="AU40:AY41" si="247">DE40/DE$42</f>
        <v>0.33305943577102165</v>
      </c>
      <c r="AV40" s="14">
        <f t="shared" si="247"/>
        <v>0.33096179183135704</v>
      </c>
      <c r="AW40" s="14">
        <f t="shared" si="247"/>
        <v>0.3288252452930257</v>
      </c>
      <c r="AX40" s="14">
        <f t="shared" si="247"/>
        <v>0.34317443120260022</v>
      </c>
      <c r="AY40" s="14">
        <f t="shared" si="247"/>
        <v>0.3338811284579567</v>
      </c>
      <c r="AZ40" s="14">
        <f t="shared" ref="AZ40:BK41" si="248">DJ40/DJ$42</f>
        <v>0.3707865168539326</v>
      </c>
      <c r="BA40" s="14">
        <f t="shared" si="248"/>
        <v>0.428023523395551</v>
      </c>
      <c r="BB40" s="14">
        <f t="shared" si="248"/>
        <v>0.44940152339499456</v>
      </c>
      <c r="BC40" s="14">
        <f t="shared" si="248"/>
        <v>0.43569780853517875</v>
      </c>
      <c r="BD40" s="14">
        <f t="shared" si="248"/>
        <v>0.37635406994738468</v>
      </c>
      <c r="BE40" s="14">
        <f t="shared" si="248"/>
        <v>0.36750836629145117</v>
      </c>
      <c r="BF40" s="14">
        <f t="shared" si="248"/>
        <v>0.35519616651692121</v>
      </c>
      <c r="BG40" s="14">
        <f t="shared" si="248"/>
        <v>0.33831440526001194</v>
      </c>
      <c r="BH40" s="14">
        <f t="shared" si="248"/>
        <v>0.44009021708486046</v>
      </c>
      <c r="BI40" s="14">
        <f t="shared" si="248"/>
        <v>0.49004512874966816</v>
      </c>
      <c r="BJ40" s="14">
        <f t="shared" si="248"/>
        <v>0.50075007500750079</v>
      </c>
      <c r="BK40" s="14">
        <f t="shared" si="248"/>
        <v>0.45092460881934565</v>
      </c>
      <c r="BL40" s="15"/>
      <c r="BN40" s="2" t="s">
        <v>75</v>
      </c>
      <c r="BO40" s="2">
        <v>936</v>
      </c>
      <c r="BP40" s="2">
        <v>940</v>
      </c>
      <c r="BQ40" s="2">
        <v>1023</v>
      </c>
      <c r="BR40" s="2">
        <v>1195</v>
      </c>
      <c r="CG40" s="2">
        <v>581</v>
      </c>
      <c r="CH40" s="2">
        <v>605</v>
      </c>
      <c r="CI40" s="2">
        <f>340+297</f>
        <v>637</v>
      </c>
      <c r="CJ40" s="2">
        <f>362+337</f>
        <v>699</v>
      </c>
      <c r="CK40" s="2">
        <f>360+354</f>
        <v>714</v>
      </c>
      <c r="CL40" s="2">
        <v>737</v>
      </c>
      <c r="CM40" s="2">
        <f>119+243+1+118+246+2</f>
        <v>729</v>
      </c>
      <c r="CN40" s="2">
        <v>715</v>
      </c>
      <c r="CO40" s="2">
        <v>712</v>
      </c>
      <c r="CP40" s="2">
        <v>711</v>
      </c>
      <c r="CQ40" s="2">
        <v>773</v>
      </c>
      <c r="CR40" s="2">
        <v>861</v>
      </c>
      <c r="CS40" s="2">
        <f>456+426</f>
        <v>882</v>
      </c>
      <c r="CT40" s="2">
        <f>442+475</f>
        <v>917</v>
      </c>
      <c r="CU40" s="2">
        <f>146+156+268+316+4</f>
        <v>890</v>
      </c>
      <c r="CV40" s="2">
        <v>894</v>
      </c>
      <c r="CW40" s="2">
        <v>1011</v>
      </c>
      <c r="CX40" s="2">
        <v>938</v>
      </c>
      <c r="CY40" s="2">
        <v>1039</v>
      </c>
      <c r="CZ40" s="2">
        <v>1148</v>
      </c>
      <c r="DA40" s="2">
        <v>1087</v>
      </c>
      <c r="DB40" s="2">
        <f>8+503+444+12+43+99</f>
        <v>1109</v>
      </c>
      <c r="DC40" s="2">
        <v>1150</v>
      </c>
      <c r="DD40" s="2">
        <v>1138</v>
      </c>
      <c r="DE40" s="2">
        <v>1216</v>
      </c>
      <c r="DF40" s="2">
        <v>1256</v>
      </c>
      <c r="DG40" s="2">
        <v>1240</v>
      </c>
      <c r="DH40" s="2">
        <v>1267</v>
      </c>
      <c r="DI40" s="2">
        <v>1219</v>
      </c>
      <c r="DJ40" s="2">
        <v>1386</v>
      </c>
      <c r="DK40" s="2">
        <v>1674</v>
      </c>
      <c r="DL40" s="2">
        <v>1652</v>
      </c>
      <c r="DM40" s="2">
        <v>1511</v>
      </c>
      <c r="DN40" s="2">
        <v>1216</v>
      </c>
      <c r="DO40" s="2">
        <v>1208</v>
      </c>
      <c r="DP40" s="2">
        <v>1186</v>
      </c>
      <c r="DQ40" s="2">
        <v>1132</v>
      </c>
      <c r="DR40" s="2">
        <v>1561</v>
      </c>
      <c r="DS40" s="2">
        <v>1846</v>
      </c>
      <c r="DT40" s="2">
        <v>1669</v>
      </c>
      <c r="DU40" s="2">
        <v>1268</v>
      </c>
    </row>
    <row r="41" spans="1:125" ht="13.5" customHeight="1" x14ac:dyDescent="0.2">
      <c r="A41" s="8"/>
      <c r="D41" s="2" t="s">
        <v>76</v>
      </c>
      <c r="E41" s="14">
        <f t="shared" si="221"/>
        <v>0.58270173874275522</v>
      </c>
      <c r="F41" s="14">
        <f t="shared" si="222"/>
        <v>0.59077057030909885</v>
      </c>
      <c r="G41" s="14">
        <f t="shared" si="223"/>
        <v>0.61264672472548276</v>
      </c>
      <c r="H41" s="14">
        <f t="shared" si="224"/>
        <v>0.58807307824887967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>
        <f t="shared" si="225"/>
        <v>0.82499999999999996</v>
      </c>
      <c r="X41" s="14">
        <f t="shared" si="225"/>
        <v>0.81940298507462683</v>
      </c>
      <c r="Y41" s="14">
        <f t="shared" si="225"/>
        <v>0.80081300813008127</v>
      </c>
      <c r="Z41" s="14">
        <f t="shared" si="226"/>
        <v>0.79579316389132337</v>
      </c>
      <c r="AA41" s="14">
        <f t="shared" si="227"/>
        <v>0.79564968517458501</v>
      </c>
      <c r="AB41" s="14">
        <f t="shared" si="228"/>
        <v>0.79180790960451974</v>
      </c>
      <c r="AC41" s="14">
        <f t="shared" si="229"/>
        <v>0.79533969679955085</v>
      </c>
      <c r="AD41" s="14">
        <f t="shared" si="230"/>
        <v>0.80820815450643779</v>
      </c>
      <c r="AE41" s="14">
        <f t="shared" si="231"/>
        <v>0.79217746643315823</v>
      </c>
      <c r="AF41" s="14">
        <f t="shared" si="232"/>
        <v>0.78389057750759883</v>
      </c>
      <c r="AG41" s="14">
        <f t="shared" si="233"/>
        <v>0.77561683599419451</v>
      </c>
      <c r="AH41" s="14">
        <f t="shared" si="234"/>
        <v>0.75875595404875318</v>
      </c>
      <c r="AI41" s="14">
        <f t="shared" si="235"/>
        <v>0.74456993918331882</v>
      </c>
      <c r="AJ41" s="14">
        <f t="shared" si="236"/>
        <v>0.72220539230536196</v>
      </c>
      <c r="AK41" s="14">
        <f t="shared" si="237"/>
        <v>0.72445820433436536</v>
      </c>
      <c r="AL41" s="14">
        <f t="shared" si="238"/>
        <v>0.73440285204991085</v>
      </c>
      <c r="AM41" s="14">
        <f t="shared" si="239"/>
        <v>0.69044703000612373</v>
      </c>
      <c r="AN41" s="14">
        <f t="shared" si="240"/>
        <v>0.71402439024390241</v>
      </c>
      <c r="AO41" s="14">
        <f t="shared" si="241"/>
        <v>0.70912653975363937</v>
      </c>
      <c r="AP41" s="14">
        <f t="shared" si="242"/>
        <v>0.68278529980657643</v>
      </c>
      <c r="AQ41" s="14">
        <f t="shared" si="243"/>
        <v>0.67735233006826956</v>
      </c>
      <c r="AR41" s="14">
        <f t="shared" si="244"/>
        <v>0.66353155339805825</v>
      </c>
      <c r="AS41" s="14">
        <f t="shared" si="245"/>
        <v>0.65371875940981627</v>
      </c>
      <c r="AT41" s="14">
        <f t="shared" si="246"/>
        <v>0.70052631578947366</v>
      </c>
      <c r="AU41" s="14">
        <f t="shared" si="247"/>
        <v>0.66694056422897841</v>
      </c>
      <c r="AV41" s="14">
        <f t="shared" si="247"/>
        <v>0.6690382081686429</v>
      </c>
      <c r="AW41" s="14">
        <f t="shared" si="247"/>
        <v>0.6711747547069743</v>
      </c>
      <c r="AX41" s="14">
        <f t="shared" si="247"/>
        <v>0.65682556879739973</v>
      </c>
      <c r="AY41" s="14">
        <f>DI41/DI$42</f>
        <v>0.6661188715420433</v>
      </c>
      <c r="AZ41" s="14">
        <f t="shared" si="248"/>
        <v>0.6292134831460674</v>
      </c>
      <c r="BA41" s="14">
        <f t="shared" si="248"/>
        <v>0.57197647660444895</v>
      </c>
      <c r="BB41" s="14">
        <f t="shared" si="248"/>
        <v>0.55059847660500549</v>
      </c>
      <c r="BC41" s="14">
        <f t="shared" si="248"/>
        <v>0.56430219146482119</v>
      </c>
      <c r="BD41" s="14">
        <f t="shared" si="248"/>
        <v>0.62364593005261526</v>
      </c>
      <c r="BE41" s="14">
        <f t="shared" si="248"/>
        <v>0.63249163370854888</v>
      </c>
      <c r="BF41" s="14">
        <f t="shared" si="248"/>
        <v>0.64480383348307879</v>
      </c>
      <c r="BG41" s="14">
        <f t="shared" si="248"/>
        <v>0.661685594739988</v>
      </c>
      <c r="BH41" s="14">
        <f t="shared" si="248"/>
        <v>0.5599097829151396</v>
      </c>
      <c r="BI41" s="14">
        <f t="shared" si="248"/>
        <v>0.50995487125033179</v>
      </c>
      <c r="BJ41" s="14">
        <f t="shared" si="248"/>
        <v>0.49924992499249926</v>
      </c>
      <c r="BK41" s="14">
        <f t="shared" si="248"/>
        <v>0.54907539118065429</v>
      </c>
      <c r="BL41" s="15"/>
      <c r="BN41" s="2" t="s">
        <v>76</v>
      </c>
      <c r="BO41" s="2">
        <v>1307</v>
      </c>
      <c r="BP41" s="2">
        <v>1357</v>
      </c>
      <c r="BQ41" s="2">
        <v>1618</v>
      </c>
      <c r="BR41" s="2">
        <v>1706</v>
      </c>
      <c r="CG41" s="2">
        <v>2739</v>
      </c>
      <c r="CH41" s="2">
        <v>2745</v>
      </c>
      <c r="CI41" s="2">
        <f>933+1628</f>
        <v>2561</v>
      </c>
      <c r="CJ41" s="2">
        <f>987+1737</f>
        <v>2724</v>
      </c>
      <c r="CK41" s="2">
        <f>1017+1763</f>
        <v>2780</v>
      </c>
      <c r="CL41" s="2">
        <v>2803</v>
      </c>
      <c r="CM41" s="2">
        <f>160+782+78+262+1258+293</f>
        <v>2833</v>
      </c>
      <c r="CN41" s="2">
        <v>3013</v>
      </c>
      <c r="CO41" s="2">
        <v>2714</v>
      </c>
      <c r="CP41" s="2">
        <v>2579</v>
      </c>
      <c r="CQ41" s="2">
        <v>2672</v>
      </c>
      <c r="CR41" s="2">
        <v>2708</v>
      </c>
      <c r="CS41" s="2">
        <f>935+1636</f>
        <v>2571</v>
      </c>
      <c r="CT41" s="2">
        <f>874+1510</f>
        <v>2384</v>
      </c>
      <c r="CU41" s="2">
        <f>125+234+684+1056+73+168</f>
        <v>2340</v>
      </c>
      <c r="CV41" s="2">
        <v>2472</v>
      </c>
      <c r="CW41" s="2">
        <v>2255</v>
      </c>
      <c r="CX41" s="2">
        <v>2342</v>
      </c>
      <c r="CY41" s="2">
        <v>2533</v>
      </c>
      <c r="CZ41" s="2">
        <v>2471</v>
      </c>
      <c r="DA41" s="2">
        <v>2282</v>
      </c>
      <c r="DB41" s="2">
        <f>124+51+956+563+80+12+172+229</f>
        <v>2187</v>
      </c>
      <c r="DC41" s="2">
        <v>2171</v>
      </c>
      <c r="DD41" s="2">
        <v>2662</v>
      </c>
      <c r="DE41" s="2">
        <v>2435</v>
      </c>
      <c r="DF41" s="2">
        <v>2539</v>
      </c>
      <c r="DG41" s="2">
        <v>2531</v>
      </c>
      <c r="DH41" s="2">
        <v>2425</v>
      </c>
      <c r="DI41" s="2">
        <v>2432</v>
      </c>
      <c r="DJ41" s="2">
        <v>2352</v>
      </c>
      <c r="DK41" s="2">
        <v>2237</v>
      </c>
      <c r="DL41" s="2">
        <v>2024</v>
      </c>
      <c r="DM41" s="2">
        <v>1957</v>
      </c>
      <c r="DN41" s="2">
        <v>2015</v>
      </c>
      <c r="DO41" s="2">
        <v>2079</v>
      </c>
      <c r="DP41" s="2">
        <v>2153</v>
      </c>
      <c r="DQ41" s="2">
        <v>2214</v>
      </c>
      <c r="DR41" s="2">
        <v>1986</v>
      </c>
      <c r="DS41" s="2">
        <v>1921</v>
      </c>
      <c r="DT41" s="2">
        <v>1664</v>
      </c>
      <c r="DU41" s="2">
        <v>1544</v>
      </c>
    </row>
    <row r="42" spans="1:125" ht="13.5" customHeight="1" x14ac:dyDescent="0.2">
      <c r="A42" s="8"/>
      <c r="B42" s="22"/>
      <c r="C42" s="22"/>
      <c r="D42" s="22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9"/>
      <c r="BN42" s="20" t="s">
        <v>110</v>
      </c>
      <c r="BO42" s="2">
        <f t="shared" ref="BO42:BR42" si="249">SUM(BO40:BO41)</f>
        <v>2243</v>
      </c>
      <c r="BP42" s="2">
        <f t="shared" si="249"/>
        <v>2297</v>
      </c>
      <c r="BQ42" s="2">
        <f t="shared" si="249"/>
        <v>2641</v>
      </c>
      <c r="BR42" s="2">
        <f t="shared" si="249"/>
        <v>2901</v>
      </c>
      <c r="CG42" s="2">
        <f t="shared" ref="CG42:CR42" si="250">SUM(CG40:CG41)</f>
        <v>3320</v>
      </c>
      <c r="CH42" s="2">
        <f t="shared" si="250"/>
        <v>3350</v>
      </c>
      <c r="CI42" s="2">
        <f t="shared" si="250"/>
        <v>3198</v>
      </c>
      <c r="CJ42" s="2">
        <f t="shared" si="250"/>
        <v>3423</v>
      </c>
      <c r="CK42" s="2">
        <f t="shared" si="250"/>
        <v>3494</v>
      </c>
      <c r="CL42" s="2">
        <f t="shared" si="250"/>
        <v>3540</v>
      </c>
      <c r="CM42" s="2">
        <f t="shared" si="250"/>
        <v>3562</v>
      </c>
      <c r="CN42" s="2">
        <f t="shared" si="250"/>
        <v>3728</v>
      </c>
      <c r="CO42" s="2">
        <f t="shared" si="250"/>
        <v>3426</v>
      </c>
      <c r="CP42" s="2">
        <f t="shared" si="250"/>
        <v>3290</v>
      </c>
      <c r="CQ42" s="2">
        <f t="shared" si="250"/>
        <v>3445</v>
      </c>
      <c r="CR42" s="2">
        <f t="shared" si="250"/>
        <v>3569</v>
      </c>
      <c r="CS42" s="2">
        <f t="shared" ref="CS42:DI42" si="251">SUM(CS40:CS41)</f>
        <v>3453</v>
      </c>
      <c r="CT42" s="2">
        <f t="shared" si="251"/>
        <v>3301</v>
      </c>
      <c r="CU42" s="2">
        <f t="shared" si="251"/>
        <v>3230</v>
      </c>
      <c r="CV42" s="2">
        <f t="shared" si="251"/>
        <v>3366</v>
      </c>
      <c r="CW42" s="2">
        <f t="shared" si="251"/>
        <v>3266</v>
      </c>
      <c r="CX42" s="2">
        <f t="shared" si="251"/>
        <v>3280</v>
      </c>
      <c r="CY42" s="2">
        <f t="shared" si="251"/>
        <v>3572</v>
      </c>
      <c r="CZ42" s="2">
        <f t="shared" si="251"/>
        <v>3619</v>
      </c>
      <c r="DA42" s="2">
        <f t="shared" si="251"/>
        <v>3369</v>
      </c>
      <c r="DB42" s="2">
        <f t="shared" si="251"/>
        <v>3296</v>
      </c>
      <c r="DC42" s="2">
        <f t="shared" si="251"/>
        <v>3321</v>
      </c>
      <c r="DD42" s="2">
        <f t="shared" si="251"/>
        <v>3800</v>
      </c>
      <c r="DE42" s="2">
        <f t="shared" si="251"/>
        <v>3651</v>
      </c>
      <c r="DF42" s="2">
        <f t="shared" si="251"/>
        <v>3795</v>
      </c>
      <c r="DG42" s="2">
        <f t="shared" si="251"/>
        <v>3771</v>
      </c>
      <c r="DH42" s="2">
        <f t="shared" si="251"/>
        <v>3692</v>
      </c>
      <c r="DI42" s="2">
        <f t="shared" si="251"/>
        <v>3651</v>
      </c>
      <c r="DJ42" s="2">
        <f t="shared" ref="DJ42:DO42" si="252">SUM(DJ40:DJ41)</f>
        <v>3738</v>
      </c>
      <c r="DK42" s="2">
        <f t="shared" si="252"/>
        <v>3911</v>
      </c>
      <c r="DL42" s="2">
        <f t="shared" si="252"/>
        <v>3676</v>
      </c>
      <c r="DM42" s="2">
        <f t="shared" si="252"/>
        <v>3468</v>
      </c>
      <c r="DN42" s="2">
        <f t="shared" si="252"/>
        <v>3231</v>
      </c>
      <c r="DO42" s="2">
        <f t="shared" si="252"/>
        <v>3287</v>
      </c>
      <c r="DP42" s="2">
        <f t="shared" ref="DP42:DQ42" si="253">SUM(DP40:DP41)</f>
        <v>3339</v>
      </c>
      <c r="DQ42" s="2">
        <f t="shared" si="253"/>
        <v>3346</v>
      </c>
      <c r="DR42" s="2">
        <f t="shared" ref="DR42:DS42" si="254">SUM(DR40:DR41)</f>
        <v>3547</v>
      </c>
      <c r="DS42" s="2">
        <f t="shared" si="254"/>
        <v>3767</v>
      </c>
      <c r="DT42" s="2">
        <f t="shared" ref="DT42:DU42" si="255">SUM(DT40:DT41)</f>
        <v>3333</v>
      </c>
      <c r="DU42" s="2">
        <f t="shared" si="255"/>
        <v>2812</v>
      </c>
    </row>
    <row r="43" spans="1:125" ht="13.5" customHeight="1" x14ac:dyDescent="0.2">
      <c r="A43" s="8"/>
      <c r="BL43" s="9"/>
    </row>
    <row r="44" spans="1:125" ht="13.5" customHeight="1" x14ac:dyDescent="0.2">
      <c r="A44" s="8"/>
      <c r="B44" s="2" t="s">
        <v>72</v>
      </c>
      <c r="BL44" s="9"/>
      <c r="BN44" s="2" t="s">
        <v>75</v>
      </c>
      <c r="CG44" s="2">
        <v>1323</v>
      </c>
      <c r="CH44" s="2">
        <v>1268</v>
      </c>
      <c r="CI44" s="2">
        <v>1239</v>
      </c>
      <c r="CJ44" s="2">
        <v>1223</v>
      </c>
      <c r="CK44" s="2">
        <v>1197</v>
      </c>
      <c r="CL44" s="2">
        <v>1181</v>
      </c>
      <c r="CO44" s="2">
        <v>1157</v>
      </c>
      <c r="CQ44" s="2">
        <v>1185</v>
      </c>
      <c r="CR44" s="2">
        <v>1176</v>
      </c>
      <c r="CS44" s="2">
        <v>1184</v>
      </c>
      <c r="CT44" s="2">
        <v>1197</v>
      </c>
      <c r="CU44" s="2">
        <f>122+104+521+490</f>
        <v>1237</v>
      </c>
      <c r="CV44" s="2">
        <v>1326</v>
      </c>
      <c r="CW44" s="2">
        <v>1301</v>
      </c>
      <c r="CX44" s="2">
        <v>1343</v>
      </c>
      <c r="CY44" s="2">
        <v>1389</v>
      </c>
      <c r="CZ44" s="2">
        <v>1385</v>
      </c>
      <c r="DA44" s="2">
        <v>1447</v>
      </c>
      <c r="DB44" s="2">
        <v>1486</v>
      </c>
      <c r="DC44" s="2">
        <v>1481</v>
      </c>
      <c r="DD44" s="2">
        <v>1516</v>
      </c>
      <c r="DE44" s="2">
        <f>1209+332</f>
        <v>1541</v>
      </c>
      <c r="DF44" s="2">
        <f>1268+325</f>
        <v>1593</v>
      </c>
      <c r="DG44" s="2">
        <f>1243+369</f>
        <v>1612</v>
      </c>
      <c r="DH44" s="2">
        <f>1240+388</f>
        <v>1628</v>
      </c>
      <c r="DI44" s="2">
        <f>1295+401</f>
        <v>1696</v>
      </c>
      <c r="DJ44" s="2">
        <f>1279+439</f>
        <v>1718</v>
      </c>
      <c r="DK44" s="2">
        <v>1748</v>
      </c>
      <c r="DL44" s="2">
        <v>1729</v>
      </c>
      <c r="DM44" s="2">
        <v>1729</v>
      </c>
      <c r="DN44" s="2">
        <v>1716</v>
      </c>
      <c r="DO44" s="2">
        <v>1712</v>
      </c>
      <c r="DP44" s="2">
        <v>1698</v>
      </c>
      <c r="DQ44" s="2">
        <v>1736</v>
      </c>
      <c r="DR44" s="2">
        <v>1715</v>
      </c>
      <c r="DS44" s="2">
        <v>1689</v>
      </c>
      <c r="DT44" s="2">
        <v>1669</v>
      </c>
      <c r="DU44" s="2">
        <v>1632</v>
      </c>
    </row>
    <row r="45" spans="1:125" ht="13.5" customHeight="1" x14ac:dyDescent="0.2">
      <c r="A45" s="8"/>
      <c r="BL45" s="9"/>
      <c r="BN45" s="2" t="s">
        <v>76</v>
      </c>
      <c r="CG45" s="2">
        <v>7</v>
      </c>
      <c r="CH45" s="2">
        <v>8</v>
      </c>
      <c r="CI45" s="2">
        <v>5</v>
      </c>
      <c r="CJ45" s="2">
        <v>8</v>
      </c>
      <c r="CK45" s="2">
        <v>6</v>
      </c>
      <c r="CL45" s="2">
        <v>6</v>
      </c>
      <c r="CO45" s="2">
        <v>10</v>
      </c>
      <c r="CQ45" s="2">
        <v>13</v>
      </c>
      <c r="CR45" s="2">
        <v>17</v>
      </c>
      <c r="CS45" s="2">
        <v>29</v>
      </c>
      <c r="CT45" s="2">
        <v>27</v>
      </c>
      <c r="CU45" s="2">
        <f>7+3+15+10</f>
        <v>35</v>
      </c>
      <c r="CV45" s="2">
        <v>36</v>
      </c>
      <c r="CW45" s="2">
        <v>17</v>
      </c>
      <c r="CX45" s="2">
        <v>47</v>
      </c>
      <c r="CY45" s="2">
        <v>51</v>
      </c>
      <c r="CZ45" s="2">
        <v>55</v>
      </c>
      <c r="DA45" s="2">
        <v>47</v>
      </c>
      <c r="DB45" s="2">
        <v>37</v>
      </c>
      <c r="DC45" s="2">
        <v>28</v>
      </c>
      <c r="DD45" s="2">
        <v>32</v>
      </c>
      <c r="DE45" s="2">
        <f>19+9</f>
        <v>28</v>
      </c>
      <c r="DF45" s="2">
        <f>22+8</f>
        <v>30</v>
      </c>
      <c r="DG45" s="2">
        <f>21+5</f>
        <v>26</v>
      </c>
      <c r="DH45" s="2">
        <f>24+7</f>
        <v>31</v>
      </c>
      <c r="DI45" s="2">
        <f>20+9</f>
        <v>29</v>
      </c>
      <c r="DJ45" s="2">
        <f>25+10</f>
        <v>35</v>
      </c>
      <c r="DK45" s="2">
        <v>34</v>
      </c>
      <c r="DL45" s="2">
        <v>37</v>
      </c>
      <c r="DM45" s="2">
        <v>35</v>
      </c>
      <c r="DN45" s="2">
        <v>53</v>
      </c>
      <c r="DO45" s="2">
        <v>57</v>
      </c>
      <c r="DP45" s="2">
        <v>50</v>
      </c>
      <c r="DQ45" s="2">
        <v>38</v>
      </c>
      <c r="DR45" s="2">
        <v>43</v>
      </c>
      <c r="DS45" s="2">
        <v>68</v>
      </c>
      <c r="DT45" s="2">
        <v>126</v>
      </c>
      <c r="DU45" s="2">
        <v>122</v>
      </c>
    </row>
    <row r="46" spans="1:125" ht="13.5" customHeight="1" x14ac:dyDescent="0.2">
      <c r="A46" s="8"/>
      <c r="B46" s="2" t="s">
        <v>86</v>
      </c>
      <c r="BL46" s="9"/>
      <c r="BN46" s="20" t="s">
        <v>109</v>
      </c>
      <c r="CG46" s="2">
        <f t="shared" ref="CG46:CH46" si="256">SUM(CG44:CG45)</f>
        <v>1330</v>
      </c>
      <c r="CH46" s="2">
        <f t="shared" si="256"/>
        <v>1276</v>
      </c>
      <c r="CI46" s="2">
        <f t="shared" ref="CI46:CK46" si="257">SUM(CI44:CI45)</f>
        <v>1244</v>
      </c>
      <c r="CJ46" s="2">
        <f t="shared" si="257"/>
        <v>1231</v>
      </c>
      <c r="CK46" s="2">
        <f t="shared" si="257"/>
        <v>1203</v>
      </c>
      <c r="CL46" s="2">
        <f t="shared" ref="CL46" si="258">SUM(CL44:CL45)</f>
        <v>1187</v>
      </c>
      <c r="CN46" s="20"/>
      <c r="CO46" s="2">
        <f t="shared" ref="CO46" si="259">SUM(CO44:CO45)</f>
        <v>1167</v>
      </c>
      <c r="CQ46" s="2">
        <f t="shared" ref="CQ46:CT46" si="260">SUM(CQ44:CQ45)</f>
        <v>1198</v>
      </c>
      <c r="CR46" s="2">
        <f t="shared" si="260"/>
        <v>1193</v>
      </c>
      <c r="CS46" s="2">
        <f t="shared" si="260"/>
        <v>1213</v>
      </c>
      <c r="CT46" s="2">
        <f t="shared" si="260"/>
        <v>1224</v>
      </c>
      <c r="CU46" s="2">
        <f t="shared" ref="CU46" si="261">SUM(CU44:CU45)</f>
        <v>1272</v>
      </c>
      <c r="CV46" s="2">
        <f t="shared" ref="CV46" si="262">SUM(CV44:CV45)</f>
        <v>1362</v>
      </c>
      <c r="CW46" s="2">
        <f t="shared" ref="CW46" si="263">SUM(CW44:CW45)</f>
        <v>1318</v>
      </c>
      <c r="CX46" s="2">
        <f t="shared" ref="CX46" si="264">SUM(CX44:CX45)</f>
        <v>1390</v>
      </c>
      <c r="CY46" s="2">
        <f t="shared" ref="CY46" si="265">SUM(CY44:CY45)</f>
        <v>1440</v>
      </c>
      <c r="CZ46" s="2">
        <f t="shared" ref="CZ46" si="266">SUM(CZ44:CZ45)</f>
        <v>1440</v>
      </c>
      <c r="DA46" s="2">
        <f t="shared" ref="DA46" si="267">SUM(DA44:DA45)</f>
        <v>1494</v>
      </c>
      <c r="DB46" s="2">
        <f t="shared" ref="DB46" si="268">SUM(DB44:DB45)</f>
        <v>1523</v>
      </c>
      <c r="DC46" s="2">
        <f t="shared" ref="DC46" si="269">SUM(DC44:DC45)</f>
        <v>1509</v>
      </c>
      <c r="DD46" s="2">
        <f t="shared" ref="DD46" si="270">SUM(DD44:DD45)</f>
        <v>1548</v>
      </c>
      <c r="DE46" s="2">
        <f t="shared" ref="DE46:DH46" si="271">SUM(DE44:DE45)</f>
        <v>1569</v>
      </c>
      <c r="DF46" s="2">
        <f t="shared" si="271"/>
        <v>1623</v>
      </c>
      <c r="DG46" s="2">
        <f t="shared" si="271"/>
        <v>1638</v>
      </c>
      <c r="DH46" s="2">
        <f t="shared" si="271"/>
        <v>1659</v>
      </c>
      <c r="DI46" s="2">
        <f t="shared" ref="DI46:DN46" si="272">SUM(DI44:DI45)</f>
        <v>1725</v>
      </c>
      <c r="DJ46" s="2">
        <f t="shared" si="272"/>
        <v>1753</v>
      </c>
      <c r="DK46" s="2">
        <f t="shared" si="272"/>
        <v>1782</v>
      </c>
      <c r="DL46" s="2">
        <f t="shared" si="272"/>
        <v>1766</v>
      </c>
      <c r="DM46" s="2">
        <f t="shared" si="272"/>
        <v>1764</v>
      </c>
      <c r="DN46" s="2">
        <f t="shared" si="272"/>
        <v>1769</v>
      </c>
      <c r="DO46" s="2">
        <f t="shared" ref="DO46:DP46" si="273">SUM(DO44:DO45)</f>
        <v>1769</v>
      </c>
      <c r="DP46" s="2">
        <f t="shared" si="273"/>
        <v>1748</v>
      </c>
      <c r="DQ46" s="2">
        <f t="shared" ref="DQ46:DR46" si="274">SUM(DQ44:DQ45)</f>
        <v>1774</v>
      </c>
      <c r="DR46" s="2">
        <f t="shared" si="274"/>
        <v>1758</v>
      </c>
      <c r="DS46" s="2">
        <f t="shared" ref="DS46:DT46" si="275">SUM(DS44:DS45)</f>
        <v>1757</v>
      </c>
      <c r="DT46" s="2">
        <f t="shared" si="275"/>
        <v>1795</v>
      </c>
      <c r="DU46" s="2">
        <f t="shared" ref="DU46" si="276">SUM(DU44:DU45)</f>
        <v>1754</v>
      </c>
    </row>
    <row r="47" spans="1:125" ht="13.5" customHeight="1" x14ac:dyDescent="0.2">
      <c r="A47" s="8"/>
      <c r="B47" s="2" t="s">
        <v>88</v>
      </c>
      <c r="BL47" s="9"/>
    </row>
    <row r="48" spans="1:125" ht="13.5" customHeight="1" x14ac:dyDescent="0.2">
      <c r="A48" s="8"/>
      <c r="BL48" s="9"/>
      <c r="BN48" s="3" t="s">
        <v>75</v>
      </c>
      <c r="CG48" s="3">
        <f t="shared" ref="CG48:CH48" si="277">CG37+CG40+CG44</f>
        <v>5890</v>
      </c>
      <c r="CH48" s="3">
        <f t="shared" si="277"/>
        <v>6034</v>
      </c>
      <c r="CI48" s="3">
        <f t="shared" ref="CI48:CL49" si="278">CI37+CI40+CI44</f>
        <v>5951</v>
      </c>
      <c r="CJ48" s="3">
        <f t="shared" si="278"/>
        <v>6008</v>
      </c>
      <c r="CK48" s="3">
        <f t="shared" si="278"/>
        <v>6052</v>
      </c>
      <c r="CL48" s="3">
        <f t="shared" si="278"/>
        <v>5925</v>
      </c>
      <c r="CO48" s="3">
        <f t="shared" ref="CO48:CO49" si="279">CO37+CO40+CO44</f>
        <v>5595</v>
      </c>
      <c r="CQ48" s="3">
        <f t="shared" ref="CQ48:CT49" si="280">CQ37+CQ40+CQ44</f>
        <v>5364</v>
      </c>
      <c r="CR48" s="3">
        <f t="shared" si="280"/>
        <v>5614</v>
      </c>
      <c r="CS48" s="3">
        <f t="shared" si="280"/>
        <v>5686</v>
      </c>
      <c r="CT48" s="3">
        <f t="shared" si="280"/>
        <v>5912</v>
      </c>
      <c r="CU48" s="3">
        <f t="shared" ref="CU48" si="281">CU37+CU40+CU44</f>
        <v>5956</v>
      </c>
      <c r="CV48" s="3">
        <f t="shared" ref="CV48:DD48" si="282">CV37+CV40+CV44</f>
        <v>6119</v>
      </c>
      <c r="CW48" s="3">
        <f t="shared" si="282"/>
        <v>6331</v>
      </c>
      <c r="CX48" s="3">
        <f t="shared" si="282"/>
        <v>6649</v>
      </c>
      <c r="CY48" s="3">
        <f t="shared" si="282"/>
        <v>7174</v>
      </c>
      <c r="CZ48" s="3">
        <f t="shared" si="282"/>
        <v>7582</v>
      </c>
      <c r="DA48" s="3">
        <f t="shared" si="282"/>
        <v>7955</v>
      </c>
      <c r="DB48" s="3">
        <f t="shared" si="282"/>
        <v>8271</v>
      </c>
      <c r="DC48" s="3">
        <f t="shared" si="282"/>
        <v>8318</v>
      </c>
      <c r="DD48" s="3">
        <f t="shared" si="282"/>
        <v>8191</v>
      </c>
      <c r="DE48" s="3">
        <f t="shared" ref="DE48:DF48" si="283">DE37+DE40+DE44</f>
        <v>8619</v>
      </c>
      <c r="DF48" s="3">
        <f t="shared" si="283"/>
        <v>9113</v>
      </c>
      <c r="DG48" s="3">
        <f t="shared" ref="DG48:DH48" si="284">DG37+DG40+DG44</f>
        <v>9596</v>
      </c>
      <c r="DH48" s="3">
        <f t="shared" si="284"/>
        <v>9745</v>
      </c>
      <c r="DI48" s="3">
        <f t="shared" ref="DI48:DK49" si="285">DI37+DI40+DI44</f>
        <v>9809</v>
      </c>
      <c r="DJ48" s="3">
        <f t="shared" si="285"/>
        <v>9917</v>
      </c>
      <c r="DK48" s="3">
        <f t="shared" si="285"/>
        <v>10239</v>
      </c>
      <c r="DL48" s="3">
        <f t="shared" ref="DL48:DM48" si="286">DL37+DL40+DL44</f>
        <v>10017</v>
      </c>
      <c r="DM48" s="3">
        <f t="shared" si="286"/>
        <v>9909</v>
      </c>
      <c r="DN48" s="3">
        <f t="shared" ref="DN48:DO48" si="287">DN37+DN40+DN44</f>
        <v>9692</v>
      </c>
      <c r="DO48" s="3">
        <f t="shared" si="287"/>
        <v>9526</v>
      </c>
      <c r="DP48" s="3">
        <f t="shared" ref="DP48:DQ48" si="288">DP37+DP40+DP44</f>
        <v>9371</v>
      </c>
      <c r="DQ48" s="3">
        <f t="shared" si="288"/>
        <v>8939</v>
      </c>
      <c r="DR48" s="3">
        <f t="shared" ref="DR48:DS48" si="289">DR37+DR40+DR44</f>
        <v>9062</v>
      </c>
      <c r="DS48" s="3">
        <f t="shared" si="289"/>
        <v>9127</v>
      </c>
      <c r="DT48" s="3">
        <f t="shared" ref="DT48:DU48" si="290">DT37+DT40+DT44</f>
        <v>9138</v>
      </c>
      <c r="DU48" s="3">
        <f t="shared" si="290"/>
        <v>8946</v>
      </c>
    </row>
    <row r="49" spans="1:125" ht="13.5" customHeight="1" x14ac:dyDescent="0.25">
      <c r="A49" s="17"/>
      <c r="B49" s="44" t="s">
        <v>81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5"/>
      <c r="BG49" s="45"/>
      <c r="BH49" s="45"/>
      <c r="BI49" s="18"/>
      <c r="BJ49" s="18"/>
      <c r="BK49" s="18" t="s">
        <v>117</v>
      </c>
      <c r="BL49" s="19"/>
      <c r="BN49" s="3" t="s">
        <v>76</v>
      </c>
      <c r="CG49" s="3">
        <f t="shared" ref="CG49:CH49" si="291">CG38+CG41+CG45</f>
        <v>5574</v>
      </c>
      <c r="CH49" s="3">
        <f t="shared" si="291"/>
        <v>5595</v>
      </c>
      <c r="CI49" s="3">
        <f t="shared" si="278"/>
        <v>5632</v>
      </c>
      <c r="CJ49" s="3">
        <f t="shared" si="278"/>
        <v>5672</v>
      </c>
      <c r="CK49" s="3">
        <f t="shared" si="278"/>
        <v>5576</v>
      </c>
      <c r="CL49" s="3">
        <f t="shared" si="278"/>
        <v>5505</v>
      </c>
      <c r="CO49" s="3">
        <f t="shared" si="279"/>
        <v>4894</v>
      </c>
      <c r="CQ49" s="3">
        <f t="shared" si="280"/>
        <v>4598</v>
      </c>
      <c r="CR49" s="3">
        <f t="shared" si="280"/>
        <v>4595</v>
      </c>
      <c r="CS49" s="3">
        <f t="shared" si="280"/>
        <v>4612</v>
      </c>
      <c r="CT49" s="3">
        <f t="shared" si="280"/>
        <v>4532</v>
      </c>
      <c r="CU49" s="3">
        <f t="shared" ref="CU49" si="292">CU38+CU41+CU45</f>
        <v>4654</v>
      </c>
      <c r="CV49" s="3">
        <f t="shared" ref="CV49:DD49" si="293">CV38+CV41+CV45</f>
        <v>5399</v>
      </c>
      <c r="CW49" s="3">
        <f t="shared" si="293"/>
        <v>6344</v>
      </c>
      <c r="CX49" s="3">
        <f t="shared" si="293"/>
        <v>6320</v>
      </c>
      <c r="CY49" s="3">
        <f t="shared" si="293"/>
        <v>6708</v>
      </c>
      <c r="CZ49" s="3">
        <f t="shared" si="293"/>
        <v>6644</v>
      </c>
      <c r="DA49" s="3">
        <f t="shared" si="293"/>
        <v>6301</v>
      </c>
      <c r="DB49" s="3">
        <f t="shared" si="293"/>
        <v>6035</v>
      </c>
      <c r="DC49" s="3">
        <f t="shared" si="293"/>
        <v>5895</v>
      </c>
      <c r="DD49" s="3">
        <f t="shared" si="293"/>
        <v>6251</v>
      </c>
      <c r="DE49" s="3">
        <f t="shared" ref="DE49:DF49" si="294">DE38+DE41+DE45</f>
        <v>5862</v>
      </c>
      <c r="DF49" s="3">
        <f t="shared" si="294"/>
        <v>5686</v>
      </c>
      <c r="DG49" s="3">
        <f t="shared" ref="DG49:DH49" si="295">DG38+DG41+DG45</f>
        <v>5663</v>
      </c>
      <c r="DH49" s="3">
        <f t="shared" si="295"/>
        <v>5728</v>
      </c>
      <c r="DI49" s="3">
        <f t="shared" si="285"/>
        <v>6181</v>
      </c>
      <c r="DJ49" s="3">
        <f t="shared" si="285"/>
        <v>5801</v>
      </c>
      <c r="DK49" s="3">
        <f t="shared" si="285"/>
        <v>5907</v>
      </c>
      <c r="DL49" s="3">
        <f t="shared" ref="DL49:DM49" si="296">DL38+DL41+DL45</f>
        <v>6668</v>
      </c>
      <c r="DM49" s="3">
        <f t="shared" si="296"/>
        <v>7027</v>
      </c>
      <c r="DN49" s="3">
        <f t="shared" ref="DN49:DO49" si="297">DN38+DN41+DN45</f>
        <v>6680</v>
      </c>
      <c r="DO49" s="3">
        <f t="shared" si="297"/>
        <v>6849</v>
      </c>
      <c r="DP49" s="3">
        <f t="shared" ref="DP49:DQ49" si="298">DP38+DP41+DP45</f>
        <v>7017</v>
      </c>
      <c r="DQ49" s="3">
        <f t="shared" si="298"/>
        <v>7208</v>
      </c>
      <c r="DR49" s="3">
        <f t="shared" ref="DR49:DS49" si="299">DR38+DR41+DR45</f>
        <v>6941</v>
      </c>
      <c r="DS49" s="3">
        <f t="shared" si="299"/>
        <v>6576</v>
      </c>
      <c r="DT49" s="3">
        <f t="shared" ref="DT49:DU49" si="300">DT38+DT41+DT45</f>
        <v>6139</v>
      </c>
      <c r="DU49" s="3">
        <f t="shared" si="300"/>
        <v>5786</v>
      </c>
    </row>
    <row r="50" spans="1:125" ht="13.5" customHeight="1" x14ac:dyDescent="0.2">
      <c r="BN50" s="40" t="s">
        <v>112</v>
      </c>
      <c r="CG50" s="3">
        <f t="shared" ref="CG50:CH50" si="301">SUM(CG48:CG49)</f>
        <v>11464</v>
      </c>
      <c r="CH50" s="3">
        <f t="shared" si="301"/>
        <v>11629</v>
      </c>
      <c r="CI50" s="3">
        <f t="shared" ref="CI50:CL50" si="302">SUM(CI48:CI49)</f>
        <v>11583</v>
      </c>
      <c r="CJ50" s="3">
        <f t="shared" si="302"/>
        <v>11680</v>
      </c>
      <c r="CK50" s="3">
        <f t="shared" si="302"/>
        <v>11628</v>
      </c>
      <c r="CL50" s="3">
        <f t="shared" si="302"/>
        <v>11430</v>
      </c>
      <c r="CO50" s="3">
        <f t="shared" ref="CO50" si="303">SUM(CO48:CO49)</f>
        <v>10489</v>
      </c>
      <c r="CQ50" s="3">
        <f t="shared" ref="CQ50:CT50" si="304">SUM(CQ48:CQ49)</f>
        <v>9962</v>
      </c>
      <c r="CR50" s="3">
        <f t="shared" si="304"/>
        <v>10209</v>
      </c>
      <c r="CS50" s="3">
        <f t="shared" si="304"/>
        <v>10298</v>
      </c>
      <c r="CT50" s="3">
        <f t="shared" si="304"/>
        <v>10444</v>
      </c>
      <c r="CU50" s="3">
        <f t="shared" ref="CU50" si="305">SUM(CU48:CU49)</f>
        <v>10610</v>
      </c>
      <c r="CV50" s="3">
        <f t="shared" ref="CV50" si="306">SUM(CV48:CV49)</f>
        <v>11518</v>
      </c>
      <c r="CW50" s="3">
        <f t="shared" ref="CW50" si="307">SUM(CW48:CW49)</f>
        <v>12675</v>
      </c>
      <c r="CX50" s="3">
        <f t="shared" ref="CX50" si="308">SUM(CX48:CX49)</f>
        <v>12969</v>
      </c>
      <c r="CY50" s="3">
        <f t="shared" ref="CY50" si="309">SUM(CY48:CY49)</f>
        <v>13882</v>
      </c>
      <c r="CZ50" s="3">
        <f t="shared" ref="CZ50" si="310">SUM(CZ48:CZ49)</f>
        <v>14226</v>
      </c>
      <c r="DA50" s="3">
        <f t="shared" ref="DA50" si="311">SUM(DA48:DA49)</f>
        <v>14256</v>
      </c>
      <c r="DB50" s="3">
        <f t="shared" ref="DB50" si="312">SUM(DB48:DB49)</f>
        <v>14306</v>
      </c>
      <c r="DC50" s="3">
        <f t="shared" ref="DC50" si="313">SUM(DC48:DC49)</f>
        <v>14213</v>
      </c>
      <c r="DD50" s="3">
        <f t="shared" ref="DD50" si="314">SUM(DD48:DD49)</f>
        <v>14442</v>
      </c>
      <c r="DE50" s="3">
        <f t="shared" ref="DE50:DH50" si="315">SUM(DE48:DE49)</f>
        <v>14481</v>
      </c>
      <c r="DF50" s="3">
        <f t="shared" si="315"/>
        <v>14799</v>
      </c>
      <c r="DG50" s="3">
        <f t="shared" si="315"/>
        <v>15259</v>
      </c>
      <c r="DH50" s="3">
        <f t="shared" si="315"/>
        <v>15473</v>
      </c>
      <c r="DI50" s="3">
        <f t="shared" ref="DI50:DN50" si="316">SUM(DI48:DI49)</f>
        <v>15990</v>
      </c>
      <c r="DJ50" s="3">
        <f t="shared" si="316"/>
        <v>15718</v>
      </c>
      <c r="DK50" s="3">
        <f t="shared" si="316"/>
        <v>16146</v>
      </c>
      <c r="DL50" s="3">
        <f t="shared" si="316"/>
        <v>16685</v>
      </c>
      <c r="DM50" s="3">
        <f t="shared" si="316"/>
        <v>16936</v>
      </c>
      <c r="DN50" s="3">
        <f t="shared" si="316"/>
        <v>16372</v>
      </c>
      <c r="DO50" s="3">
        <f t="shared" ref="DO50:DP50" si="317">SUM(DO48:DO49)</f>
        <v>16375</v>
      </c>
      <c r="DP50" s="3">
        <f t="shared" si="317"/>
        <v>16388</v>
      </c>
      <c r="DQ50" s="3">
        <f t="shared" ref="DQ50:DR50" si="318">SUM(DQ48:DQ49)</f>
        <v>16147</v>
      </c>
      <c r="DR50" s="3">
        <f t="shared" si="318"/>
        <v>16003</v>
      </c>
      <c r="DS50" s="3">
        <f t="shared" ref="DS50:DT50" si="319">SUM(DS48:DS49)</f>
        <v>15703</v>
      </c>
      <c r="DT50" s="3">
        <f t="shared" si="319"/>
        <v>15277</v>
      </c>
      <c r="DU50" s="3">
        <f t="shared" ref="DU50" si="320">SUM(DU48:DU49)</f>
        <v>14732</v>
      </c>
    </row>
    <row r="100" spans="99:99" ht="13.5" customHeight="1" x14ac:dyDescent="0.2">
      <c r="CU100" s="20"/>
    </row>
  </sheetData>
  <mergeCells count="2">
    <mergeCell ref="A2:BL2"/>
    <mergeCell ref="B49:BH49"/>
  </mergeCells>
  <hyperlinks>
    <hyperlink ref="B49:BE49" r:id="rId1" display="Sources: IPEDS EF, Fall Enrollment Survey &amp; DHE 02 (Residence)" xr:uid="{403721D8-8F01-4B92-BD16-23D97AABDF3F}"/>
  </hyperlinks>
  <printOptions horizontalCentered="1"/>
  <pageMargins left="0.7" right="0.45" top="0.5" bottom="0.5" header="0.3" footer="0.3"/>
  <pageSetup orientation="portrait" r:id="rId2"/>
  <ignoredErrors>
    <ignoredError sqref="CS20:DM20 CL20:CR20 DO20:DU2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U99"/>
  <sheetViews>
    <sheetView workbookViewId="0"/>
  </sheetViews>
  <sheetFormatPr defaultColWidth="9.140625" defaultRowHeight="13.5" customHeight="1" x14ac:dyDescent="0.2"/>
  <cols>
    <col min="1" max="3" width="2.7109375" style="2" customWidth="1"/>
    <col min="4" max="4" width="18.7109375" style="2" customWidth="1"/>
    <col min="5" max="57" width="8.7109375" style="2" hidden="1" customWidth="1"/>
    <col min="58" max="63" width="8.7109375" style="2" customWidth="1"/>
    <col min="64" max="64" width="2.7109375" style="2" customWidth="1"/>
    <col min="65" max="65" width="9.140625" style="2" customWidth="1"/>
    <col min="66" max="66" width="18.7109375" style="2" customWidth="1"/>
    <col min="67" max="119" width="9.140625" style="2" hidden="1" customWidth="1"/>
    <col min="120" max="120" width="9.140625" style="2" customWidth="1"/>
    <col min="121" max="125" width="9.140625" style="2"/>
    <col min="126" max="16384" width="9.140625" style="1"/>
  </cols>
  <sheetData>
    <row r="2" spans="1:125" ht="15" customHeight="1" x14ac:dyDescent="0.25">
      <c r="A2" s="41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125" ht="13.5" customHeight="1" x14ac:dyDescent="0.2">
      <c r="A3" s="8"/>
      <c r="AK3" s="16"/>
      <c r="AL3" s="16"/>
      <c r="AM3" s="16"/>
      <c r="AN3" s="16"/>
      <c r="AO3" s="16"/>
      <c r="AP3" s="16"/>
      <c r="AQ3" s="16"/>
      <c r="AR3" s="16"/>
      <c r="BL3" s="9"/>
    </row>
    <row r="4" spans="1:125" ht="15" customHeight="1" x14ac:dyDescent="0.25">
      <c r="A4" s="8"/>
      <c r="B4" s="6" t="s">
        <v>1</v>
      </c>
      <c r="C4" s="27"/>
      <c r="D4" s="2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9"/>
    </row>
    <row r="5" spans="1:125" ht="15" customHeight="1" x14ac:dyDescent="0.25">
      <c r="A5" s="8"/>
      <c r="B5" s="7" t="s">
        <v>90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9"/>
      <c r="BN5" s="24" t="s">
        <v>92</v>
      </c>
    </row>
    <row r="6" spans="1:125" ht="13.5" customHeight="1" thickBot="1" x14ac:dyDescent="0.25">
      <c r="A6" s="8"/>
      <c r="BL6" s="9"/>
      <c r="BN6" s="24" t="s">
        <v>74</v>
      </c>
    </row>
    <row r="7" spans="1:125" ht="13.5" customHeight="1" thickTop="1" x14ac:dyDescent="0.2">
      <c r="A7" s="8"/>
      <c r="B7" s="10"/>
      <c r="C7" s="10"/>
      <c r="D7" s="10"/>
      <c r="E7" s="11" t="s">
        <v>3</v>
      </c>
      <c r="F7" s="11" t="s">
        <v>4</v>
      </c>
      <c r="G7" s="11" t="s">
        <v>5</v>
      </c>
      <c r="H7" s="11" t="s">
        <v>6</v>
      </c>
      <c r="I7" s="11" t="s">
        <v>7</v>
      </c>
      <c r="J7" s="11" t="s">
        <v>8</v>
      </c>
      <c r="K7" s="11" t="s">
        <v>9</v>
      </c>
      <c r="L7" s="11" t="s">
        <v>10</v>
      </c>
      <c r="M7" s="11" t="s">
        <v>11</v>
      </c>
      <c r="N7" s="11" t="s">
        <v>12</v>
      </c>
      <c r="O7" s="11" t="s">
        <v>13</v>
      </c>
      <c r="P7" s="11" t="s">
        <v>14</v>
      </c>
      <c r="Q7" s="11" t="s">
        <v>15</v>
      </c>
      <c r="R7" s="11" t="s">
        <v>16</v>
      </c>
      <c r="S7" s="11" t="s">
        <v>17</v>
      </c>
      <c r="T7" s="11" t="s">
        <v>18</v>
      </c>
      <c r="U7" s="11" t="s">
        <v>19</v>
      </c>
      <c r="V7" s="11" t="s">
        <v>20</v>
      </c>
      <c r="W7" s="11" t="s">
        <v>21</v>
      </c>
      <c r="X7" s="11" t="s">
        <v>22</v>
      </c>
      <c r="Y7" s="11" t="s">
        <v>23</v>
      </c>
      <c r="Z7" s="11" t="s">
        <v>24</v>
      </c>
      <c r="AA7" s="11" t="s">
        <v>25</v>
      </c>
      <c r="AB7" s="11" t="s">
        <v>26</v>
      </c>
      <c r="AC7" s="11" t="s">
        <v>27</v>
      </c>
      <c r="AD7" s="11" t="s">
        <v>28</v>
      </c>
      <c r="AE7" s="11" t="s">
        <v>29</v>
      </c>
      <c r="AF7" s="11" t="s">
        <v>30</v>
      </c>
      <c r="AG7" s="11" t="s">
        <v>31</v>
      </c>
      <c r="AH7" s="11" t="s">
        <v>32</v>
      </c>
      <c r="AI7" s="11" t="s">
        <v>33</v>
      </c>
      <c r="AJ7" s="11" t="s">
        <v>83</v>
      </c>
      <c r="AK7" s="11" t="s">
        <v>35</v>
      </c>
      <c r="AL7" s="11" t="s">
        <v>36</v>
      </c>
      <c r="AM7" s="11" t="s">
        <v>37</v>
      </c>
      <c r="AN7" s="11" t="s">
        <v>38</v>
      </c>
      <c r="AO7" s="11" t="s">
        <v>39</v>
      </c>
      <c r="AP7" s="11" t="s">
        <v>40</v>
      </c>
      <c r="AQ7" s="11" t="s">
        <v>41</v>
      </c>
      <c r="AR7" s="11" t="s">
        <v>42</v>
      </c>
      <c r="AS7" s="11" t="s">
        <v>43</v>
      </c>
      <c r="AT7" s="11" t="s">
        <v>44</v>
      </c>
      <c r="AU7" s="11" t="s">
        <v>45</v>
      </c>
      <c r="AV7" s="11" t="s">
        <v>46</v>
      </c>
      <c r="AW7" s="11" t="s">
        <v>47</v>
      </c>
      <c r="AX7" s="11" t="s">
        <v>48</v>
      </c>
      <c r="AY7" s="11" t="s">
        <v>49</v>
      </c>
      <c r="AZ7" s="11" t="s">
        <v>50</v>
      </c>
      <c r="BA7" s="11" t="s">
        <v>100</v>
      </c>
      <c r="BB7" s="11" t="s">
        <v>102</v>
      </c>
      <c r="BC7" s="11" t="s">
        <v>103</v>
      </c>
      <c r="BD7" s="11" t="s">
        <v>104</v>
      </c>
      <c r="BE7" s="11" t="s">
        <v>105</v>
      </c>
      <c r="BF7" s="11" t="s">
        <v>106</v>
      </c>
      <c r="BG7" s="11" t="s">
        <v>107</v>
      </c>
      <c r="BH7" s="11" t="s">
        <v>108</v>
      </c>
      <c r="BI7" s="11" t="s">
        <v>113</v>
      </c>
      <c r="BJ7" s="11" t="s">
        <v>115</v>
      </c>
      <c r="BK7" s="11" t="s">
        <v>116</v>
      </c>
      <c r="BL7" s="9"/>
      <c r="BO7" s="20" t="s">
        <v>3</v>
      </c>
      <c r="BP7" s="20" t="s">
        <v>4</v>
      </c>
      <c r="BQ7" s="20" t="s">
        <v>5</v>
      </c>
      <c r="BR7" s="20" t="s">
        <v>6</v>
      </c>
      <c r="BS7" s="20" t="s">
        <v>7</v>
      </c>
      <c r="BT7" s="20" t="s">
        <v>8</v>
      </c>
      <c r="BU7" s="20" t="s">
        <v>9</v>
      </c>
      <c r="BV7" s="20" t="s">
        <v>10</v>
      </c>
      <c r="BW7" s="20" t="s">
        <v>11</v>
      </c>
      <c r="BX7" s="20" t="s">
        <v>12</v>
      </c>
      <c r="BY7" s="20" t="s">
        <v>13</v>
      </c>
      <c r="BZ7" s="20" t="s">
        <v>14</v>
      </c>
      <c r="CA7" s="20" t="s">
        <v>15</v>
      </c>
      <c r="CB7" s="20" t="s">
        <v>16</v>
      </c>
      <c r="CC7" s="20" t="s">
        <v>17</v>
      </c>
      <c r="CD7" s="20" t="s">
        <v>18</v>
      </c>
      <c r="CE7" s="20" t="s">
        <v>19</v>
      </c>
      <c r="CF7" s="20" t="s">
        <v>20</v>
      </c>
      <c r="CG7" s="20" t="s">
        <v>21</v>
      </c>
      <c r="CH7" s="20" t="s">
        <v>22</v>
      </c>
      <c r="CI7" s="20" t="s">
        <v>23</v>
      </c>
      <c r="CJ7" s="20" t="s">
        <v>24</v>
      </c>
      <c r="CK7" s="20" t="s">
        <v>25</v>
      </c>
      <c r="CL7" s="20" t="s">
        <v>26</v>
      </c>
      <c r="CM7" s="20" t="s">
        <v>27</v>
      </c>
      <c r="CN7" s="20" t="s">
        <v>28</v>
      </c>
      <c r="CO7" s="20" t="s">
        <v>29</v>
      </c>
      <c r="CP7" s="20" t="s">
        <v>30</v>
      </c>
      <c r="CQ7" s="20" t="s">
        <v>31</v>
      </c>
      <c r="CR7" s="20" t="s">
        <v>91</v>
      </c>
      <c r="CS7" s="20" t="s">
        <v>33</v>
      </c>
      <c r="CT7" s="20" t="s">
        <v>34</v>
      </c>
      <c r="CU7" s="20" t="s">
        <v>35</v>
      </c>
      <c r="CV7" s="20" t="s">
        <v>36</v>
      </c>
      <c r="CW7" s="20" t="s">
        <v>37</v>
      </c>
      <c r="CX7" s="20" t="s">
        <v>38</v>
      </c>
      <c r="CY7" s="20" t="s">
        <v>39</v>
      </c>
      <c r="CZ7" s="20" t="s">
        <v>40</v>
      </c>
      <c r="DA7" s="20" t="s">
        <v>41</v>
      </c>
      <c r="DB7" s="20" t="s">
        <v>42</v>
      </c>
      <c r="DC7" s="20" t="s">
        <v>43</v>
      </c>
      <c r="DD7" s="20" t="s">
        <v>44</v>
      </c>
      <c r="DE7" s="20" t="s">
        <v>45</v>
      </c>
      <c r="DF7" s="20" t="s">
        <v>46</v>
      </c>
      <c r="DG7" s="21" t="s">
        <v>47</v>
      </c>
      <c r="DH7" s="21" t="s">
        <v>48</v>
      </c>
      <c r="DI7" s="20" t="s">
        <v>49</v>
      </c>
      <c r="DJ7" s="20" t="s">
        <v>50</v>
      </c>
      <c r="DK7" s="20" t="s">
        <v>100</v>
      </c>
      <c r="DL7" s="20" t="s">
        <v>102</v>
      </c>
      <c r="DM7" s="20" t="s">
        <v>103</v>
      </c>
      <c r="DN7" s="20" t="s">
        <v>104</v>
      </c>
      <c r="DO7" s="20" t="s">
        <v>105</v>
      </c>
      <c r="DP7" s="20" t="s">
        <v>106</v>
      </c>
      <c r="DQ7" s="20" t="s">
        <v>107</v>
      </c>
      <c r="DR7" s="20" t="s">
        <v>108</v>
      </c>
      <c r="DS7" s="20" t="s">
        <v>113</v>
      </c>
      <c r="DT7" s="20" t="s">
        <v>115</v>
      </c>
      <c r="DU7" s="20" t="s">
        <v>116</v>
      </c>
    </row>
    <row r="8" spans="1:125" ht="13.5" customHeight="1" x14ac:dyDescent="0.2">
      <c r="A8" s="8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9"/>
      <c r="BN8" s="2" t="s">
        <v>51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1"/>
      <c r="DH8" s="21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</row>
    <row r="9" spans="1:125" ht="13.5" customHeight="1" x14ac:dyDescent="0.2">
      <c r="A9" s="8"/>
      <c r="B9" s="30" t="s">
        <v>68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9"/>
      <c r="BN9" s="2" t="s">
        <v>78</v>
      </c>
      <c r="CL9" s="2">
        <f t="shared" ref="CL9:CS9" si="0">SUM(CL10:CL19)</f>
        <v>5576</v>
      </c>
      <c r="CM9" s="2">
        <f t="shared" si="0"/>
        <v>5443</v>
      </c>
      <c r="CN9" s="2">
        <f t="shared" si="0"/>
        <v>5582</v>
      </c>
      <c r="CO9" s="2">
        <f t="shared" si="0"/>
        <v>5657</v>
      </c>
      <c r="CP9" s="2">
        <f t="shared" si="0"/>
        <v>5681</v>
      </c>
      <c r="CQ9" s="2">
        <f t="shared" si="0"/>
        <v>5472</v>
      </c>
      <c r="CR9" s="2">
        <f t="shared" si="0"/>
        <v>5426</v>
      </c>
      <c r="CS9" s="2">
        <f t="shared" si="0"/>
        <v>5264</v>
      </c>
      <c r="CT9" s="2">
        <v>4976</v>
      </c>
      <c r="CU9" s="2">
        <v>4918</v>
      </c>
      <c r="CV9" s="2">
        <v>4546</v>
      </c>
      <c r="CW9" s="2">
        <v>4455</v>
      </c>
      <c r="CX9" s="2">
        <v>4883</v>
      </c>
      <c r="CY9" s="2">
        <v>5240</v>
      </c>
      <c r="CZ9" s="2">
        <v>5459</v>
      </c>
      <c r="DA9" s="2">
        <v>5404</v>
      </c>
      <c r="DB9" s="2">
        <v>5600</v>
      </c>
      <c r="DC9" s="2">
        <v>5858</v>
      </c>
      <c r="DD9" s="2">
        <v>6166</v>
      </c>
      <c r="DE9" s="2">
        <v>6367</v>
      </c>
      <c r="DF9" s="2">
        <v>6814</v>
      </c>
      <c r="DG9" s="2">
        <v>7205</v>
      </c>
      <c r="DH9" s="2">
        <v>7521</v>
      </c>
      <c r="DI9" s="2">
        <v>7645</v>
      </c>
      <c r="DJ9" s="2">
        <v>8129</v>
      </c>
      <c r="DK9" s="2">
        <v>8640</v>
      </c>
      <c r="DL9" s="2">
        <v>8886</v>
      </c>
      <c r="DM9" s="2">
        <v>8835</v>
      </c>
      <c r="DN9" s="2">
        <v>8883</v>
      </c>
      <c r="DO9" s="2">
        <v>8601</v>
      </c>
      <c r="DP9" s="2">
        <v>8088</v>
      </c>
      <c r="DQ9" s="2">
        <v>7642</v>
      </c>
      <c r="DR9" s="2">
        <v>7241</v>
      </c>
      <c r="DS9" s="2">
        <v>7080</v>
      </c>
      <c r="DT9" s="2">
        <v>7156</v>
      </c>
      <c r="DU9" s="2">
        <v>7154</v>
      </c>
    </row>
    <row r="10" spans="1:125" ht="13.5" customHeight="1" x14ac:dyDescent="0.2">
      <c r="A10" s="8"/>
      <c r="C10" s="3" t="s">
        <v>71</v>
      </c>
      <c r="BL10" s="9"/>
      <c r="BN10" s="2" t="s">
        <v>77</v>
      </c>
      <c r="CL10" s="2">
        <v>247</v>
      </c>
      <c r="CM10" s="2">
        <v>255</v>
      </c>
      <c r="CN10" s="2">
        <v>225</v>
      </c>
      <c r="CO10" s="2">
        <v>222</v>
      </c>
      <c r="CP10" s="2">
        <v>215</v>
      </c>
      <c r="CQ10" s="2">
        <v>237</v>
      </c>
      <c r="CR10" s="2">
        <v>263</v>
      </c>
      <c r="CS10" s="2">
        <f>163+51</f>
        <v>214</v>
      </c>
      <c r="CT10" s="2">
        <v>180</v>
      </c>
      <c r="CU10" s="2">
        <f>148+32</f>
        <v>180</v>
      </c>
      <c r="CV10" s="2">
        <v>169</v>
      </c>
      <c r="CW10" s="2">
        <v>171</v>
      </c>
      <c r="CX10" s="2">
        <v>179</v>
      </c>
      <c r="CY10" s="2">
        <v>209</v>
      </c>
      <c r="CZ10" s="2">
        <v>253</v>
      </c>
      <c r="DA10" s="2">
        <f>224+74</f>
        <v>298</v>
      </c>
      <c r="DB10" s="2">
        <v>252</v>
      </c>
      <c r="DC10" s="2">
        <v>250</v>
      </c>
      <c r="DD10" s="2">
        <v>242</v>
      </c>
      <c r="DE10" s="2">
        <v>248</v>
      </c>
      <c r="DF10" s="2">
        <v>291</v>
      </c>
      <c r="DG10" s="2">
        <v>307</v>
      </c>
      <c r="DH10" s="2">
        <v>331</v>
      </c>
      <c r="DI10" s="2">
        <v>324</v>
      </c>
      <c r="DJ10" s="2">
        <v>311</v>
      </c>
      <c r="DK10" s="2">
        <v>309</v>
      </c>
      <c r="DL10" s="2">
        <v>316</v>
      </c>
      <c r="DM10" s="2">
        <v>237</v>
      </c>
      <c r="DN10" s="2">
        <v>173</v>
      </c>
      <c r="DO10" s="2">
        <v>142</v>
      </c>
      <c r="DP10" s="2">
        <v>110</v>
      </c>
      <c r="DQ10" s="2">
        <v>96</v>
      </c>
      <c r="DR10" s="2">
        <v>82</v>
      </c>
      <c r="DS10" s="2">
        <v>149</v>
      </c>
      <c r="DT10" s="2">
        <v>493</v>
      </c>
      <c r="DU10" s="2">
        <v>517</v>
      </c>
    </row>
    <row r="11" spans="1:125" ht="13.5" customHeight="1" x14ac:dyDescent="0.2">
      <c r="A11" s="8"/>
      <c r="D11" s="2" t="s">
        <v>114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>
        <f t="shared" ref="O11:O14" si="1">BY11/BY$20</f>
        <v>6.6014200729226633E-2</v>
      </c>
      <c r="P11" s="13">
        <f t="shared" ref="P11:P14" si="2">BZ11/BZ$20</f>
        <v>7.2182121043864525E-2</v>
      </c>
      <c r="Q11" s="13">
        <f t="shared" ref="Q11:Q14" si="3">CA11/CA$20</f>
        <v>6.9398430688753274E-2</v>
      </c>
      <c r="R11" s="13">
        <f t="shared" ref="R11:R14" si="4">CB11/CB$20</f>
        <v>5.4727183352449617E-2</v>
      </c>
      <c r="S11" s="13"/>
      <c r="T11" s="13"/>
      <c r="U11" s="13"/>
      <c r="V11" s="13"/>
      <c r="W11" s="13">
        <f t="shared" ref="W11:X14" si="5">CG11/CG$20</f>
        <v>4.8657958949332565E-2</v>
      </c>
      <c r="X11" s="13">
        <f t="shared" si="5"/>
        <v>5.3227808814400993E-2</v>
      </c>
      <c r="Y11" s="13">
        <f t="shared" ref="Y11:Y14" si="6">CI11/CI$20</f>
        <v>5.9195948084836976E-2</v>
      </c>
      <c r="Z11" s="13">
        <f t="shared" ref="Z11:AI14" si="7">CJ11/CJ$20</f>
        <v>5.5611899932386751E-2</v>
      </c>
      <c r="AA11" s="13">
        <f t="shared" si="7"/>
        <v>6.1670160726764497E-2</v>
      </c>
      <c r="AB11" s="13">
        <f t="shared" si="7"/>
        <v>6.1737661850253332E-2</v>
      </c>
      <c r="AC11" s="13">
        <f t="shared" si="7"/>
        <v>6.9969159599074793E-2</v>
      </c>
      <c r="AD11" s="13">
        <f t="shared" si="7"/>
        <v>7.5975359342915813E-2</v>
      </c>
      <c r="AE11" s="13">
        <f t="shared" si="7"/>
        <v>7.5620975160993559E-2</v>
      </c>
      <c r="AF11" s="13">
        <f t="shared" si="7"/>
        <v>0.10171972191730699</v>
      </c>
      <c r="AG11" s="13">
        <f t="shared" si="7"/>
        <v>8.2903533906399235E-2</v>
      </c>
      <c r="AH11" s="13">
        <f t="shared" si="7"/>
        <v>8.289754018981213E-2</v>
      </c>
      <c r="AI11" s="13">
        <f t="shared" si="7"/>
        <v>9.7029702970297033E-2</v>
      </c>
      <c r="AJ11" s="13">
        <f t="shared" ref="AJ11:AT14" si="8">CT11/CT$20</f>
        <v>0.10613010842368641</v>
      </c>
      <c r="AK11" s="13">
        <f t="shared" si="8"/>
        <v>0.1122836639932461</v>
      </c>
      <c r="AL11" s="13">
        <f t="shared" si="8"/>
        <v>0.11900571931368235</v>
      </c>
      <c r="AM11" s="13">
        <f t="shared" si="8"/>
        <v>0.13243546576879911</v>
      </c>
      <c r="AN11" s="13">
        <f t="shared" si="8"/>
        <v>0.15369897959183673</v>
      </c>
      <c r="AO11" s="13">
        <f t="shared" si="8"/>
        <v>0.16279069767441862</v>
      </c>
      <c r="AP11" s="13">
        <f t="shared" si="8"/>
        <v>0.14387245485977718</v>
      </c>
      <c r="AQ11" s="13">
        <f t="shared" si="8"/>
        <v>0.11750881316098707</v>
      </c>
      <c r="AR11" s="13">
        <f t="shared" si="8"/>
        <v>0.1056469708302169</v>
      </c>
      <c r="AS11" s="13">
        <f t="shared" si="8"/>
        <v>0.10431526390870186</v>
      </c>
      <c r="AT11" s="13">
        <f t="shared" si="8"/>
        <v>0.10449020931802835</v>
      </c>
      <c r="AU11" s="13">
        <f>DE11/DE$20</f>
        <v>0.11014871711063899</v>
      </c>
      <c r="AV11" s="13">
        <f>DF11/DF$20</f>
        <v>0.12555572589299402</v>
      </c>
      <c r="AW11" s="13">
        <f t="shared" ref="AV11:AY13" si="9">DG11/DG$20</f>
        <v>0.13917077413743115</v>
      </c>
      <c r="AX11" s="13">
        <f t="shared" si="9"/>
        <v>0.14394993045897078</v>
      </c>
      <c r="AY11" s="13">
        <f t="shared" si="9"/>
        <v>0.14260346947138369</v>
      </c>
      <c r="AZ11" s="13">
        <f t="shared" ref="AZ11:BK11" si="10">DJ11/DJ$20</f>
        <v>0.1634689178818112</v>
      </c>
      <c r="BA11" s="13">
        <f t="shared" si="10"/>
        <v>0.18197095186652262</v>
      </c>
      <c r="BB11" s="13">
        <f t="shared" si="10"/>
        <v>0.16091015169194867</v>
      </c>
      <c r="BC11" s="13">
        <f t="shared" si="10"/>
        <v>0.13421725982786695</v>
      </c>
      <c r="BD11" s="13">
        <f t="shared" si="10"/>
        <v>0.12101033295063146</v>
      </c>
      <c r="BE11" s="13">
        <f t="shared" si="10"/>
        <v>0.10521338219647712</v>
      </c>
      <c r="BF11" s="13">
        <f t="shared" si="10"/>
        <v>9.9147656054148908E-2</v>
      </c>
      <c r="BG11" s="13">
        <f t="shared" si="10"/>
        <v>8.4680625496952031E-2</v>
      </c>
      <c r="BH11" s="13">
        <f t="shared" si="10"/>
        <v>9.3448805699119994E-2</v>
      </c>
      <c r="BI11" s="13">
        <f t="shared" si="10"/>
        <v>0.11066224210070696</v>
      </c>
      <c r="BJ11" s="13">
        <f t="shared" si="10"/>
        <v>0.14693081194657062</v>
      </c>
      <c r="BK11" s="13">
        <f t="shared" si="10"/>
        <v>0.14675305107729394</v>
      </c>
      <c r="BL11" s="9"/>
      <c r="BN11" s="2" t="s">
        <v>114</v>
      </c>
      <c r="BY11" s="2">
        <v>344</v>
      </c>
      <c r="BZ11" s="2">
        <v>390</v>
      </c>
      <c r="CA11" s="2">
        <v>398</v>
      </c>
      <c r="CB11" s="2">
        <v>334</v>
      </c>
      <c r="CG11" s="2">
        <v>339</v>
      </c>
      <c r="CH11" s="2">
        <v>343</v>
      </c>
      <c r="CI11" s="2">
        <f>322+52</f>
        <v>374</v>
      </c>
      <c r="CJ11" s="2">
        <f>286+43</f>
        <v>329</v>
      </c>
      <c r="CK11" s="2">
        <f>309+44</f>
        <v>353</v>
      </c>
      <c r="CL11" s="2">
        <v>329</v>
      </c>
      <c r="CM11" s="2">
        <f>305+58</f>
        <v>363</v>
      </c>
      <c r="CN11" s="2">
        <v>407</v>
      </c>
      <c r="CO11" s="2">
        <v>411</v>
      </c>
      <c r="CP11" s="2">
        <v>556</v>
      </c>
      <c r="CQ11" s="2">
        <v>434</v>
      </c>
      <c r="CR11" s="2">
        <v>428</v>
      </c>
      <c r="CS11" s="2">
        <f>418+72</f>
        <v>490</v>
      </c>
      <c r="CT11" s="2">
        <v>509</v>
      </c>
      <c r="CU11" s="2">
        <f>420+112</f>
        <v>532</v>
      </c>
      <c r="CV11" s="2">
        <v>541</v>
      </c>
      <c r="CW11" s="2">
        <v>590</v>
      </c>
      <c r="CX11" s="2">
        <v>723</v>
      </c>
      <c r="CY11" s="2">
        <v>819</v>
      </c>
      <c r="CZ11" s="2">
        <v>749</v>
      </c>
      <c r="DA11" s="2">
        <f>463+137</f>
        <v>600</v>
      </c>
      <c r="DB11" s="2">
        <v>565</v>
      </c>
      <c r="DC11" s="2">
        <v>585</v>
      </c>
      <c r="DD11" s="2">
        <v>619</v>
      </c>
      <c r="DE11" s="2">
        <v>674</v>
      </c>
      <c r="DF11" s="2">
        <v>819</v>
      </c>
      <c r="DG11" s="2">
        <v>960</v>
      </c>
      <c r="DH11" s="2">
        <v>1035</v>
      </c>
      <c r="DI11" s="2">
        <v>1044</v>
      </c>
      <c r="DJ11" s="2">
        <v>1278</v>
      </c>
      <c r="DK11" s="2">
        <v>1516</v>
      </c>
      <c r="DL11" s="2">
        <v>1379</v>
      </c>
      <c r="DM11" s="2">
        <v>1154</v>
      </c>
      <c r="DN11" s="2">
        <v>1054</v>
      </c>
      <c r="DO11" s="2">
        <v>890</v>
      </c>
      <c r="DP11" s="2">
        <v>791</v>
      </c>
      <c r="DQ11" s="2">
        <v>639</v>
      </c>
      <c r="DR11" s="2">
        <v>669</v>
      </c>
      <c r="DS11" s="2">
        <v>767</v>
      </c>
      <c r="DT11" s="2">
        <v>979</v>
      </c>
      <c r="DU11" s="2">
        <v>974</v>
      </c>
    </row>
    <row r="12" spans="1:125" ht="13.5" customHeight="1" x14ac:dyDescent="0.2">
      <c r="A12" s="8"/>
      <c r="D12" s="2" t="s">
        <v>54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>
        <f t="shared" si="1"/>
        <v>3.8380349261178275E-3</v>
      </c>
      <c r="P12" s="13">
        <f t="shared" si="2"/>
        <v>1.1104941699056081E-3</v>
      </c>
      <c r="Q12" s="13">
        <f t="shared" si="3"/>
        <v>3.1386224934612031E-3</v>
      </c>
      <c r="R12" s="13">
        <f t="shared" si="4"/>
        <v>6.3902998525315422E-3</v>
      </c>
      <c r="S12" s="13"/>
      <c r="T12" s="13"/>
      <c r="U12" s="13"/>
      <c r="V12" s="13"/>
      <c r="W12" s="13">
        <f t="shared" si="5"/>
        <v>1.0908568967991961E-2</v>
      </c>
      <c r="X12" s="13">
        <f t="shared" si="5"/>
        <v>9.7765363128491621E-3</v>
      </c>
      <c r="Y12" s="13">
        <f t="shared" si="6"/>
        <v>9.4966761633428296E-3</v>
      </c>
      <c r="Z12" s="13">
        <f t="shared" si="7"/>
        <v>8.9587559161595672E-3</v>
      </c>
      <c r="AA12" s="13">
        <f t="shared" si="7"/>
        <v>8.7351502445842076E-3</v>
      </c>
      <c r="AB12" s="13">
        <f t="shared" si="7"/>
        <v>1.125914805779696E-2</v>
      </c>
      <c r="AC12" s="13">
        <f t="shared" si="7"/>
        <v>1.2721665381649962E-2</v>
      </c>
      <c r="AD12" s="13">
        <f t="shared" si="7"/>
        <v>1.1946985252940079E-2</v>
      </c>
      <c r="AE12" s="13">
        <f t="shared" si="7"/>
        <v>1.1959521619135235E-2</v>
      </c>
      <c r="AF12" s="13">
        <f t="shared" si="7"/>
        <v>1.0793999268203439E-2</v>
      </c>
      <c r="AG12" s="13">
        <f t="shared" si="7"/>
        <v>1.2989493791786055E-2</v>
      </c>
      <c r="AH12" s="13">
        <f t="shared" si="7"/>
        <v>1.4139066434243657E-2</v>
      </c>
      <c r="AI12" s="13">
        <f t="shared" si="7"/>
        <v>1.4653465346534653E-2</v>
      </c>
      <c r="AJ12" s="13">
        <f t="shared" si="8"/>
        <v>1.3969974979149291E-2</v>
      </c>
      <c r="AK12" s="13">
        <f t="shared" si="8"/>
        <v>1.2874630645842128E-2</v>
      </c>
      <c r="AL12" s="13">
        <f t="shared" si="8"/>
        <v>1.3198416190057193E-2</v>
      </c>
      <c r="AM12" s="13">
        <f t="shared" si="8"/>
        <v>1.3019079685746353E-2</v>
      </c>
      <c r="AN12" s="13">
        <f t="shared" si="8"/>
        <v>1.3392857142857142E-2</v>
      </c>
      <c r="AO12" s="13">
        <f t="shared" si="8"/>
        <v>1.6497714172132777E-2</v>
      </c>
      <c r="AP12" s="13">
        <f t="shared" si="8"/>
        <v>1.920860545524395E-2</v>
      </c>
      <c r="AQ12" s="13">
        <f t="shared" si="8"/>
        <v>1.9584802193497845E-2</v>
      </c>
      <c r="AR12" s="13">
        <f t="shared" si="8"/>
        <v>2.356020942408377E-2</v>
      </c>
      <c r="AS12" s="13">
        <f t="shared" si="8"/>
        <v>2.442938659058488E-2</v>
      </c>
      <c r="AT12" s="13">
        <f t="shared" si="8"/>
        <v>2.3463875759621878E-2</v>
      </c>
      <c r="AU12" s="13">
        <f t="shared" ref="AU12:AU14" si="11">DE12/DE$20</f>
        <v>2.1572152312469357E-2</v>
      </c>
      <c r="AV12" s="13">
        <f t="shared" si="9"/>
        <v>2.2842250498237009E-2</v>
      </c>
      <c r="AW12" s="13">
        <f t="shared" si="9"/>
        <v>2.3630037692084663E-2</v>
      </c>
      <c r="AX12" s="13">
        <f t="shared" si="9"/>
        <v>2.5034770514603615E-2</v>
      </c>
      <c r="AY12" s="13">
        <f t="shared" si="9"/>
        <v>2.5406365250648818E-2</v>
      </c>
      <c r="AZ12" s="13">
        <f t="shared" ref="AZ12:BK19" si="12">DJ12/DJ$20</f>
        <v>2.5454080327449474E-2</v>
      </c>
      <c r="BA12" s="13">
        <f t="shared" si="12"/>
        <v>3.0728604009122553E-2</v>
      </c>
      <c r="BB12" s="13">
        <f t="shared" si="12"/>
        <v>3.162193698949825E-2</v>
      </c>
      <c r="BC12" s="13">
        <f t="shared" si="12"/>
        <v>3.2914631309606888E-2</v>
      </c>
      <c r="BD12" s="13">
        <f t="shared" si="12"/>
        <v>3.7313432835820892E-2</v>
      </c>
      <c r="BE12" s="13">
        <f t="shared" si="12"/>
        <v>3.7711313394018203E-2</v>
      </c>
      <c r="BF12" s="13">
        <f t="shared" si="12"/>
        <v>4.2742541990473802E-2</v>
      </c>
      <c r="BG12" s="13">
        <f t="shared" si="12"/>
        <v>4.6912271402067322E-2</v>
      </c>
      <c r="BH12" s="13">
        <f t="shared" si="12"/>
        <v>5.0006984215672581E-2</v>
      </c>
      <c r="BI12" s="13">
        <f t="shared" si="12"/>
        <v>5.295051219160294E-2</v>
      </c>
      <c r="BJ12" s="13">
        <f t="shared" si="12"/>
        <v>5.5380459252588922E-2</v>
      </c>
      <c r="BK12" s="13">
        <f t="shared" si="12"/>
        <v>5.3789362663854152E-2</v>
      </c>
      <c r="BL12" s="9"/>
      <c r="BN12" s="2" t="s">
        <v>54</v>
      </c>
      <c r="BY12" s="2">
        <v>20</v>
      </c>
      <c r="BZ12" s="2">
        <v>6</v>
      </c>
      <c r="CA12" s="2">
        <v>18</v>
      </c>
      <c r="CB12" s="2">
        <v>39</v>
      </c>
      <c r="CG12" s="2">
        <v>76</v>
      </c>
      <c r="CH12" s="2">
        <v>63</v>
      </c>
      <c r="CI12" s="2">
        <f>45+15</f>
        <v>60</v>
      </c>
      <c r="CJ12" s="2">
        <f>42+11</f>
        <v>53</v>
      </c>
      <c r="CK12" s="2">
        <f>38+12</f>
        <v>50</v>
      </c>
      <c r="CL12" s="2">
        <v>60</v>
      </c>
      <c r="CM12" s="2">
        <f>51+15</f>
        <v>66</v>
      </c>
      <c r="CN12" s="2">
        <v>64</v>
      </c>
      <c r="CO12" s="2">
        <v>65</v>
      </c>
      <c r="CP12" s="2">
        <v>59</v>
      </c>
      <c r="CQ12" s="2">
        <v>68</v>
      </c>
      <c r="CR12" s="2">
        <v>73</v>
      </c>
      <c r="CS12" s="2">
        <f>61+13</f>
        <v>74</v>
      </c>
      <c r="CT12" s="2">
        <v>67</v>
      </c>
      <c r="CU12" s="2">
        <f>47+14</f>
        <v>61</v>
      </c>
      <c r="CV12" s="2">
        <v>60</v>
      </c>
      <c r="CW12" s="2">
        <v>58</v>
      </c>
      <c r="CX12" s="2">
        <v>63</v>
      </c>
      <c r="CY12" s="2">
        <v>83</v>
      </c>
      <c r="CZ12" s="2">
        <v>100</v>
      </c>
      <c r="DA12" s="2">
        <f>74+26</f>
        <v>100</v>
      </c>
      <c r="DB12" s="2">
        <v>126</v>
      </c>
      <c r="DC12" s="2">
        <v>137</v>
      </c>
      <c r="DD12" s="2">
        <v>139</v>
      </c>
      <c r="DE12" s="2">
        <v>132</v>
      </c>
      <c r="DF12" s="2">
        <v>149</v>
      </c>
      <c r="DG12" s="2">
        <v>163</v>
      </c>
      <c r="DH12" s="2">
        <v>180</v>
      </c>
      <c r="DI12" s="2">
        <v>186</v>
      </c>
      <c r="DJ12" s="2">
        <v>199</v>
      </c>
      <c r="DK12" s="2">
        <v>256</v>
      </c>
      <c r="DL12" s="2">
        <v>271</v>
      </c>
      <c r="DM12" s="2">
        <v>283</v>
      </c>
      <c r="DN12" s="2">
        <v>325</v>
      </c>
      <c r="DO12" s="2">
        <v>319</v>
      </c>
      <c r="DP12" s="2">
        <v>341</v>
      </c>
      <c r="DQ12" s="2">
        <v>354</v>
      </c>
      <c r="DR12" s="2">
        <v>358</v>
      </c>
      <c r="DS12" s="2">
        <v>367</v>
      </c>
      <c r="DT12" s="2">
        <v>369</v>
      </c>
      <c r="DU12" s="2">
        <v>357</v>
      </c>
    </row>
    <row r="13" spans="1:125" ht="13.5" customHeight="1" x14ac:dyDescent="0.2">
      <c r="A13" s="8"/>
      <c r="D13" s="2" t="s">
        <v>52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>
        <f t="shared" si="1"/>
        <v>3.8380349261178275E-3</v>
      </c>
      <c r="P13" s="13">
        <f t="shared" si="2"/>
        <v>2.2209883398112162E-3</v>
      </c>
      <c r="Q13" s="13">
        <f t="shared" si="3"/>
        <v>2.6155187445510027E-3</v>
      </c>
      <c r="R13" s="13">
        <f t="shared" si="4"/>
        <v>4.9156152711781094E-3</v>
      </c>
      <c r="S13" s="13"/>
      <c r="T13" s="13"/>
      <c r="U13" s="13"/>
      <c r="V13" s="13"/>
      <c r="W13" s="13">
        <f t="shared" si="5"/>
        <v>2.1530070331563082E-3</v>
      </c>
      <c r="X13" s="13">
        <f t="shared" si="5"/>
        <v>1.8621973929236499E-3</v>
      </c>
      <c r="Y13" s="13">
        <f t="shared" si="6"/>
        <v>2.5324469768914213E-3</v>
      </c>
      <c r="Z13" s="13">
        <f t="shared" si="7"/>
        <v>3.0425963488843813E-3</v>
      </c>
      <c r="AA13" s="13">
        <f t="shared" si="7"/>
        <v>3.6687631027253671E-3</v>
      </c>
      <c r="AB13" s="13">
        <f t="shared" si="7"/>
        <v>3.377744417339088E-3</v>
      </c>
      <c r="AC13" s="13">
        <f t="shared" si="7"/>
        <v>1.7347725520431765E-3</v>
      </c>
      <c r="AD13" s="13">
        <f t="shared" si="7"/>
        <v>1.8667164457718873E-3</v>
      </c>
      <c r="AE13" s="13">
        <f t="shared" si="7"/>
        <v>2.2079116835326588E-3</v>
      </c>
      <c r="AF13" s="13">
        <f t="shared" si="7"/>
        <v>3.1101353823637027E-3</v>
      </c>
      <c r="AG13" s="13">
        <f t="shared" si="7"/>
        <v>2.4832855778414518E-3</v>
      </c>
      <c r="AH13" s="13">
        <f t="shared" si="7"/>
        <v>3.4863451481696689E-3</v>
      </c>
      <c r="AI13" s="13">
        <f t="shared" si="7"/>
        <v>5.1485148514851488E-3</v>
      </c>
      <c r="AJ13" s="13">
        <f t="shared" si="8"/>
        <v>5.2126772310258545E-3</v>
      </c>
      <c r="AK13" s="13">
        <f t="shared" si="8"/>
        <v>4.8543689320388345E-3</v>
      </c>
      <c r="AL13" s="13">
        <f t="shared" si="8"/>
        <v>4.8394192696876379E-3</v>
      </c>
      <c r="AM13" s="13">
        <f t="shared" si="8"/>
        <v>5.3872053872053875E-3</v>
      </c>
      <c r="AN13" s="13">
        <f t="shared" si="8"/>
        <v>5.5272108843537416E-3</v>
      </c>
      <c r="AO13" s="13">
        <f t="shared" si="8"/>
        <v>4.5716557344464325E-3</v>
      </c>
      <c r="AP13" s="13">
        <f t="shared" si="8"/>
        <v>5.1863234729158667E-3</v>
      </c>
      <c r="AQ13" s="13">
        <f t="shared" si="8"/>
        <v>4.5045045045045045E-3</v>
      </c>
      <c r="AR13" s="13">
        <f t="shared" si="8"/>
        <v>3.9267015706806281E-3</v>
      </c>
      <c r="AS13" s="13">
        <f t="shared" si="8"/>
        <v>3.566333808844508E-3</v>
      </c>
      <c r="AT13" s="13">
        <f t="shared" si="8"/>
        <v>5.5705604321404454E-3</v>
      </c>
      <c r="AU13" s="13">
        <f t="shared" si="11"/>
        <v>5.3930380781173392E-3</v>
      </c>
      <c r="AV13" s="13">
        <f t="shared" si="9"/>
        <v>6.5920588686187338E-3</v>
      </c>
      <c r="AW13" s="13">
        <f t="shared" si="9"/>
        <v>5.2189040301536677E-3</v>
      </c>
      <c r="AX13" s="13">
        <f t="shared" si="9"/>
        <v>4.5897079276773292E-3</v>
      </c>
      <c r="AY13" s="13">
        <f t="shared" si="9"/>
        <v>4.7807676546919821E-3</v>
      </c>
      <c r="AZ13" s="13">
        <f t="shared" si="12"/>
        <v>3.7093885904323355E-3</v>
      </c>
      <c r="BA13" s="13">
        <f t="shared" si="12"/>
        <v>3.6010082823190494E-3</v>
      </c>
      <c r="BB13" s="13">
        <f t="shared" si="12"/>
        <v>3.38389731621937E-3</v>
      </c>
      <c r="BC13" s="13">
        <f t="shared" si="12"/>
        <v>3.6054896487555245E-3</v>
      </c>
      <c r="BD13" s="13">
        <f t="shared" si="12"/>
        <v>2.7554535017221583E-3</v>
      </c>
      <c r="BE13" s="13">
        <f t="shared" si="12"/>
        <v>2.8372148008038774E-3</v>
      </c>
      <c r="BF13" s="13">
        <f t="shared" si="12"/>
        <v>2.8829280521433945E-3</v>
      </c>
      <c r="BG13" s="13">
        <f t="shared" si="12"/>
        <v>2.3853697323085077E-3</v>
      </c>
      <c r="BH13" s="13">
        <f t="shared" si="12"/>
        <v>3.3524235228383852E-3</v>
      </c>
      <c r="BI13" s="13">
        <f t="shared" si="12"/>
        <v>2.5970278459096813E-3</v>
      </c>
      <c r="BJ13" s="13">
        <f t="shared" si="12"/>
        <v>3.9021461803992194E-3</v>
      </c>
      <c r="BK13" s="13">
        <f t="shared" si="12"/>
        <v>3.9174325749585653E-3</v>
      </c>
      <c r="BL13" s="9"/>
      <c r="BN13" s="2" t="s">
        <v>52</v>
      </c>
      <c r="BY13" s="2">
        <v>20</v>
      </c>
      <c r="BZ13" s="2">
        <v>12</v>
      </c>
      <c r="CA13" s="2">
        <v>15</v>
      </c>
      <c r="CB13" s="2">
        <v>30</v>
      </c>
      <c r="CG13" s="2">
        <v>15</v>
      </c>
      <c r="CH13" s="2">
        <v>12</v>
      </c>
      <c r="CI13" s="2">
        <f>13+3</f>
        <v>16</v>
      </c>
      <c r="CJ13" s="2">
        <f>12+6</f>
        <v>18</v>
      </c>
      <c r="CK13" s="2">
        <f>13+8</f>
        <v>21</v>
      </c>
      <c r="CL13" s="2">
        <v>18</v>
      </c>
      <c r="CM13" s="2">
        <f>5+4</f>
        <v>9</v>
      </c>
      <c r="CN13" s="2">
        <v>10</v>
      </c>
      <c r="CO13" s="2">
        <v>12</v>
      </c>
      <c r="CP13" s="2">
        <v>17</v>
      </c>
      <c r="CQ13" s="2">
        <v>13</v>
      </c>
      <c r="CR13" s="2">
        <v>18</v>
      </c>
      <c r="CS13" s="2">
        <f>14+12</f>
        <v>26</v>
      </c>
      <c r="CT13" s="2">
        <v>25</v>
      </c>
      <c r="CU13" s="2">
        <f>16+7</f>
        <v>23</v>
      </c>
      <c r="CV13" s="2">
        <v>22</v>
      </c>
      <c r="CW13" s="2">
        <v>24</v>
      </c>
      <c r="CX13" s="2">
        <v>26</v>
      </c>
      <c r="CY13" s="2">
        <v>23</v>
      </c>
      <c r="CZ13" s="2">
        <v>27</v>
      </c>
      <c r="DA13" s="2">
        <f>15+8</f>
        <v>23</v>
      </c>
      <c r="DB13" s="2">
        <v>21</v>
      </c>
      <c r="DC13" s="2">
        <v>20</v>
      </c>
      <c r="DD13" s="2">
        <v>33</v>
      </c>
      <c r="DE13" s="2">
        <v>33</v>
      </c>
      <c r="DF13" s="2">
        <f>44-1</f>
        <v>43</v>
      </c>
      <c r="DG13" s="2">
        <v>36</v>
      </c>
      <c r="DH13" s="2">
        <v>33</v>
      </c>
      <c r="DI13" s="2">
        <v>35</v>
      </c>
      <c r="DJ13" s="2">
        <v>29</v>
      </c>
      <c r="DK13" s="2">
        <v>30</v>
      </c>
      <c r="DL13" s="2">
        <v>29</v>
      </c>
      <c r="DM13" s="2">
        <v>31</v>
      </c>
      <c r="DN13" s="2">
        <v>24</v>
      </c>
      <c r="DO13" s="2">
        <v>24</v>
      </c>
      <c r="DP13" s="2">
        <v>23</v>
      </c>
      <c r="DQ13" s="2">
        <v>18</v>
      </c>
      <c r="DR13" s="2">
        <v>24</v>
      </c>
      <c r="DS13" s="2">
        <v>18</v>
      </c>
      <c r="DT13" s="2">
        <v>26</v>
      </c>
      <c r="DU13" s="2">
        <v>26</v>
      </c>
    </row>
    <row r="14" spans="1:125" ht="13.5" hidden="1" customHeight="1" x14ac:dyDescent="0.2">
      <c r="A14" s="8"/>
      <c r="D14" s="2" t="s">
        <v>85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>
        <f t="shared" si="1"/>
        <v>5.1813471502590676E-3</v>
      </c>
      <c r="P14" s="13">
        <f t="shared" si="2"/>
        <v>3.886729594669628E-3</v>
      </c>
      <c r="Q14" s="13">
        <f t="shared" si="3"/>
        <v>8.5440278988666088E-3</v>
      </c>
      <c r="R14" s="13">
        <f t="shared" si="4"/>
        <v>1.6876945764378176E-2</v>
      </c>
      <c r="S14" s="13"/>
      <c r="T14" s="13"/>
      <c r="U14" s="13"/>
      <c r="V14" s="13"/>
      <c r="W14" s="13">
        <f t="shared" si="5"/>
        <v>3.0572699870819578E-2</v>
      </c>
      <c r="X14" s="13">
        <f t="shared" si="5"/>
        <v>3.4295468653010551E-2</v>
      </c>
      <c r="Y14" s="13">
        <f t="shared" si="6"/>
        <v>4.0360873694207031E-2</v>
      </c>
      <c r="Z14" s="13">
        <f t="shared" si="7"/>
        <v>4.1920216362407031E-2</v>
      </c>
      <c r="AA14" s="13">
        <f t="shared" si="7"/>
        <v>4.7693920335429768E-2</v>
      </c>
      <c r="AB14" s="13">
        <f t="shared" si="7"/>
        <v>5.3105648339275661E-2</v>
      </c>
      <c r="AC14" s="13">
        <f t="shared" si="7"/>
        <v>5.7440246723207404E-2</v>
      </c>
      <c r="AD14" s="13">
        <f t="shared" si="7"/>
        <v>6.1788314355049466E-2</v>
      </c>
      <c r="AE14" s="13">
        <f t="shared" si="7"/>
        <v>6.3293468261269553E-2</v>
      </c>
      <c r="AF14" s="13">
        <f t="shared" si="7"/>
        <v>3.1467252103915114E-2</v>
      </c>
      <c r="AG14" s="13">
        <f t="shared" si="7"/>
        <v>3.4192932187201527E-2</v>
      </c>
      <c r="AH14" s="13">
        <f t="shared" si="7"/>
        <v>3.234553554135193E-2</v>
      </c>
      <c r="AI14" s="13">
        <f t="shared" si="7"/>
        <v>3.1881188118811882E-2</v>
      </c>
      <c r="AJ14" s="13">
        <f t="shared" si="8"/>
        <v>2.8148457047539616E-2</v>
      </c>
      <c r="AK14" s="13">
        <f t="shared" si="8"/>
        <v>2.8915154073448711E-2</v>
      </c>
      <c r="AL14" s="13">
        <f t="shared" si="8"/>
        <v>2.7496700395952485E-2</v>
      </c>
      <c r="AM14" s="13">
        <f t="shared" si="8"/>
        <v>2.850729517396184E-2</v>
      </c>
      <c r="AN14" s="13">
        <f t="shared" si="8"/>
        <v>2.7210884353741496E-2</v>
      </c>
      <c r="AO14" s="13">
        <f t="shared" si="8"/>
        <v>2.7231166766050488E-2</v>
      </c>
      <c r="AP14" s="13">
        <f t="shared" si="8"/>
        <v>2.9004994237418362E-2</v>
      </c>
      <c r="AQ14" s="13">
        <f t="shared" si="8"/>
        <v>2.7810419114766942E-2</v>
      </c>
      <c r="AR14" s="13">
        <f t="shared" si="8"/>
        <v>2.9543754674644727E-2</v>
      </c>
      <c r="AS14" s="13">
        <f t="shared" si="8"/>
        <v>3.5306704707560629E-2</v>
      </c>
      <c r="AT14" s="13">
        <f t="shared" si="8"/>
        <v>3.3423362592842676E-2</v>
      </c>
      <c r="AU14" s="13">
        <f t="shared" si="11"/>
        <v>3.1214250694557934E-2</v>
      </c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9"/>
      <c r="BN14" s="2" t="s">
        <v>85</v>
      </c>
      <c r="BY14" s="2">
        <v>27</v>
      </c>
      <c r="BZ14" s="2">
        <v>21</v>
      </c>
      <c r="CA14" s="2">
        <v>49</v>
      </c>
      <c r="CB14" s="2">
        <v>103</v>
      </c>
      <c r="CG14" s="2">
        <v>213</v>
      </c>
      <c r="CH14" s="2">
        <v>221</v>
      </c>
      <c r="CI14" s="2">
        <f>198+57</f>
        <v>255</v>
      </c>
      <c r="CJ14" s="2">
        <f>197+51</f>
        <v>248</v>
      </c>
      <c r="CK14" s="2">
        <f>221+52</f>
        <v>273</v>
      </c>
      <c r="CL14" s="2">
        <v>283</v>
      </c>
      <c r="CM14" s="2">
        <f>243+55</f>
        <v>298</v>
      </c>
      <c r="CN14" s="2">
        <v>331</v>
      </c>
      <c r="CO14" s="2">
        <v>344</v>
      </c>
      <c r="CP14" s="2">
        <v>172</v>
      </c>
      <c r="CQ14" s="2">
        <v>179</v>
      </c>
      <c r="CR14" s="2">
        <v>167</v>
      </c>
      <c r="CS14" s="2">
        <f>125+36</f>
        <v>161</v>
      </c>
      <c r="CT14" s="2">
        <v>135</v>
      </c>
      <c r="CU14" s="2">
        <f>115+22</f>
        <v>137</v>
      </c>
      <c r="CV14" s="2">
        <v>125</v>
      </c>
      <c r="CW14" s="2">
        <v>127</v>
      </c>
      <c r="CX14" s="2">
        <v>128</v>
      </c>
      <c r="CY14" s="2">
        <v>137</v>
      </c>
      <c r="CZ14" s="2">
        <v>151</v>
      </c>
      <c r="DA14" s="2">
        <f>107+35</f>
        <v>142</v>
      </c>
      <c r="DB14" s="2">
        <v>158</v>
      </c>
      <c r="DC14" s="2">
        <v>198</v>
      </c>
      <c r="DD14" s="2">
        <v>198</v>
      </c>
      <c r="DE14" s="2">
        <v>191</v>
      </c>
    </row>
    <row r="15" spans="1:125" ht="13.5" customHeight="1" x14ac:dyDescent="0.2">
      <c r="A15" s="8"/>
      <c r="D15" s="2" t="s">
        <v>53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>
        <f t="shared" ref="AV15:AV19" si="13">DF15/DF$20</f>
        <v>2.6674842863713015E-2</v>
      </c>
      <c r="AW15" s="13">
        <f t="shared" ref="AW15:AW19" si="14">DG15/DG$20</f>
        <v>2.2615250797332561E-2</v>
      </c>
      <c r="AX15" s="13">
        <f t="shared" ref="AX15:AX19" si="15">DH15/DH$20</f>
        <v>2.1696801112656466E-2</v>
      </c>
      <c r="AY15" s="13">
        <f t="shared" ref="AY15:AY19" si="16">DI15/DI$20</f>
        <v>2.2128124573145745E-2</v>
      </c>
      <c r="AZ15" s="13">
        <f t="shared" si="12"/>
        <v>2.4430800716295727E-2</v>
      </c>
      <c r="BA15" s="13">
        <f t="shared" si="12"/>
        <v>2.7127595726803504E-2</v>
      </c>
      <c r="BB15" s="13">
        <f t="shared" si="12"/>
        <v>3.127187864644107E-2</v>
      </c>
      <c r="BC15" s="13">
        <f t="shared" si="12"/>
        <v>3.4659223075133749E-2</v>
      </c>
      <c r="BD15" s="13">
        <f t="shared" si="12"/>
        <v>3.6050516647531575E-2</v>
      </c>
      <c r="BE15" s="13">
        <f t="shared" si="12"/>
        <v>3.7238444260550896E-2</v>
      </c>
      <c r="BF15" s="13">
        <f t="shared" si="12"/>
        <v>3.9734269240411131E-2</v>
      </c>
      <c r="BG15" s="13">
        <f t="shared" si="12"/>
        <v>3.9756162205141797E-2</v>
      </c>
      <c r="BH15" s="13">
        <f t="shared" si="12"/>
        <v>4.1765609722028217E-2</v>
      </c>
      <c r="BI15" s="13">
        <f t="shared" si="12"/>
        <v>4.1408166209782139E-2</v>
      </c>
      <c r="BJ15" s="13">
        <f t="shared" si="12"/>
        <v>4.2473360348191505E-2</v>
      </c>
      <c r="BK15" s="13">
        <f t="shared" si="12"/>
        <v>4.4297122193762244E-2</v>
      </c>
      <c r="BL15" s="9"/>
      <c r="BN15" s="2" t="s">
        <v>53</v>
      </c>
      <c r="DF15" s="2">
        <v>174</v>
      </c>
      <c r="DG15" s="2">
        <v>156</v>
      </c>
      <c r="DH15" s="2">
        <v>156</v>
      </c>
      <c r="DI15" s="2">
        <v>162</v>
      </c>
      <c r="DJ15" s="2">
        <v>191</v>
      </c>
      <c r="DK15" s="2">
        <v>226</v>
      </c>
      <c r="DL15" s="2">
        <v>268</v>
      </c>
      <c r="DM15" s="2">
        <v>298</v>
      </c>
      <c r="DN15" s="2">
        <v>314</v>
      </c>
      <c r="DO15" s="2">
        <v>315</v>
      </c>
      <c r="DP15" s="2">
        <v>317</v>
      </c>
      <c r="DQ15" s="2">
        <v>300</v>
      </c>
      <c r="DR15" s="2">
        <v>299</v>
      </c>
      <c r="DS15" s="2">
        <v>287</v>
      </c>
      <c r="DT15" s="2">
        <v>283</v>
      </c>
      <c r="DU15" s="2">
        <v>294</v>
      </c>
    </row>
    <row r="16" spans="1:125" ht="13.5" customHeight="1" x14ac:dyDescent="0.2">
      <c r="A16" s="8"/>
      <c r="D16" s="2" t="s">
        <v>65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>
        <f t="shared" ref="O16" si="17">BY16/BY$20</f>
        <v>3.147188639416619E-2</v>
      </c>
      <c r="P16" s="13">
        <f t="shared" ref="P16" si="18">BZ16/BZ$20</f>
        <v>3.2389413288913566E-2</v>
      </c>
      <c r="Q16" s="13">
        <f t="shared" ref="Q16" si="19">CA16/CA$20</f>
        <v>3.3129904097646032E-2</v>
      </c>
      <c r="R16" s="13">
        <f t="shared" ref="R16" si="20">CB16/CB$20</f>
        <v>3.768638374569884E-2</v>
      </c>
      <c r="S16" s="13"/>
      <c r="T16" s="13"/>
      <c r="U16" s="13"/>
      <c r="V16" s="13"/>
      <c r="W16" s="13">
        <f t="shared" ref="W16:X16" si="21">CG16/CG$20</f>
        <v>2.5261949189034016E-2</v>
      </c>
      <c r="X16" s="13">
        <f t="shared" si="21"/>
        <v>2.4829298572315334E-2</v>
      </c>
      <c r="Y16" s="13">
        <f t="shared" ref="Y16" si="22">CI16/CI$20</f>
        <v>2.2792022792022793E-2</v>
      </c>
      <c r="Z16" s="13">
        <f t="shared" ref="Z16:AI16" si="23">CJ16/CJ$20</f>
        <v>2.5354969574036511E-2</v>
      </c>
      <c r="AA16" s="13">
        <f t="shared" si="23"/>
        <v>2.445842068483578E-2</v>
      </c>
      <c r="AB16" s="13">
        <f t="shared" si="23"/>
        <v>3.077500469131169E-2</v>
      </c>
      <c r="AC16" s="13">
        <f t="shared" si="23"/>
        <v>3.2767925983037779E-2</v>
      </c>
      <c r="AD16" s="13">
        <f t="shared" si="23"/>
        <v>3.2480866156430838E-2</v>
      </c>
      <c r="AE16" s="13">
        <f t="shared" si="23"/>
        <v>3.532658693652254E-2</v>
      </c>
      <c r="AF16" s="13">
        <f t="shared" si="23"/>
        <v>3.8785217709476766E-2</v>
      </c>
      <c r="AG16" s="13">
        <f t="shared" si="23"/>
        <v>3.5530085959885389E-2</v>
      </c>
      <c r="AH16" s="13">
        <f t="shared" si="23"/>
        <v>3.3313964749176833E-2</v>
      </c>
      <c r="AI16" s="13">
        <f t="shared" si="23"/>
        <v>3.1089108910891089E-2</v>
      </c>
      <c r="AJ16" s="13">
        <f t="shared" ref="AJ16:AT16" si="24">CT16/CT$20</f>
        <v>3.0233527939949958E-2</v>
      </c>
      <c r="AK16" s="13">
        <f t="shared" si="24"/>
        <v>3.2503165892781766E-2</v>
      </c>
      <c r="AL16" s="13">
        <f t="shared" si="24"/>
        <v>3.7395512538495379E-2</v>
      </c>
      <c r="AM16" s="13">
        <f t="shared" si="24"/>
        <v>3.7710437710437708E-2</v>
      </c>
      <c r="AN16" s="13">
        <f t="shared" si="24"/>
        <v>4.187925170068027E-2</v>
      </c>
      <c r="AO16" s="13">
        <f t="shared" si="24"/>
        <v>4.2337507453786526E-2</v>
      </c>
      <c r="AP16" s="13">
        <f t="shared" si="24"/>
        <v>4.4179792547061086E-2</v>
      </c>
      <c r="AQ16" s="13">
        <f t="shared" si="24"/>
        <v>4.2694868781825303E-2</v>
      </c>
      <c r="AR16" s="13">
        <f t="shared" si="24"/>
        <v>4.4315632011967088E-2</v>
      </c>
      <c r="AS16" s="13">
        <f t="shared" si="24"/>
        <v>4.3687589158345218E-2</v>
      </c>
      <c r="AT16" s="13">
        <f t="shared" si="24"/>
        <v>4.5746117488183663E-2</v>
      </c>
      <c r="AU16" s="13">
        <f>DE16/DE$20</f>
        <v>4.8864193495669228E-2</v>
      </c>
      <c r="AV16" s="13">
        <f t="shared" si="13"/>
        <v>5.3809596811283153E-2</v>
      </c>
      <c r="AW16" s="13">
        <f t="shared" si="14"/>
        <v>4.5665410263844596E-2</v>
      </c>
      <c r="AX16" s="13">
        <f t="shared" si="15"/>
        <v>4.8817802503477052E-2</v>
      </c>
      <c r="AY16" s="13">
        <f t="shared" si="16"/>
        <v>4.3300095615353092E-2</v>
      </c>
      <c r="AZ16" s="13">
        <f t="shared" si="12"/>
        <v>4.118700434893835E-2</v>
      </c>
      <c r="BA16" s="13">
        <f t="shared" si="12"/>
        <v>3.4809746729084143E-2</v>
      </c>
      <c r="BB16" s="13">
        <f t="shared" si="12"/>
        <v>3.4422403733955657E-2</v>
      </c>
      <c r="BC16" s="13">
        <f t="shared" si="12"/>
        <v>3.4077692486624796E-2</v>
      </c>
      <c r="BD16" s="13">
        <f t="shared" si="12"/>
        <v>3.2032146957520088E-2</v>
      </c>
      <c r="BE16" s="13">
        <f t="shared" si="12"/>
        <v>3.1091145525475823E-2</v>
      </c>
      <c r="BF16" s="13">
        <f t="shared" si="12"/>
        <v>3.3843068438205066E-2</v>
      </c>
      <c r="BG16" s="13">
        <f t="shared" si="12"/>
        <v>3.6840710310098064E-2</v>
      </c>
      <c r="BH16" s="13">
        <f t="shared" si="12"/>
        <v>3.3803603855287051E-2</v>
      </c>
      <c r="BI16" s="13">
        <f t="shared" si="12"/>
        <v>3.2462848073871016E-2</v>
      </c>
      <c r="BJ16" s="13">
        <f t="shared" si="12"/>
        <v>3.1667417079393669E-2</v>
      </c>
      <c r="BK16" s="13">
        <f t="shared" si="12"/>
        <v>3.2846165436191052E-2</v>
      </c>
      <c r="BL16" s="9"/>
      <c r="BN16" s="2" t="s">
        <v>65</v>
      </c>
      <c r="BY16" s="2">
        <v>164</v>
      </c>
      <c r="BZ16" s="2">
        <v>175</v>
      </c>
      <c r="CA16" s="2">
        <v>190</v>
      </c>
      <c r="CB16" s="2">
        <v>230</v>
      </c>
      <c r="CG16" s="2">
        <v>176</v>
      </c>
      <c r="CH16" s="2">
        <v>160</v>
      </c>
      <c r="CI16" s="2">
        <f>87+57</f>
        <v>144</v>
      </c>
      <c r="CJ16" s="2">
        <f>94+56</f>
        <v>150</v>
      </c>
      <c r="CK16" s="2">
        <f>88+52</f>
        <v>140</v>
      </c>
      <c r="CL16" s="2">
        <v>164</v>
      </c>
      <c r="CM16" s="2">
        <f>108+62</f>
        <v>170</v>
      </c>
      <c r="CN16" s="2">
        <v>174</v>
      </c>
      <c r="CO16" s="2">
        <v>192</v>
      </c>
      <c r="CP16" s="2">
        <v>212</v>
      </c>
      <c r="CQ16" s="2">
        <v>186</v>
      </c>
      <c r="CR16" s="2">
        <v>172</v>
      </c>
      <c r="CS16" s="2">
        <f>97+60</f>
        <v>157</v>
      </c>
      <c r="CT16" s="2">
        <v>145</v>
      </c>
      <c r="CU16" s="2">
        <f>104+50</f>
        <v>154</v>
      </c>
      <c r="CV16" s="2">
        <v>170</v>
      </c>
      <c r="CW16" s="2">
        <v>168</v>
      </c>
      <c r="CX16" s="2">
        <v>197</v>
      </c>
      <c r="CY16" s="2">
        <v>213</v>
      </c>
      <c r="CZ16" s="2">
        <v>230</v>
      </c>
      <c r="DA16" s="2">
        <f>158+60</f>
        <v>218</v>
      </c>
      <c r="DB16" s="2">
        <v>237</v>
      </c>
      <c r="DC16" s="2">
        <v>245</v>
      </c>
      <c r="DD16" s="2">
        <v>271</v>
      </c>
      <c r="DE16" s="2">
        <v>299</v>
      </c>
      <c r="DF16" s="2">
        <f>352-1</f>
        <v>351</v>
      </c>
      <c r="DG16" s="2">
        <v>315</v>
      </c>
      <c r="DH16" s="2">
        <v>351</v>
      </c>
      <c r="DI16" s="2">
        <v>317</v>
      </c>
      <c r="DJ16" s="2">
        <v>322</v>
      </c>
      <c r="DK16" s="2">
        <v>290</v>
      </c>
      <c r="DL16" s="2">
        <v>295</v>
      </c>
      <c r="DM16" s="2">
        <v>293</v>
      </c>
      <c r="DN16" s="2">
        <v>279</v>
      </c>
      <c r="DO16" s="2">
        <v>263</v>
      </c>
      <c r="DP16" s="2">
        <v>270</v>
      </c>
      <c r="DQ16" s="2">
        <v>278</v>
      </c>
      <c r="DR16" s="2">
        <v>242</v>
      </c>
      <c r="DS16" s="2">
        <v>225</v>
      </c>
      <c r="DT16" s="2">
        <v>211</v>
      </c>
      <c r="DU16" s="2">
        <v>218</v>
      </c>
    </row>
    <row r="17" spans="1:125" ht="13.5" customHeight="1" x14ac:dyDescent="0.2">
      <c r="A17" s="8"/>
      <c r="D17" s="2" t="s">
        <v>64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>
        <f t="shared" si="13"/>
        <v>0</v>
      </c>
      <c r="AW17" s="13">
        <f t="shared" si="14"/>
        <v>1.7396346767178893E-3</v>
      </c>
      <c r="AX17" s="13">
        <f t="shared" si="15"/>
        <v>2.3643949930458969E-3</v>
      </c>
      <c r="AY17" s="13">
        <f t="shared" si="16"/>
        <v>1.9123070618767928E-3</v>
      </c>
      <c r="AZ17" s="13">
        <f t="shared" si="12"/>
        <v>2.0465592223074956E-3</v>
      </c>
      <c r="BA17" s="13">
        <f t="shared" si="12"/>
        <v>1.6804705317488896E-3</v>
      </c>
      <c r="BB17" s="13">
        <f t="shared" si="12"/>
        <v>8.1680280046674447E-4</v>
      </c>
      <c r="BC17" s="13">
        <f t="shared" si="12"/>
        <v>5.8153058850895557E-4</v>
      </c>
      <c r="BD17" s="13">
        <f t="shared" si="12"/>
        <v>1.148105625717566E-4</v>
      </c>
      <c r="BE17" s="13">
        <f t="shared" si="12"/>
        <v>1.1821728336682824E-4</v>
      </c>
      <c r="BF17" s="13">
        <f t="shared" si="12"/>
        <v>1.25344697919278E-4</v>
      </c>
      <c r="BG17" s="13">
        <f t="shared" si="12"/>
        <v>0</v>
      </c>
      <c r="BH17" s="13">
        <f t="shared" si="12"/>
        <v>0</v>
      </c>
      <c r="BI17" s="13">
        <f t="shared" si="12"/>
        <v>0</v>
      </c>
      <c r="BJ17" s="13">
        <f t="shared" si="12"/>
        <v>1.5008254539996998E-4</v>
      </c>
      <c r="BK17" s="13">
        <f t="shared" si="12"/>
        <v>4.5201145095675755E-4</v>
      </c>
      <c r="BL17" s="9"/>
      <c r="BN17" s="2" t="s">
        <v>64</v>
      </c>
      <c r="DF17" s="2">
        <v>0</v>
      </c>
      <c r="DG17" s="2">
        <v>12</v>
      </c>
      <c r="DH17" s="2">
        <v>17</v>
      </c>
      <c r="DI17" s="2">
        <v>14</v>
      </c>
      <c r="DJ17" s="2">
        <v>16</v>
      </c>
      <c r="DK17" s="2">
        <v>14</v>
      </c>
      <c r="DL17" s="2">
        <v>7</v>
      </c>
      <c r="DM17" s="2">
        <v>5</v>
      </c>
      <c r="DN17" s="2">
        <v>1</v>
      </c>
      <c r="DO17" s="2">
        <v>1</v>
      </c>
      <c r="DP17" s="2">
        <v>1</v>
      </c>
      <c r="DQ17" s="2">
        <v>0</v>
      </c>
      <c r="DR17" s="2">
        <v>0</v>
      </c>
      <c r="DS17" s="2">
        <v>0</v>
      </c>
      <c r="DT17" s="2">
        <v>1</v>
      </c>
      <c r="DU17" s="2">
        <v>3</v>
      </c>
    </row>
    <row r="18" spans="1:125" ht="13.5" customHeight="1" x14ac:dyDescent="0.2">
      <c r="A18" s="8"/>
      <c r="D18" s="2" t="s">
        <v>55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>
        <f t="shared" ref="O18" si="25">BY18/BY$20</f>
        <v>0.88965649587411244</v>
      </c>
      <c r="P18" s="13">
        <f t="shared" ref="P18" si="26">BZ18/BZ$20</f>
        <v>0.88821025356283545</v>
      </c>
      <c r="Q18" s="13">
        <f t="shared" ref="Q18" si="27">CA18/CA$20</f>
        <v>0.88317349607672191</v>
      </c>
      <c r="R18" s="13">
        <f t="shared" ref="R18" si="28">CB18/CB$20</f>
        <v>0.87940357201376373</v>
      </c>
      <c r="S18" s="13"/>
      <c r="T18" s="13"/>
      <c r="U18" s="13"/>
      <c r="V18" s="13"/>
      <c r="W18" s="13">
        <f t="shared" ref="W18:X18" si="29">CG18/CG$20</f>
        <v>0.88244581598966554</v>
      </c>
      <c r="X18" s="13">
        <f t="shared" si="29"/>
        <v>0.87600869025450034</v>
      </c>
      <c r="Y18" s="13">
        <f t="shared" ref="Y18" si="30">CI18/CI$20</f>
        <v>0.86562203228869894</v>
      </c>
      <c r="Z18" s="13">
        <f t="shared" ref="Z18:AI18" si="31">CJ18/CJ$20</f>
        <v>0.86511156186612581</v>
      </c>
      <c r="AA18" s="13">
        <f t="shared" si="31"/>
        <v>0.85377358490566035</v>
      </c>
      <c r="AB18" s="13">
        <f t="shared" si="31"/>
        <v>0.83974479264402324</v>
      </c>
      <c r="AC18" s="13">
        <f t="shared" si="31"/>
        <v>0.82536622976098695</v>
      </c>
      <c r="AD18" s="13">
        <f t="shared" si="31"/>
        <v>0.81594175844689187</v>
      </c>
      <c r="AE18" s="13">
        <f t="shared" si="31"/>
        <v>0.81159153633854642</v>
      </c>
      <c r="AF18" s="13">
        <f t="shared" si="31"/>
        <v>0.81412367361873395</v>
      </c>
      <c r="AG18" s="13">
        <f t="shared" si="31"/>
        <v>0.83190066857688638</v>
      </c>
      <c r="AH18" s="13">
        <f t="shared" si="31"/>
        <v>0.83381754793724583</v>
      </c>
      <c r="AI18" s="13">
        <f t="shared" si="31"/>
        <v>0.82019801980198015</v>
      </c>
      <c r="AJ18" s="13">
        <f t="shared" ref="AJ18:AT18" si="32">CT18/CT$20</f>
        <v>0.81630525437864887</v>
      </c>
      <c r="AK18" s="13">
        <f t="shared" si="32"/>
        <v>0.80856901646264245</v>
      </c>
      <c r="AL18" s="13">
        <f t="shared" si="32"/>
        <v>0.79806423229212498</v>
      </c>
      <c r="AM18" s="13">
        <f t="shared" si="32"/>
        <v>0.78294051627384964</v>
      </c>
      <c r="AN18" s="13">
        <f t="shared" si="32"/>
        <v>0.75829081632653061</v>
      </c>
      <c r="AO18" s="13">
        <f t="shared" si="32"/>
        <v>0.74657125819916514</v>
      </c>
      <c r="AP18" s="13">
        <f t="shared" si="32"/>
        <v>0.75854782942758359</v>
      </c>
      <c r="AQ18" s="13">
        <f t="shared" si="32"/>
        <v>0.78789659224441833</v>
      </c>
      <c r="AR18" s="13">
        <f t="shared" si="32"/>
        <v>0.79300673148840684</v>
      </c>
      <c r="AS18" s="13">
        <f t="shared" si="32"/>
        <v>0.7886947218259629</v>
      </c>
      <c r="AT18" s="13">
        <f t="shared" si="32"/>
        <v>0.78730587440918298</v>
      </c>
      <c r="AU18" s="13">
        <f>DE18/DE$20</f>
        <v>0.7828076483085471</v>
      </c>
      <c r="AV18" s="13">
        <f t="shared" si="13"/>
        <v>0.76406561398129691</v>
      </c>
      <c r="AW18" s="13">
        <f t="shared" si="14"/>
        <v>0.75703102348506812</v>
      </c>
      <c r="AX18" s="13">
        <f t="shared" si="15"/>
        <v>0.74617524339360219</v>
      </c>
      <c r="AY18" s="13">
        <f t="shared" si="16"/>
        <v>0.74757546783226336</v>
      </c>
      <c r="AZ18" s="13">
        <f t="shared" si="12"/>
        <v>0.72384241493988233</v>
      </c>
      <c r="BA18" s="13">
        <f t="shared" si="12"/>
        <v>0.70003601008282323</v>
      </c>
      <c r="BB18" s="13">
        <f t="shared" si="12"/>
        <v>0.71540256709451577</v>
      </c>
      <c r="BC18" s="13">
        <f t="shared" si="12"/>
        <v>0.73645033728774134</v>
      </c>
      <c r="BD18" s="13">
        <f t="shared" si="12"/>
        <v>0.74420206659012633</v>
      </c>
      <c r="BE18" s="13">
        <f t="shared" si="12"/>
        <v>0.75493557158056512</v>
      </c>
      <c r="BF18" s="13">
        <f t="shared" si="12"/>
        <v>0.75056405114063673</v>
      </c>
      <c r="BG18" s="13">
        <f t="shared" si="12"/>
        <v>0.757487410548635</v>
      </c>
      <c r="BH18" s="13">
        <f t="shared" si="12"/>
        <v>0.74661265539879873</v>
      </c>
      <c r="BI18" s="13">
        <f t="shared" si="12"/>
        <v>0.73063050064925694</v>
      </c>
      <c r="BJ18" s="13">
        <f t="shared" si="12"/>
        <v>0.69383160738406124</v>
      </c>
      <c r="BK18" s="13">
        <f t="shared" si="12"/>
        <v>0.6912761789965346</v>
      </c>
      <c r="BL18" s="9"/>
      <c r="BN18" s="2" t="s">
        <v>55</v>
      </c>
      <c r="BY18" s="2">
        <v>4636</v>
      </c>
      <c r="BZ18" s="2">
        <v>4799</v>
      </c>
      <c r="CA18" s="2">
        <v>5065</v>
      </c>
      <c r="CB18" s="2">
        <v>5367</v>
      </c>
      <c r="CG18" s="2">
        <v>6148</v>
      </c>
      <c r="CH18" s="2">
        <v>5645</v>
      </c>
      <c r="CI18" s="2">
        <f>4301+1168</f>
        <v>5469</v>
      </c>
      <c r="CJ18" s="2">
        <f>4027+1091</f>
        <v>5118</v>
      </c>
      <c r="CK18" s="2">
        <f>3825+1062</f>
        <v>4887</v>
      </c>
      <c r="CL18" s="2">
        <v>4475</v>
      </c>
      <c r="CM18" s="2">
        <v>4282</v>
      </c>
      <c r="CN18" s="2">
        <v>4371</v>
      </c>
      <c r="CO18" s="2">
        <v>4411</v>
      </c>
      <c r="CP18" s="2">
        <v>4450</v>
      </c>
      <c r="CQ18" s="2">
        <v>4355</v>
      </c>
      <c r="CR18" s="2">
        <v>4305</v>
      </c>
      <c r="CS18" s="2">
        <f>3154+988</f>
        <v>4142</v>
      </c>
      <c r="CT18" s="2">
        <v>3915</v>
      </c>
      <c r="CU18" s="2">
        <f>2891+940</f>
        <v>3831</v>
      </c>
      <c r="CV18" s="2">
        <v>3628</v>
      </c>
      <c r="CW18" s="2">
        <v>3488</v>
      </c>
      <c r="CX18" s="2">
        <v>3567</v>
      </c>
      <c r="CY18" s="2">
        <v>3756</v>
      </c>
      <c r="CZ18" s="2">
        <v>3949</v>
      </c>
      <c r="DA18" s="2">
        <f>3156+867</f>
        <v>4023</v>
      </c>
      <c r="DB18" s="2">
        <v>4241</v>
      </c>
      <c r="DC18" s="2">
        <v>4423</v>
      </c>
      <c r="DD18" s="2">
        <v>4664</v>
      </c>
      <c r="DE18" s="2">
        <v>4790</v>
      </c>
      <c r="DF18" s="2">
        <f>4985-1</f>
        <v>4984</v>
      </c>
      <c r="DG18" s="2">
        <v>5222</v>
      </c>
      <c r="DH18" s="2">
        <v>5365</v>
      </c>
      <c r="DI18" s="2">
        <v>5473</v>
      </c>
      <c r="DJ18" s="2">
        <v>5659</v>
      </c>
      <c r="DK18" s="2">
        <v>5832</v>
      </c>
      <c r="DL18" s="2">
        <v>6131</v>
      </c>
      <c r="DM18" s="2">
        <v>6332</v>
      </c>
      <c r="DN18" s="2">
        <v>6482</v>
      </c>
      <c r="DO18" s="2">
        <v>6386</v>
      </c>
      <c r="DP18" s="2">
        <v>5988</v>
      </c>
      <c r="DQ18" s="2">
        <v>5716</v>
      </c>
      <c r="DR18" s="2">
        <v>5345</v>
      </c>
      <c r="DS18" s="2">
        <v>5064</v>
      </c>
      <c r="DT18" s="2">
        <v>4623</v>
      </c>
      <c r="DU18" s="2">
        <v>4588</v>
      </c>
    </row>
    <row r="19" spans="1:125" ht="13.5" customHeight="1" x14ac:dyDescent="0.2">
      <c r="A19" s="8"/>
      <c r="D19" s="2" t="s">
        <v>66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>
        <f t="shared" si="13"/>
        <v>4.5991108385712098E-4</v>
      </c>
      <c r="AW19" s="13">
        <f t="shared" si="14"/>
        <v>4.9289649173673532E-3</v>
      </c>
      <c r="AX19" s="13">
        <f t="shared" si="15"/>
        <v>7.3713490959666202E-3</v>
      </c>
      <c r="AY19" s="13">
        <f t="shared" si="16"/>
        <v>1.2293402540636525E-2</v>
      </c>
      <c r="AZ19" s="13">
        <f t="shared" si="12"/>
        <v>1.5860833972883091E-2</v>
      </c>
      <c r="BA19" s="13">
        <f t="shared" si="12"/>
        <v>2.004561277157604E-2</v>
      </c>
      <c r="BB19" s="13">
        <f t="shared" si="12"/>
        <v>2.2170361726954493E-2</v>
      </c>
      <c r="BC19" s="13">
        <f t="shared" si="12"/>
        <v>2.3493835775761807E-2</v>
      </c>
      <c r="BD19" s="13">
        <f t="shared" si="12"/>
        <v>2.6521239954075775E-2</v>
      </c>
      <c r="BE19" s="13">
        <f t="shared" si="12"/>
        <v>3.0854710958742169E-2</v>
      </c>
      <c r="BF19" s="13">
        <f t="shared" si="12"/>
        <v>3.0960140386061669E-2</v>
      </c>
      <c r="BG19" s="13">
        <f t="shared" si="12"/>
        <v>3.1937450304797242E-2</v>
      </c>
      <c r="BH19" s="13">
        <f t="shared" si="12"/>
        <v>3.1009917586255063E-2</v>
      </c>
      <c r="BI19" s="13">
        <f t="shared" si="12"/>
        <v>2.9288702928870293E-2</v>
      </c>
      <c r="BJ19" s="13">
        <f t="shared" si="12"/>
        <v>2.5664115263394866E-2</v>
      </c>
      <c r="BK19" s="13">
        <f t="shared" si="12"/>
        <v>2.6668675606448696E-2</v>
      </c>
      <c r="BL19" s="9"/>
      <c r="BN19" s="2" t="s">
        <v>66</v>
      </c>
      <c r="DF19" s="2">
        <f>0+1+1+1</f>
        <v>3</v>
      </c>
      <c r="DG19" s="2">
        <v>34</v>
      </c>
      <c r="DH19" s="2">
        <v>53</v>
      </c>
      <c r="DI19" s="2">
        <v>90</v>
      </c>
      <c r="DJ19" s="2">
        <v>124</v>
      </c>
      <c r="DK19" s="2">
        <v>167</v>
      </c>
      <c r="DL19" s="2">
        <v>190</v>
      </c>
      <c r="DM19" s="2">
        <v>202</v>
      </c>
      <c r="DN19" s="2">
        <v>231</v>
      </c>
      <c r="DO19" s="2">
        <v>261</v>
      </c>
      <c r="DP19" s="2">
        <v>247</v>
      </c>
      <c r="DQ19" s="2">
        <v>241</v>
      </c>
      <c r="DR19" s="2">
        <v>222</v>
      </c>
      <c r="DS19" s="2">
        <v>203</v>
      </c>
      <c r="DT19" s="2">
        <v>171</v>
      </c>
      <c r="DU19" s="2">
        <v>177</v>
      </c>
    </row>
    <row r="20" spans="1:125" ht="13.5" customHeight="1" x14ac:dyDescent="0.2">
      <c r="A20" s="8"/>
      <c r="C20" s="3" t="s">
        <v>57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9"/>
      <c r="BN20" s="20" t="s">
        <v>56</v>
      </c>
      <c r="BY20" s="2">
        <f t="shared" ref="BY20:CB20" si="33">SUM(BY11:BY19)</f>
        <v>5211</v>
      </c>
      <c r="BZ20" s="2">
        <f t="shared" si="33"/>
        <v>5403</v>
      </c>
      <c r="CA20" s="2">
        <f t="shared" si="33"/>
        <v>5735</v>
      </c>
      <c r="CB20" s="2">
        <f t="shared" si="33"/>
        <v>6103</v>
      </c>
      <c r="CG20" s="2">
        <f>SUM(CG11:CG19)</f>
        <v>6967</v>
      </c>
      <c r="CH20" s="2">
        <f>SUM(CH11:CH19)</f>
        <v>6444</v>
      </c>
      <c r="CI20" s="2">
        <f t="shared" ref="CI20:CQ20" si="34">SUM(CI11:CI19)</f>
        <v>6318</v>
      </c>
      <c r="CJ20" s="2">
        <f t="shared" si="34"/>
        <v>5916</v>
      </c>
      <c r="CK20" s="2">
        <f t="shared" si="34"/>
        <v>5724</v>
      </c>
      <c r="CL20" s="2">
        <f t="shared" si="34"/>
        <v>5329</v>
      </c>
      <c r="CM20" s="2">
        <f t="shared" si="34"/>
        <v>5188</v>
      </c>
      <c r="CN20" s="2">
        <f t="shared" si="34"/>
        <v>5357</v>
      </c>
      <c r="CO20" s="2">
        <f t="shared" si="34"/>
        <v>5435</v>
      </c>
      <c r="CP20" s="2">
        <f t="shared" si="34"/>
        <v>5466</v>
      </c>
      <c r="CQ20" s="2">
        <f t="shared" si="34"/>
        <v>5235</v>
      </c>
      <c r="CR20" s="2">
        <f t="shared" ref="CR20:DD20" si="35">SUM(CR11:CR19)</f>
        <v>5163</v>
      </c>
      <c r="CS20" s="2">
        <f t="shared" si="35"/>
        <v>5050</v>
      </c>
      <c r="CT20" s="2">
        <f t="shared" si="35"/>
        <v>4796</v>
      </c>
      <c r="CU20" s="2">
        <f t="shared" si="35"/>
        <v>4738</v>
      </c>
      <c r="CV20" s="2">
        <f t="shared" si="35"/>
        <v>4546</v>
      </c>
      <c r="CW20" s="2">
        <f t="shared" si="35"/>
        <v>4455</v>
      </c>
      <c r="CX20" s="2">
        <f t="shared" si="35"/>
        <v>4704</v>
      </c>
      <c r="CY20" s="2">
        <f t="shared" si="35"/>
        <v>5031</v>
      </c>
      <c r="CZ20" s="2">
        <f t="shared" si="35"/>
        <v>5206</v>
      </c>
      <c r="DA20" s="2">
        <f t="shared" si="35"/>
        <v>5106</v>
      </c>
      <c r="DB20" s="2">
        <f t="shared" si="35"/>
        <v>5348</v>
      </c>
      <c r="DC20" s="2">
        <f t="shared" si="35"/>
        <v>5608</v>
      </c>
      <c r="DD20" s="2">
        <f t="shared" si="35"/>
        <v>5924</v>
      </c>
      <c r="DE20" s="2">
        <f t="shared" ref="DE20:DJ20" si="36">SUM(DE11:DE19)</f>
        <v>6119</v>
      </c>
      <c r="DF20" s="2">
        <f t="shared" si="36"/>
        <v>6523</v>
      </c>
      <c r="DG20" s="2">
        <f t="shared" si="36"/>
        <v>6898</v>
      </c>
      <c r="DH20" s="2">
        <f t="shared" si="36"/>
        <v>7190</v>
      </c>
      <c r="DI20" s="2">
        <f t="shared" si="36"/>
        <v>7321</v>
      </c>
      <c r="DJ20" s="2">
        <f t="shared" si="36"/>
        <v>7818</v>
      </c>
      <c r="DK20" s="2">
        <f t="shared" ref="DK20" si="37">SUM(DK11:DK19)</f>
        <v>8331</v>
      </c>
      <c r="DL20" s="2">
        <f t="shared" ref="DL20:DM20" si="38">SUM(DL11:DL19)</f>
        <v>8570</v>
      </c>
      <c r="DM20" s="2">
        <f t="shared" si="38"/>
        <v>8598</v>
      </c>
      <c r="DN20" s="2">
        <f t="shared" ref="DN20:DO20" si="39">SUM(DN11:DN19)</f>
        <v>8710</v>
      </c>
      <c r="DO20" s="2">
        <f t="shared" si="39"/>
        <v>8459</v>
      </c>
      <c r="DP20" s="2">
        <f t="shared" ref="DP20" si="40">SUM(DP11:DP19)</f>
        <v>7978</v>
      </c>
      <c r="DQ20" s="2">
        <f t="shared" ref="DQ20:DR20" si="41">SUM(DQ11:DQ19)</f>
        <v>7546</v>
      </c>
      <c r="DR20" s="2">
        <f t="shared" si="41"/>
        <v>7159</v>
      </c>
      <c r="DS20" s="2">
        <f t="shared" ref="DS20:DT20" si="42">SUM(DS11:DS19)</f>
        <v>6931</v>
      </c>
      <c r="DT20" s="2">
        <f t="shared" si="42"/>
        <v>6663</v>
      </c>
      <c r="DU20" s="2">
        <f t="shared" ref="DU20" si="43">SUM(DU11:DU19)</f>
        <v>6637</v>
      </c>
    </row>
    <row r="21" spans="1:125" ht="13.5" customHeight="1" x14ac:dyDescent="0.2">
      <c r="A21" s="8"/>
      <c r="D21" s="2" t="s">
        <v>70</v>
      </c>
      <c r="E21" s="14">
        <f t="shared" ref="E21:E22" si="44">BO21/BO$23</f>
        <v>0.97462347844027231</v>
      </c>
      <c r="F21" s="14">
        <f t="shared" ref="F21:F22" si="45">BP21/BP$23</f>
        <v>0.97416413373860178</v>
      </c>
      <c r="G21" s="14">
        <f t="shared" ref="G21:G22" si="46">BQ21/BQ$23</f>
        <v>0.96763586015922465</v>
      </c>
      <c r="H21" s="14">
        <f t="shared" ref="H21:H22" si="47">BR21/BR$23</f>
        <v>0.95696452036793689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>
        <f t="shared" ref="W21:Y22" si="48">CG21/CG$23</f>
        <v>0.79962681211425291</v>
      </c>
      <c r="X21" s="14">
        <f t="shared" si="48"/>
        <v>0.8016759776536313</v>
      </c>
      <c r="Y21" s="14">
        <f t="shared" si="48"/>
        <v>0.78600823045267487</v>
      </c>
      <c r="Z21" s="14">
        <f t="shared" ref="Z21:Z22" si="49">CJ21/CJ$23</f>
        <v>0.78735632183908044</v>
      </c>
      <c r="AA21" s="14">
        <f t="shared" ref="AA21:AA22" si="50">CK21/CK$23</f>
        <v>0.78511530398322849</v>
      </c>
      <c r="AB21" s="14">
        <f t="shared" ref="AB21:AB22" si="51">CL21/CL$23</f>
        <v>0.78909612625538017</v>
      </c>
      <c r="AC21" s="14">
        <f t="shared" ref="AC21:AC22" si="52">CM21/CM$23</f>
        <v>0.7832077898217894</v>
      </c>
      <c r="AD21" s="14">
        <f t="shared" ref="AD21:AD22" si="53">CN21/CN$23</f>
        <v>0.78645646721605156</v>
      </c>
      <c r="AE21" s="14">
        <f t="shared" ref="AE21:AE22" si="54">CO21/CO$23</f>
        <v>0.7820399505038006</v>
      </c>
      <c r="AF21" s="14">
        <f t="shared" ref="AF21:AF22" si="55">CP21/CP$23</f>
        <v>0.77521563105087132</v>
      </c>
      <c r="AG21" s="14">
        <f t="shared" ref="AG21:AG22" si="56">CQ21/CQ$23</f>
        <v>0.77247807017543857</v>
      </c>
      <c r="AH21" s="14">
        <f t="shared" ref="AH21:AH22" si="57">CR21/CR$23</f>
        <v>0.77792112053077778</v>
      </c>
      <c r="AI21" s="14">
        <f t="shared" ref="AI21:AI22" si="58">CS21/CS$23</f>
        <v>0.76595744680851063</v>
      </c>
      <c r="AJ21" s="14">
        <f t="shared" ref="AJ21:AJ22" si="59">CT21/CT$23</f>
        <v>0.76185691318327975</v>
      </c>
      <c r="AK21" s="14">
        <f t="shared" ref="AK21:AK22" si="60">CU21/CU$23</f>
        <v>0.76067507116714106</v>
      </c>
      <c r="AL21" s="14">
        <f t="shared" ref="AL21:AL22" si="61">CV21/CV$23</f>
        <v>0.77433722163308594</v>
      </c>
      <c r="AM21" s="14">
        <f t="shared" ref="AM21:AM22" si="62">CW21/CW$23</f>
        <v>0.77302204928664076</v>
      </c>
      <c r="AN21" s="14">
        <f t="shared" ref="AN21:AN22" si="63">CX21/CX$23</f>
        <v>0.77534302682776979</v>
      </c>
      <c r="AO21" s="14">
        <f t="shared" ref="AO21:AO22" si="64">CY21/CY$23</f>
        <v>0.78377862595419845</v>
      </c>
      <c r="AP21" s="14">
        <f t="shared" ref="AP21:AP22" si="65">CZ21/CZ$23</f>
        <v>0.7713867008609635</v>
      </c>
      <c r="AQ21" s="14">
        <f t="shared" ref="AQ21:AQ22" si="66">DA21/DA$23</f>
        <v>0.7766469282013323</v>
      </c>
      <c r="AR21" s="14">
        <f t="shared" ref="AR21:AR22" si="67">DB21/DB$23</f>
        <v>0.78160714285714283</v>
      </c>
      <c r="AS21" s="14">
        <f t="shared" ref="AS21:AS22" si="68">DC21/DC$23</f>
        <v>0.77364288152953231</v>
      </c>
      <c r="AT21" s="14">
        <f t="shared" ref="AT21:AT22" si="69">DD21/DD$23</f>
        <v>0.77457022380797924</v>
      </c>
      <c r="AU21" s="14">
        <f t="shared" ref="AU21:AY22" si="70">DE21/DE$23</f>
        <v>0.77728914716506992</v>
      </c>
      <c r="AV21" s="14">
        <f t="shared" si="70"/>
        <v>0.78221309069562661</v>
      </c>
      <c r="AW21" s="14">
        <f t="shared" si="70"/>
        <v>0.77668285912560719</v>
      </c>
      <c r="AX21" s="14">
        <f t="shared" si="70"/>
        <v>0.7760936045738599</v>
      </c>
      <c r="AY21" s="14">
        <f t="shared" si="70"/>
        <v>0.77357750163505556</v>
      </c>
      <c r="AZ21" s="14">
        <f t="shared" ref="AZ21:BK22" si="71">DJ21/DJ$23</f>
        <v>0.77377291179726904</v>
      </c>
      <c r="BA21" s="14">
        <f t="shared" si="71"/>
        <v>0.77384259259259258</v>
      </c>
      <c r="BB21" s="14">
        <f t="shared" si="71"/>
        <v>0.77031285167679497</v>
      </c>
      <c r="BC21" s="14">
        <f t="shared" si="71"/>
        <v>0.77294850028296547</v>
      </c>
      <c r="BD21" s="14">
        <f t="shared" si="71"/>
        <v>0.76742091635708654</v>
      </c>
      <c r="BE21" s="14">
        <f t="shared" si="71"/>
        <v>0.76351587024764567</v>
      </c>
      <c r="BF21" s="14">
        <f t="shared" si="71"/>
        <v>0.76446587537091992</v>
      </c>
      <c r="BG21" s="14">
        <f t="shared" si="71"/>
        <v>0.76602983512169587</v>
      </c>
      <c r="BH21" s="14">
        <f t="shared" si="71"/>
        <v>0.76550200248584455</v>
      </c>
      <c r="BI21" s="14">
        <f t="shared" si="71"/>
        <v>0.75946327683615822</v>
      </c>
      <c r="BJ21" s="14">
        <f t="shared" si="71"/>
        <v>0.7603409726103969</v>
      </c>
      <c r="BK21" s="14">
        <f t="shared" si="71"/>
        <v>0.75817724350013982</v>
      </c>
      <c r="BL21" s="9"/>
      <c r="BN21" s="2" t="s">
        <v>70</v>
      </c>
      <c r="BO21" s="2">
        <v>4724</v>
      </c>
      <c r="BP21" s="2">
        <v>5128</v>
      </c>
      <c r="BQ21" s="2">
        <v>5591</v>
      </c>
      <c r="BR21" s="2">
        <v>5826</v>
      </c>
      <c r="CG21" s="2">
        <v>5571</v>
      </c>
      <c r="CH21" s="2">
        <v>5166</v>
      </c>
      <c r="CI21" s="2">
        <v>4966</v>
      </c>
      <c r="CJ21" s="2">
        <v>4658</v>
      </c>
      <c r="CK21" s="2">
        <v>4494</v>
      </c>
      <c r="CL21" s="2">
        <v>4400</v>
      </c>
      <c r="CM21" s="2">
        <v>4263</v>
      </c>
      <c r="CN21" s="2">
        <v>4390</v>
      </c>
      <c r="CO21" s="2">
        <v>4424</v>
      </c>
      <c r="CP21" s="2">
        <v>4404</v>
      </c>
      <c r="CQ21" s="2">
        <v>4227</v>
      </c>
      <c r="CR21" s="2">
        <v>4221</v>
      </c>
      <c r="CS21" s="2">
        <v>4032</v>
      </c>
      <c r="CT21" s="2">
        <v>3791</v>
      </c>
      <c r="CU21" s="2">
        <v>3741</v>
      </c>
      <c r="CV21" s="2">
        <v>3651</v>
      </c>
      <c r="CW21" s="2">
        <v>3576</v>
      </c>
      <c r="CX21" s="2">
        <v>3786</v>
      </c>
      <c r="CY21" s="2">
        <v>4107</v>
      </c>
      <c r="CZ21" s="2">
        <v>4211</v>
      </c>
      <c r="DA21" s="2">
        <v>4197</v>
      </c>
      <c r="DB21" s="2">
        <v>4377</v>
      </c>
      <c r="DC21" s="2">
        <v>4532</v>
      </c>
      <c r="DD21" s="2">
        <v>4776</v>
      </c>
      <c r="DE21" s="2">
        <v>4949</v>
      </c>
      <c r="DF21" s="2">
        <v>5330</v>
      </c>
      <c r="DG21" s="2">
        <v>5596</v>
      </c>
      <c r="DH21" s="2">
        <v>5837</v>
      </c>
      <c r="DI21" s="2">
        <v>5914</v>
      </c>
      <c r="DJ21" s="2">
        <v>6290</v>
      </c>
      <c r="DK21" s="2">
        <v>6686</v>
      </c>
      <c r="DL21" s="2">
        <v>6845</v>
      </c>
      <c r="DM21" s="2">
        <v>6829</v>
      </c>
      <c r="DN21" s="2">
        <v>6817</v>
      </c>
      <c r="DO21" s="2">
        <v>6567</v>
      </c>
      <c r="DP21" s="2">
        <v>6183</v>
      </c>
      <c r="DQ21" s="2">
        <v>5854</v>
      </c>
      <c r="DR21" s="2">
        <v>5543</v>
      </c>
      <c r="DS21" s="2">
        <v>5377</v>
      </c>
      <c r="DT21" s="2">
        <v>5441</v>
      </c>
      <c r="DU21" s="2">
        <v>5424</v>
      </c>
    </row>
    <row r="22" spans="1:125" ht="13.5" customHeight="1" x14ac:dyDescent="0.2">
      <c r="A22" s="8"/>
      <c r="D22" s="2" t="s">
        <v>69</v>
      </c>
      <c r="E22" s="14">
        <f t="shared" si="44"/>
        <v>2.5376521559727666E-2</v>
      </c>
      <c r="F22" s="14">
        <f t="shared" si="45"/>
        <v>2.5835866261398176E-2</v>
      </c>
      <c r="G22" s="14">
        <f t="shared" si="46"/>
        <v>3.2364139840775352E-2</v>
      </c>
      <c r="H22" s="14">
        <f t="shared" si="47"/>
        <v>4.3035479632063077E-2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>
        <f t="shared" si="48"/>
        <v>0.20037318788574709</v>
      </c>
      <c r="X22" s="14">
        <f t="shared" si="48"/>
        <v>0.19832402234636873</v>
      </c>
      <c r="Y22" s="14">
        <f t="shared" si="48"/>
        <v>0.2139917695473251</v>
      </c>
      <c r="Z22" s="14">
        <f t="shared" si="49"/>
        <v>0.21264367816091953</v>
      </c>
      <c r="AA22" s="14">
        <f t="shared" si="50"/>
        <v>0.21488469601677149</v>
      </c>
      <c r="AB22" s="14">
        <f t="shared" si="51"/>
        <v>0.2109038737446198</v>
      </c>
      <c r="AC22" s="14">
        <f t="shared" si="52"/>
        <v>0.21679221017821054</v>
      </c>
      <c r="AD22" s="14">
        <f t="shared" si="53"/>
        <v>0.21354353278394841</v>
      </c>
      <c r="AE22" s="14">
        <f t="shared" si="54"/>
        <v>0.2179600494961994</v>
      </c>
      <c r="AF22" s="14">
        <f t="shared" si="55"/>
        <v>0.22478436894912868</v>
      </c>
      <c r="AG22" s="14">
        <f t="shared" si="56"/>
        <v>0.2275219298245614</v>
      </c>
      <c r="AH22" s="14">
        <f t="shared" si="57"/>
        <v>0.22207887946922225</v>
      </c>
      <c r="AI22" s="14">
        <f t="shared" si="58"/>
        <v>0.23404255319148937</v>
      </c>
      <c r="AJ22" s="14">
        <f t="shared" si="59"/>
        <v>0.23814308681672025</v>
      </c>
      <c r="AK22" s="14">
        <f t="shared" si="60"/>
        <v>0.23932492883285889</v>
      </c>
      <c r="AL22" s="14">
        <f t="shared" si="61"/>
        <v>0.22566277836691409</v>
      </c>
      <c r="AM22" s="14">
        <f t="shared" si="62"/>
        <v>0.22697795071335927</v>
      </c>
      <c r="AN22" s="14">
        <f t="shared" si="63"/>
        <v>0.22465697317223018</v>
      </c>
      <c r="AO22" s="14">
        <f t="shared" si="64"/>
        <v>0.21622137404580152</v>
      </c>
      <c r="AP22" s="14">
        <f t="shared" si="65"/>
        <v>0.22861329913903644</v>
      </c>
      <c r="AQ22" s="14">
        <f t="shared" si="66"/>
        <v>0.22335307179866765</v>
      </c>
      <c r="AR22" s="14">
        <f t="shared" si="67"/>
        <v>0.21839285714285714</v>
      </c>
      <c r="AS22" s="14">
        <f t="shared" si="68"/>
        <v>0.22635711847046774</v>
      </c>
      <c r="AT22" s="14">
        <f t="shared" si="69"/>
        <v>0.22542977619202076</v>
      </c>
      <c r="AU22" s="14">
        <f t="shared" si="70"/>
        <v>0.22271085283493011</v>
      </c>
      <c r="AV22" s="14">
        <f t="shared" si="70"/>
        <v>0.21778690930437336</v>
      </c>
      <c r="AW22" s="14">
        <f t="shared" si="70"/>
        <v>0.22331714087439278</v>
      </c>
      <c r="AX22" s="14">
        <f t="shared" si="70"/>
        <v>0.22390639542614013</v>
      </c>
      <c r="AY22" s="14">
        <f t="shared" si="70"/>
        <v>0.22642249836494441</v>
      </c>
      <c r="AZ22" s="14">
        <f t="shared" si="71"/>
        <v>0.22622708820273096</v>
      </c>
      <c r="BA22" s="14">
        <f t="shared" si="71"/>
        <v>0.22615740740740742</v>
      </c>
      <c r="BB22" s="14">
        <f t="shared" si="71"/>
        <v>0.22968714832320505</v>
      </c>
      <c r="BC22" s="14">
        <f t="shared" si="71"/>
        <v>0.22705149971703453</v>
      </c>
      <c r="BD22" s="14">
        <f t="shared" si="71"/>
        <v>0.23257908364291344</v>
      </c>
      <c r="BE22" s="14">
        <f t="shared" si="71"/>
        <v>0.23648412975235439</v>
      </c>
      <c r="BF22" s="14">
        <f t="shared" si="71"/>
        <v>0.2355341246290801</v>
      </c>
      <c r="BG22" s="14">
        <f t="shared" si="71"/>
        <v>0.2339701648783041</v>
      </c>
      <c r="BH22" s="14">
        <f t="shared" si="71"/>
        <v>0.23449799751415551</v>
      </c>
      <c r="BI22" s="14">
        <f t="shared" si="71"/>
        <v>0.24053672316384181</v>
      </c>
      <c r="BJ22" s="14">
        <f t="shared" si="71"/>
        <v>0.23965902738960312</v>
      </c>
      <c r="BK22" s="14">
        <f t="shared" si="71"/>
        <v>0.24182275649986021</v>
      </c>
      <c r="BL22" s="9"/>
      <c r="BN22" s="2" t="s">
        <v>69</v>
      </c>
      <c r="BO22" s="2">
        <v>123</v>
      </c>
      <c r="BP22" s="2">
        <v>136</v>
      </c>
      <c r="BQ22" s="2">
        <v>187</v>
      </c>
      <c r="BR22" s="2">
        <v>262</v>
      </c>
      <c r="CG22" s="2">
        <v>1396</v>
      </c>
      <c r="CH22" s="2">
        <v>1278</v>
      </c>
      <c r="CI22" s="2">
        <v>1352</v>
      </c>
      <c r="CJ22" s="2">
        <v>1258</v>
      </c>
      <c r="CK22" s="2">
        <v>1230</v>
      </c>
      <c r="CL22" s="2">
        <v>1176</v>
      </c>
      <c r="CM22" s="2">
        <v>1180</v>
      </c>
      <c r="CN22" s="2">
        <v>1192</v>
      </c>
      <c r="CO22" s="2">
        <v>1233</v>
      </c>
      <c r="CP22" s="2">
        <v>1277</v>
      </c>
      <c r="CQ22" s="2">
        <v>1245</v>
      </c>
      <c r="CR22" s="2">
        <v>1205</v>
      </c>
      <c r="CS22" s="2">
        <v>1232</v>
      </c>
      <c r="CT22" s="2">
        <v>1185</v>
      </c>
      <c r="CU22" s="2">
        <v>1177</v>
      </c>
      <c r="CV22" s="2">
        <v>1064</v>
      </c>
      <c r="CW22" s="2">
        <v>1050</v>
      </c>
      <c r="CX22" s="2">
        <v>1097</v>
      </c>
      <c r="CY22" s="2">
        <v>1133</v>
      </c>
      <c r="CZ22" s="2">
        <v>1248</v>
      </c>
      <c r="DA22" s="2">
        <v>1207</v>
      </c>
      <c r="DB22" s="2">
        <v>1223</v>
      </c>
      <c r="DC22" s="2">
        <v>1326</v>
      </c>
      <c r="DD22" s="2">
        <v>1390</v>
      </c>
      <c r="DE22" s="2">
        <v>1418</v>
      </c>
      <c r="DF22" s="2">
        <v>1484</v>
      </c>
      <c r="DG22" s="2">
        <v>1609</v>
      </c>
      <c r="DH22" s="2">
        <v>1684</v>
      </c>
      <c r="DI22" s="2">
        <v>1731</v>
      </c>
      <c r="DJ22" s="2">
        <v>1839</v>
      </c>
      <c r="DK22" s="2">
        <v>1954</v>
      </c>
      <c r="DL22" s="2">
        <v>2041</v>
      </c>
      <c r="DM22" s="2">
        <v>2006</v>
      </c>
      <c r="DN22" s="2">
        <v>2066</v>
      </c>
      <c r="DO22" s="2">
        <v>2034</v>
      </c>
      <c r="DP22" s="2">
        <v>1905</v>
      </c>
      <c r="DQ22" s="2">
        <v>1788</v>
      </c>
      <c r="DR22" s="2">
        <v>1698</v>
      </c>
      <c r="DS22" s="2">
        <v>1703</v>
      </c>
      <c r="DT22" s="2">
        <v>1715</v>
      </c>
      <c r="DU22" s="2">
        <v>1730</v>
      </c>
    </row>
    <row r="23" spans="1:125" ht="13.5" customHeight="1" x14ac:dyDescent="0.2">
      <c r="A23" s="8"/>
      <c r="C23" s="3" t="s">
        <v>58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9"/>
      <c r="BN23" s="20" t="s">
        <v>56</v>
      </c>
      <c r="BO23" s="2">
        <f t="shared" ref="BO23:BR23" si="72">SUM(BO21:BO22)</f>
        <v>4847</v>
      </c>
      <c r="BP23" s="2">
        <f t="shared" si="72"/>
        <v>5264</v>
      </c>
      <c r="BQ23" s="2">
        <f t="shared" si="72"/>
        <v>5778</v>
      </c>
      <c r="BR23" s="2">
        <f t="shared" si="72"/>
        <v>6088</v>
      </c>
      <c r="CG23" s="2">
        <f t="shared" ref="CG23:CR23" si="73">SUM(CG21:CG22)</f>
        <v>6967</v>
      </c>
      <c r="CH23" s="2">
        <f t="shared" si="73"/>
        <v>6444</v>
      </c>
      <c r="CI23" s="2">
        <f t="shared" si="73"/>
        <v>6318</v>
      </c>
      <c r="CJ23" s="2">
        <f t="shared" si="73"/>
        <v>5916</v>
      </c>
      <c r="CK23" s="2">
        <f t="shared" si="73"/>
        <v>5724</v>
      </c>
      <c r="CL23" s="2">
        <f t="shared" si="73"/>
        <v>5576</v>
      </c>
      <c r="CM23" s="2">
        <f t="shared" si="73"/>
        <v>5443</v>
      </c>
      <c r="CN23" s="2">
        <f t="shared" si="73"/>
        <v>5582</v>
      </c>
      <c r="CO23" s="2">
        <f t="shared" si="73"/>
        <v>5657</v>
      </c>
      <c r="CP23" s="2">
        <f t="shared" si="73"/>
        <v>5681</v>
      </c>
      <c r="CQ23" s="2">
        <f t="shared" si="73"/>
        <v>5472</v>
      </c>
      <c r="CR23" s="2">
        <f t="shared" si="73"/>
        <v>5426</v>
      </c>
      <c r="CS23" s="2">
        <f t="shared" ref="CS23:DI23" si="74">SUM(CS21:CS22)</f>
        <v>5264</v>
      </c>
      <c r="CT23" s="2">
        <f t="shared" si="74"/>
        <v>4976</v>
      </c>
      <c r="CU23" s="2">
        <f t="shared" si="74"/>
        <v>4918</v>
      </c>
      <c r="CV23" s="2">
        <f t="shared" si="74"/>
        <v>4715</v>
      </c>
      <c r="CW23" s="2">
        <f t="shared" si="74"/>
        <v>4626</v>
      </c>
      <c r="CX23" s="2">
        <f t="shared" si="74"/>
        <v>4883</v>
      </c>
      <c r="CY23" s="2">
        <f t="shared" si="74"/>
        <v>5240</v>
      </c>
      <c r="CZ23" s="2">
        <f t="shared" si="74"/>
        <v>5459</v>
      </c>
      <c r="DA23" s="2">
        <f t="shared" si="74"/>
        <v>5404</v>
      </c>
      <c r="DB23" s="2">
        <f t="shared" si="74"/>
        <v>5600</v>
      </c>
      <c r="DC23" s="2">
        <f t="shared" si="74"/>
        <v>5858</v>
      </c>
      <c r="DD23" s="2">
        <f t="shared" si="74"/>
        <v>6166</v>
      </c>
      <c r="DE23" s="2">
        <f t="shared" si="74"/>
        <v>6367</v>
      </c>
      <c r="DF23" s="2">
        <f t="shared" si="74"/>
        <v>6814</v>
      </c>
      <c r="DG23" s="2">
        <f t="shared" si="74"/>
        <v>7205</v>
      </c>
      <c r="DH23" s="2">
        <f t="shared" si="74"/>
        <v>7521</v>
      </c>
      <c r="DI23" s="2">
        <f t="shared" si="74"/>
        <v>7645</v>
      </c>
      <c r="DJ23" s="2">
        <f t="shared" ref="DJ23:DO23" si="75">SUM(DJ21:DJ22)</f>
        <v>8129</v>
      </c>
      <c r="DK23" s="2">
        <f t="shared" si="75"/>
        <v>8640</v>
      </c>
      <c r="DL23" s="2">
        <f t="shared" si="75"/>
        <v>8886</v>
      </c>
      <c r="DM23" s="2">
        <f t="shared" si="75"/>
        <v>8835</v>
      </c>
      <c r="DN23" s="2">
        <f t="shared" si="75"/>
        <v>8883</v>
      </c>
      <c r="DO23" s="2">
        <f t="shared" si="75"/>
        <v>8601</v>
      </c>
      <c r="DP23" s="2">
        <f t="shared" ref="DP23" si="76">SUM(DP21:DP22)</f>
        <v>8088</v>
      </c>
      <c r="DQ23" s="2">
        <f t="shared" ref="DQ23:DR23" si="77">SUM(DQ21:DQ22)</f>
        <v>7642</v>
      </c>
      <c r="DR23" s="2">
        <f t="shared" si="77"/>
        <v>7241</v>
      </c>
      <c r="DS23" s="2">
        <f t="shared" ref="DS23:DT23" si="78">SUM(DS21:DS22)</f>
        <v>7080</v>
      </c>
      <c r="DT23" s="2">
        <f t="shared" si="78"/>
        <v>7156</v>
      </c>
      <c r="DU23" s="2">
        <f t="shared" ref="DU23" si="79">SUM(DU21:DU22)</f>
        <v>7154</v>
      </c>
    </row>
    <row r="24" spans="1:125" ht="13.5" customHeight="1" x14ac:dyDescent="0.2">
      <c r="A24" s="8"/>
      <c r="D24" s="2" t="s">
        <v>80</v>
      </c>
      <c r="E24" s="14" t="str">
        <f>IF(BO26&gt;0,+BO24/BO26," ")</f>
        <v xml:space="preserve"> </v>
      </c>
      <c r="F24" s="14" t="str">
        <f>IF(BP26&gt;0,+BP24/BP26," ")</f>
        <v xml:space="preserve"> </v>
      </c>
      <c r="G24" s="14" t="str">
        <f>IF(BQ26&gt;0,+BQ24/BQ26," ")</f>
        <v xml:space="preserve"> </v>
      </c>
      <c r="H24" s="14" t="str">
        <f>IF(BR26&gt;0,+BR24/BR26," ")</f>
        <v xml:space="preserve"> 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>
        <f t="shared" ref="Y24:AH25" si="80">CI24/CI$26</f>
        <v>0.87535699714402282</v>
      </c>
      <c r="Z24" s="14">
        <f t="shared" si="80"/>
        <v>0.87258601553829074</v>
      </c>
      <c r="AA24" s="14">
        <f t="shared" si="80"/>
        <v>0.8705531328896029</v>
      </c>
      <c r="AB24" s="14">
        <f t="shared" si="80"/>
        <v>0.86668217775709633</v>
      </c>
      <c r="AC24" s="14">
        <f t="shared" si="80"/>
        <v>0.85165876777251182</v>
      </c>
      <c r="AD24" s="14">
        <f t="shared" si="80"/>
        <v>0.83951185816256046</v>
      </c>
      <c r="AE24" s="14">
        <f t="shared" si="80"/>
        <v>0.88104176442984516</v>
      </c>
      <c r="AF24" s="14">
        <f t="shared" si="80"/>
        <v>0.85790765112647782</v>
      </c>
      <c r="AG24" s="14">
        <f t="shared" si="80"/>
        <v>0.86967305524239003</v>
      </c>
      <c r="AH24" s="14">
        <f t="shared" si="80"/>
        <v>0.88021902806297059</v>
      </c>
      <c r="AI24" s="14">
        <f t="shared" ref="AI24:AR25" si="81">CS24/CS$26</f>
        <v>0.89543988945186548</v>
      </c>
      <c r="AJ24" s="14">
        <f t="shared" si="81"/>
        <v>0.90537582096813429</v>
      </c>
      <c r="AK24" s="14">
        <f t="shared" si="81"/>
        <v>0.90810544469081056</v>
      </c>
      <c r="AL24" s="14">
        <f t="shared" si="81"/>
        <v>0.90752189592993304</v>
      </c>
      <c r="AM24" s="14">
        <f t="shared" si="81"/>
        <v>0.90941049215792324</v>
      </c>
      <c r="AN24" s="14">
        <f t="shared" si="81"/>
        <v>0.90972222222222221</v>
      </c>
      <c r="AO24" s="14">
        <f t="shared" si="81"/>
        <v>0.91322421408157961</v>
      </c>
      <c r="AP24" s="14">
        <f t="shared" si="81"/>
        <v>0.91307541625857003</v>
      </c>
      <c r="AQ24" s="14">
        <f t="shared" si="81"/>
        <v>0.9071688942891859</v>
      </c>
      <c r="AR24" s="14">
        <f t="shared" si="81"/>
        <v>0.91392111368909512</v>
      </c>
      <c r="AS24" s="14">
        <f t="shared" ref="AS24:BK25" si="82">DC24/DC$26</f>
        <v>0.93067552602436321</v>
      </c>
      <c r="AT24" s="14">
        <f t="shared" si="82"/>
        <v>0.93434343434343436</v>
      </c>
      <c r="AU24" s="14">
        <f t="shared" si="82"/>
        <v>0.93604887983706719</v>
      </c>
      <c r="AV24" s="14">
        <f t="shared" si="82"/>
        <v>0.93545908567038039</v>
      </c>
      <c r="AW24" s="14">
        <f t="shared" si="82"/>
        <v>0.931128475377067</v>
      </c>
      <c r="AX24" s="14">
        <f t="shared" si="82"/>
        <v>0.92435196614353732</v>
      </c>
      <c r="AY24" s="14">
        <f t="shared" si="82"/>
        <v>0.92946413285396334</v>
      </c>
      <c r="AZ24" s="14">
        <f t="shared" si="82"/>
        <v>0.93100081366965015</v>
      </c>
      <c r="BA24" s="14">
        <f t="shared" si="82"/>
        <v>0.92883435582822083</v>
      </c>
      <c r="BB24" s="14">
        <f t="shared" ref="BB24:BK24" si="83">DL24/DL$26</f>
        <v>0.92703611639128525</v>
      </c>
      <c r="BC24" s="14">
        <f t="shared" si="83"/>
        <v>0.93599768317405152</v>
      </c>
      <c r="BD24" s="14">
        <f t="shared" si="83"/>
        <v>0.94016476369417545</v>
      </c>
      <c r="BE24" s="14">
        <f t="shared" si="83"/>
        <v>0.94329972234400117</v>
      </c>
      <c r="BF24" s="14">
        <f t="shared" si="83"/>
        <v>0.94700960644561516</v>
      </c>
      <c r="BG24" s="14">
        <f t="shared" si="83"/>
        <v>0.94953148117705077</v>
      </c>
      <c r="BH24" s="14">
        <f t="shared" si="83"/>
        <v>0.957689606741573</v>
      </c>
      <c r="BI24" s="14">
        <f t="shared" si="83"/>
        <v>0.96198617679156062</v>
      </c>
      <c r="BJ24" s="14">
        <f t="shared" si="83"/>
        <v>0.95952813067150633</v>
      </c>
      <c r="BK24" s="14">
        <f t="shared" si="83"/>
        <v>0.96361671469740628</v>
      </c>
      <c r="BL24" s="9"/>
      <c r="BN24" s="2" t="s">
        <v>80</v>
      </c>
      <c r="CI24" s="2">
        <f>47+1021+1151+787+17+300+331+145+49+106+143+1+13+23+39+8+11+4+1+20+6+4+5+6+4+8+7+10+7+17</f>
        <v>4291</v>
      </c>
      <c r="CJ24" s="2">
        <f>53+1064+992+745+24+279+292+125+2+2+1+2+1+2+36+87+122+2+11+34+37+1+8+1+3+5</f>
        <v>3931</v>
      </c>
      <c r="CK24" s="2">
        <f>52+1098+895+656+12+285+281+144+3+4+2+2+2+32+105+110+1+10+39+32+2+3+6+6+4+4+3</f>
        <v>3793</v>
      </c>
      <c r="CL24" s="2">
        <f>51+1106+903+599+13+317+249+126+1+2+1+2+1+2+36+88+107+1+16+26+36+1+2+19+1+4+7+8</f>
        <v>3725</v>
      </c>
      <c r="CM24" s="2">
        <f>35+1010+975+549+15+302+241+144+4+34+90+110+5+14+30+36</f>
        <v>3594</v>
      </c>
      <c r="CN24" s="2">
        <f>39+991+1009+618+8+259+285+142+1+3+1+2+5+28+11+1+4+77+22+1+1+97+27+7+7</f>
        <v>3646</v>
      </c>
      <c r="CO24" s="2">
        <f>55+17+1021+285+982+285+701+144+14+12+64+25+120+30</f>
        <v>3755</v>
      </c>
      <c r="CP24" s="2">
        <f>33+17+1065+332+3+958+266+1+1+725+166+4+2+7+3+14+11+2+1+66+21+2+95+34+12+5</f>
        <v>3846</v>
      </c>
      <c r="CQ24" s="2">
        <f>55+18+1047+328+1+958+285+1+658+162+1+2+1+9+9+21+16+1+1+74+32+1+133+30+9+4</f>
        <v>3857</v>
      </c>
      <c r="CR24" s="2">
        <f>35+19+1055+334+943+323+701+154+3+3+16+12+96+21+116+27</f>
        <v>3858</v>
      </c>
      <c r="CS24" s="2">
        <f>33+13+1018+352+966+318+693+172+2+5+31+11+85+29+127+33</f>
        <v>3888</v>
      </c>
      <c r="CT24" s="2">
        <f>15+18+978+311+891+317+664+167+4+7+20+8+113+31+143+35</f>
        <v>3722</v>
      </c>
      <c r="CU24" s="2">
        <f>24+9+989+300+883+331+672+170+10+26+9+82+26+121+34</f>
        <v>3686</v>
      </c>
      <c r="CV24" s="2">
        <f>15+9+990+281+874+281+617+154+8+2+14+9+111+30+100+28</f>
        <v>3523</v>
      </c>
      <c r="CW24" s="2">
        <f>20+7+914+264+916+270+585+149+6+5+17+6+76+32+73+23</f>
        <v>3363</v>
      </c>
      <c r="CX24" s="2">
        <v>3406</v>
      </c>
      <c r="CY24" s="2">
        <v>3515</v>
      </c>
      <c r="CZ24" s="2">
        <v>3729</v>
      </c>
      <c r="DA24" s="2">
        <v>3733</v>
      </c>
      <c r="DB24" s="2">
        <v>3939</v>
      </c>
      <c r="DC24" s="2">
        <v>4202</v>
      </c>
      <c r="DD24" s="2">
        <v>4440</v>
      </c>
      <c r="DE24" s="2">
        <v>4596</v>
      </c>
      <c r="DF24" s="2">
        <v>4870</v>
      </c>
      <c r="DG24" s="2">
        <v>5124</v>
      </c>
      <c r="DH24" s="2">
        <v>5242</v>
      </c>
      <c r="DI24" s="2">
        <v>5429</v>
      </c>
      <c r="DJ24" s="2">
        <v>5721</v>
      </c>
      <c r="DK24" s="2">
        <v>6056</v>
      </c>
      <c r="DL24" s="2">
        <v>6340</v>
      </c>
      <c r="DM24" s="2">
        <v>6464</v>
      </c>
      <c r="DN24" s="2">
        <v>6505</v>
      </c>
      <c r="DO24" s="2">
        <v>6455</v>
      </c>
      <c r="DP24" s="2">
        <v>6112</v>
      </c>
      <c r="DQ24" s="2">
        <v>5776</v>
      </c>
      <c r="DR24" s="2">
        <v>5455</v>
      </c>
      <c r="DS24" s="2">
        <v>5289</v>
      </c>
      <c r="DT24" s="2">
        <v>5287</v>
      </c>
      <c r="DU24" s="2">
        <v>5350</v>
      </c>
    </row>
    <row r="25" spans="1:125" ht="13.5" customHeight="1" x14ac:dyDescent="0.2">
      <c r="A25" s="8"/>
      <c r="D25" s="2" t="s">
        <v>79</v>
      </c>
      <c r="E25" s="14" t="str">
        <f>IF(BO26&gt;0,+BO25/BO26," ")</f>
        <v xml:space="preserve"> </v>
      </c>
      <c r="F25" s="14" t="str">
        <f>IF(BP26&gt;0,+BP25/BP26," ")</f>
        <v xml:space="preserve"> </v>
      </c>
      <c r="G25" s="14" t="str">
        <f>IF(BQ26&gt;0,+BQ25/BQ26," ")</f>
        <v xml:space="preserve"> </v>
      </c>
      <c r="H25" s="14" t="str">
        <f>IF(BR26&gt;0,+BR25/BR26," ")</f>
        <v xml:space="preserve"> 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>
        <f t="shared" si="80"/>
        <v>0.12464300285597715</v>
      </c>
      <c r="Z25" s="14">
        <f t="shared" si="80"/>
        <v>0.12741398446170921</v>
      </c>
      <c r="AA25" s="14">
        <f t="shared" si="80"/>
        <v>0.12944686711039707</v>
      </c>
      <c r="AB25" s="14">
        <f t="shared" si="80"/>
        <v>0.13331782224290367</v>
      </c>
      <c r="AC25" s="14">
        <f t="shared" si="80"/>
        <v>0.14834123222748816</v>
      </c>
      <c r="AD25" s="14">
        <f t="shared" si="80"/>
        <v>0.16048814183743956</v>
      </c>
      <c r="AE25" s="14">
        <f t="shared" si="80"/>
        <v>0.11895823557015486</v>
      </c>
      <c r="AF25" s="14">
        <f t="shared" si="80"/>
        <v>0.14209234887352221</v>
      </c>
      <c r="AG25" s="14">
        <f t="shared" si="80"/>
        <v>0.13032694475760992</v>
      </c>
      <c r="AH25" s="14">
        <f t="shared" si="80"/>
        <v>0.11978097193702943</v>
      </c>
      <c r="AI25" s="14">
        <f t="shared" si="81"/>
        <v>0.10456011054813449</v>
      </c>
      <c r="AJ25" s="14">
        <f t="shared" si="81"/>
        <v>9.4624179031865721E-2</v>
      </c>
      <c r="AK25" s="14">
        <f t="shared" si="81"/>
        <v>9.1894555309189455E-2</v>
      </c>
      <c r="AL25" s="14">
        <f t="shared" si="81"/>
        <v>9.2478104070066972E-2</v>
      </c>
      <c r="AM25" s="14">
        <f t="shared" si="81"/>
        <v>9.0589507842076797E-2</v>
      </c>
      <c r="AN25" s="14">
        <f t="shared" si="81"/>
        <v>9.0277777777777776E-2</v>
      </c>
      <c r="AO25" s="14">
        <f t="shared" si="81"/>
        <v>8.6775785918420376E-2</v>
      </c>
      <c r="AP25" s="14">
        <f t="shared" si="81"/>
        <v>8.6924583741429973E-2</v>
      </c>
      <c r="AQ25" s="14">
        <f t="shared" si="81"/>
        <v>9.2831105710814099E-2</v>
      </c>
      <c r="AR25" s="14">
        <f t="shared" si="81"/>
        <v>8.6078886310904879E-2</v>
      </c>
      <c r="AS25" s="14">
        <f t="shared" si="82"/>
        <v>6.9324473975636763E-2</v>
      </c>
      <c r="AT25" s="14">
        <f t="shared" si="82"/>
        <v>6.5656565656565663E-2</v>
      </c>
      <c r="AU25" s="14">
        <f t="shared" si="82"/>
        <v>6.3951120162932792E-2</v>
      </c>
      <c r="AV25" s="14">
        <f t="shared" si="82"/>
        <v>6.454091432961967E-2</v>
      </c>
      <c r="AW25" s="14">
        <f t="shared" si="82"/>
        <v>6.8871524622932945E-2</v>
      </c>
      <c r="AX25" s="14">
        <f t="shared" si="82"/>
        <v>7.564803385646271E-2</v>
      </c>
      <c r="AY25" s="14">
        <f t="shared" si="82"/>
        <v>7.0535867146036643E-2</v>
      </c>
      <c r="AZ25" s="14">
        <f t="shared" si="82"/>
        <v>6.8999186330349876E-2</v>
      </c>
      <c r="BA25" s="14">
        <f t="shared" si="82"/>
        <v>7.1165644171779147E-2</v>
      </c>
      <c r="BB25" s="14">
        <f t="shared" si="82"/>
        <v>7.2963883608714725E-2</v>
      </c>
      <c r="BC25" s="14">
        <f t="shared" si="82"/>
        <v>6.4002316825948452E-2</v>
      </c>
      <c r="BD25" s="14">
        <f t="shared" si="82"/>
        <v>5.9835236305824539E-2</v>
      </c>
      <c r="BE25" s="14">
        <f t="shared" si="82"/>
        <v>5.6700277655998832E-2</v>
      </c>
      <c r="BF25" s="14">
        <f t="shared" si="82"/>
        <v>5.2990393554384875E-2</v>
      </c>
      <c r="BG25" s="14">
        <f t="shared" si="82"/>
        <v>5.0468518822949206E-2</v>
      </c>
      <c r="BH25" s="14">
        <f t="shared" si="82"/>
        <v>4.2310393258426969E-2</v>
      </c>
      <c r="BI25" s="14">
        <f t="shared" si="82"/>
        <v>3.8013823208439435E-2</v>
      </c>
      <c r="BJ25" s="14">
        <f t="shared" si="82"/>
        <v>4.047186932849365E-2</v>
      </c>
      <c r="BK25" s="14">
        <f t="shared" si="82"/>
        <v>3.638328530259366E-2</v>
      </c>
      <c r="BL25" s="9"/>
      <c r="BN25" s="2" t="s">
        <v>79</v>
      </c>
      <c r="CI25" s="2">
        <f>158+62+13+5+1+30+3+13+6+1+62+21+10+2+2+24+9+16+13+7+2+1+2+4+1+21+10+8+9+2+1+21+19+16+24+12</f>
        <v>611</v>
      </c>
      <c r="CJ25" s="2">
        <f>153+51+11+6+39+7+8+7+40+29+7+4+3+30+28+15+22+10+8+9+5+5+2+11+14+19+25+5+1</f>
        <v>574</v>
      </c>
      <c r="CK25" s="2">
        <f>152+55+15+8+29+17+6+7+1+3+30+19+6+2+21+17+13+13+4+18+14+8+13+20+20+22+25+5+1</f>
        <v>564</v>
      </c>
      <c r="CL25" s="2">
        <f>149+61+16+4+1+1+26+18+6+6+1+1+34+14+8+4+1+20+18+15+11+5+43+23+12+8+3+16+13+11+20+4</f>
        <v>573</v>
      </c>
      <c r="CM25" s="2">
        <f>183+50+12+4+25+14+14+12+2+1+68+45+25+22+4+27+46+16+40+14+2</f>
        <v>626</v>
      </c>
      <c r="CN25" s="2">
        <f>169+57+19+8+30+23+12+14+5+1+40+33+49+21+20+12+29+17+21+14+17+15+6+13+16+14+2+4+3+5+3+1+1+1+1+1</f>
        <v>697</v>
      </c>
      <c r="CO25" s="2">
        <f>158+34+50+21+23+16+14+10+1+1+1+2+1+46+22+21+19+21+15+8+18+2+3</f>
        <v>507</v>
      </c>
      <c r="CP25" s="2">
        <f>155+50+1+1+53+20+1+18+15+19+16+1+1+1+42+10+24+5+25+23+34+11+12+19+16+9+4+21+11+6+1+3+4+4+1</f>
        <v>637</v>
      </c>
      <c r="CQ25" s="2">
        <f>142+43+46+20+18+14+1+12+19+49+15+21+4+23+12+12+4+15+11+18+7+13+26+17+8+1+3+3+1</f>
        <v>578</v>
      </c>
      <c r="CR25" s="2">
        <f>140+34+48+20+17+12+12+18+0+2+0+0+59+19+40+16+15+13+28+22+5+5+0+0</f>
        <v>525</v>
      </c>
      <c r="CS25" s="2">
        <f>135+24+39+16+16+10+10+12+0+1+46+27+17+19+15+18+19+21+4+5+0+0</f>
        <v>454</v>
      </c>
      <c r="CT25" s="2">
        <f>97+29+31+17+16+8+8+7+1+2+0+0+39+24+20+11+11+17+16+23+5+7+0+0</f>
        <v>389</v>
      </c>
      <c r="CU25" s="2">
        <f>92+27+28+11+22+11+4+52+16+21+16+9+17+16+21+10</f>
        <v>373</v>
      </c>
      <c r="CV25" s="2">
        <f>105+24+25+6+13+3+4+10+1+3+2+1+52+17+16+13+12+9+12+17+6+6+1+1</f>
        <v>359</v>
      </c>
      <c r="CW25" s="2">
        <f>96+23+18+10+10+3+5+4+1+1+1+1+50+16+16+12+14+5+21+18+4+3+1+1+1</f>
        <v>335</v>
      </c>
      <c r="CX25" s="2">
        <v>338</v>
      </c>
      <c r="CY25" s="2">
        <v>334</v>
      </c>
      <c r="CZ25" s="2">
        <v>355</v>
      </c>
      <c r="DA25" s="2">
        <v>382</v>
      </c>
      <c r="DB25" s="2">
        <v>371</v>
      </c>
      <c r="DC25" s="2">
        <v>313</v>
      </c>
      <c r="DD25" s="2">
        <v>312</v>
      </c>
      <c r="DE25" s="2">
        <v>314</v>
      </c>
      <c r="DF25" s="2">
        <v>336</v>
      </c>
      <c r="DG25" s="2">
        <v>379</v>
      </c>
      <c r="DH25" s="2">
        <v>429</v>
      </c>
      <c r="DI25" s="2">
        <v>412</v>
      </c>
      <c r="DJ25" s="2">
        <v>424</v>
      </c>
      <c r="DK25" s="2">
        <v>464</v>
      </c>
      <c r="DL25" s="2">
        <v>499</v>
      </c>
      <c r="DM25" s="2">
        <v>442</v>
      </c>
      <c r="DN25" s="2">
        <v>414</v>
      </c>
      <c r="DO25" s="2">
        <v>388</v>
      </c>
      <c r="DP25" s="2">
        <v>342</v>
      </c>
      <c r="DQ25" s="2">
        <v>307</v>
      </c>
      <c r="DR25" s="2">
        <v>241</v>
      </c>
      <c r="DS25" s="2">
        <v>209</v>
      </c>
      <c r="DT25" s="2">
        <v>223</v>
      </c>
      <c r="DU25" s="2">
        <v>202</v>
      </c>
    </row>
    <row r="26" spans="1:125" ht="13.5" customHeight="1" x14ac:dyDescent="0.2">
      <c r="A26" s="8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9"/>
      <c r="BN26" s="20" t="s">
        <v>56</v>
      </c>
      <c r="CI26" s="2">
        <f t="shared" ref="CI26:DJ26" si="84">SUM(CI24:CI25)</f>
        <v>4902</v>
      </c>
      <c r="CJ26" s="2">
        <f t="shared" si="84"/>
        <v>4505</v>
      </c>
      <c r="CK26" s="2">
        <f t="shared" si="84"/>
        <v>4357</v>
      </c>
      <c r="CL26" s="2">
        <f t="shared" si="84"/>
        <v>4298</v>
      </c>
      <c r="CM26" s="2">
        <f t="shared" si="84"/>
        <v>4220</v>
      </c>
      <c r="CN26" s="2">
        <f t="shared" si="84"/>
        <v>4343</v>
      </c>
      <c r="CO26" s="2">
        <f t="shared" si="84"/>
        <v>4262</v>
      </c>
      <c r="CP26" s="2">
        <f t="shared" si="84"/>
        <v>4483</v>
      </c>
      <c r="CQ26" s="2">
        <f t="shared" si="84"/>
        <v>4435</v>
      </c>
      <c r="CR26" s="2">
        <f t="shared" si="84"/>
        <v>4383</v>
      </c>
      <c r="CS26" s="2">
        <f t="shared" si="84"/>
        <v>4342</v>
      </c>
      <c r="CT26" s="2">
        <f t="shared" si="84"/>
        <v>4111</v>
      </c>
      <c r="CU26" s="2">
        <f t="shared" si="84"/>
        <v>4059</v>
      </c>
      <c r="CV26" s="2">
        <f t="shared" si="84"/>
        <v>3882</v>
      </c>
      <c r="CW26" s="2">
        <f t="shared" si="84"/>
        <v>3698</v>
      </c>
      <c r="CX26" s="2">
        <f t="shared" si="84"/>
        <v>3744</v>
      </c>
      <c r="CY26" s="2">
        <f t="shared" si="84"/>
        <v>3849</v>
      </c>
      <c r="CZ26" s="2">
        <f t="shared" si="84"/>
        <v>4084</v>
      </c>
      <c r="DA26" s="2">
        <f t="shared" si="84"/>
        <v>4115</v>
      </c>
      <c r="DB26" s="2">
        <f t="shared" si="84"/>
        <v>4310</v>
      </c>
      <c r="DC26" s="2">
        <f t="shared" si="84"/>
        <v>4515</v>
      </c>
      <c r="DD26" s="2">
        <f t="shared" si="84"/>
        <v>4752</v>
      </c>
      <c r="DE26" s="2">
        <f t="shared" si="84"/>
        <v>4910</v>
      </c>
      <c r="DF26" s="2">
        <f t="shared" si="84"/>
        <v>5206</v>
      </c>
      <c r="DG26" s="2">
        <f t="shared" si="84"/>
        <v>5503</v>
      </c>
      <c r="DH26" s="2">
        <f t="shared" si="84"/>
        <v>5671</v>
      </c>
      <c r="DI26" s="2">
        <f t="shared" si="84"/>
        <v>5841</v>
      </c>
      <c r="DJ26" s="2">
        <f t="shared" si="84"/>
        <v>6145</v>
      </c>
      <c r="DK26" s="2">
        <f t="shared" ref="DK26" si="85">SUM(DK24:DK25)</f>
        <v>6520</v>
      </c>
      <c r="DL26" s="2">
        <f t="shared" ref="DL26:DM26" si="86">SUM(DL24:DL25)</f>
        <v>6839</v>
      </c>
      <c r="DM26" s="2">
        <f t="shared" si="86"/>
        <v>6906</v>
      </c>
      <c r="DN26" s="2">
        <f t="shared" ref="DN26:DO26" si="87">SUM(DN24:DN25)</f>
        <v>6919</v>
      </c>
      <c r="DO26" s="2">
        <f t="shared" si="87"/>
        <v>6843</v>
      </c>
      <c r="DP26" s="2">
        <f t="shared" ref="DP26" si="88">SUM(DP24:DP25)</f>
        <v>6454</v>
      </c>
      <c r="DQ26" s="2">
        <f t="shared" ref="DQ26:DR26" si="89">SUM(DQ24:DQ25)</f>
        <v>6083</v>
      </c>
      <c r="DR26" s="2">
        <f t="shared" si="89"/>
        <v>5696</v>
      </c>
      <c r="DS26" s="2">
        <f t="shared" ref="DS26:DT26" si="90">SUM(DS24:DS25)</f>
        <v>5498</v>
      </c>
      <c r="DT26" s="2">
        <f t="shared" si="90"/>
        <v>5510</v>
      </c>
      <c r="DU26" s="2">
        <f t="shared" ref="DU26" si="91">SUM(DU24:DU25)</f>
        <v>5552</v>
      </c>
    </row>
    <row r="27" spans="1:125" ht="13.5" customHeight="1" x14ac:dyDescent="0.2">
      <c r="A27" s="8"/>
      <c r="B27" s="30" t="s">
        <v>97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9"/>
    </row>
    <row r="28" spans="1:125" ht="13.5" customHeight="1" x14ac:dyDescent="0.2">
      <c r="A28" s="8"/>
      <c r="C28" s="3" t="s">
        <v>62</v>
      </c>
      <c r="BL28" s="9"/>
      <c r="BN28" s="2" t="s">
        <v>98</v>
      </c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</row>
    <row r="29" spans="1:125" ht="13.5" customHeight="1" x14ac:dyDescent="0.2">
      <c r="A29" s="39"/>
      <c r="D29" s="2" t="s">
        <v>59</v>
      </c>
      <c r="E29" s="14"/>
      <c r="F29" s="14">
        <f t="shared" ref="F29:H30" si="92">BP29/BP$31</f>
        <v>0.78704407294832823</v>
      </c>
      <c r="G29" s="14">
        <f t="shared" si="92"/>
        <v>0.79023883696780894</v>
      </c>
      <c r="H29" s="14">
        <f t="shared" si="92"/>
        <v>0.80601182654402104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>
        <f t="shared" ref="X29:AH30" si="93">CH29/CH$31</f>
        <v>0.84657534246575339</v>
      </c>
      <c r="Y29" s="14">
        <f t="shared" si="93"/>
        <v>0.85114192495921692</v>
      </c>
      <c r="Z29" s="14">
        <f t="shared" si="93"/>
        <v>0.85105438401775801</v>
      </c>
      <c r="AA29" s="14">
        <f t="shared" si="93"/>
        <v>0.84629502179398941</v>
      </c>
      <c r="AB29" s="14">
        <f t="shared" si="93"/>
        <v>0.84363382899628248</v>
      </c>
      <c r="AC29" s="14">
        <f t="shared" si="93"/>
        <v>0.83582089552238803</v>
      </c>
      <c r="AD29" s="14">
        <f t="shared" si="93"/>
        <v>0.82225799034260749</v>
      </c>
      <c r="AE29" s="14">
        <f t="shared" si="93"/>
        <v>0.81055480378890388</v>
      </c>
      <c r="AF29" s="14">
        <f t="shared" si="93"/>
        <v>0.7978604858480054</v>
      </c>
      <c r="AG29" s="14">
        <f t="shared" si="93"/>
        <v>0.77895448400180256</v>
      </c>
      <c r="AH29" s="14">
        <f t="shared" si="93"/>
        <v>0.75265343793262574</v>
      </c>
      <c r="AI29" s="14">
        <f t="shared" ref="AI29:AR30" si="94">CS29/CS$31</f>
        <v>0.74174936533579505</v>
      </c>
      <c r="AJ29" s="14">
        <f t="shared" si="94"/>
        <v>0.73103112840466922</v>
      </c>
      <c r="AK29" s="14">
        <f t="shared" si="94"/>
        <v>0.73417097807341714</v>
      </c>
      <c r="AL29" s="14">
        <f t="shared" si="94"/>
        <v>0.75141679546625451</v>
      </c>
      <c r="AM29" s="14">
        <f t="shared" si="94"/>
        <v>0.76825310978907513</v>
      </c>
      <c r="AN29" s="14">
        <f t="shared" si="94"/>
        <v>0.78008519701810441</v>
      </c>
      <c r="AO29" s="14">
        <f t="shared" si="94"/>
        <v>0.78409976617303201</v>
      </c>
      <c r="AP29" s="14">
        <f t="shared" si="94"/>
        <v>0.80092932257275617</v>
      </c>
      <c r="AQ29" s="14">
        <f t="shared" si="94"/>
        <v>0.80893420733187671</v>
      </c>
      <c r="AR29" s="14">
        <f t="shared" si="94"/>
        <v>0.81025284156808164</v>
      </c>
      <c r="AS29" s="14">
        <f t="shared" ref="AS29:BK30" si="95">DC29/DC$31</f>
        <v>0.81173864894795122</v>
      </c>
      <c r="AT29" s="14">
        <f t="shared" si="95"/>
        <v>0.81102693602693599</v>
      </c>
      <c r="AU29" s="14">
        <f t="shared" si="95"/>
        <v>0.80920382814090819</v>
      </c>
      <c r="AV29" s="14">
        <f t="shared" si="95"/>
        <v>0.80925854782942763</v>
      </c>
      <c r="AW29" s="14">
        <f t="shared" si="95"/>
        <v>0.79720152644012354</v>
      </c>
      <c r="AX29" s="14">
        <f t="shared" si="95"/>
        <v>0.79421618762123081</v>
      </c>
      <c r="AY29" s="14">
        <f t="shared" si="95"/>
        <v>0.79250128402670772</v>
      </c>
      <c r="AZ29" s="14">
        <f t="shared" si="95"/>
        <v>0.79235150528885268</v>
      </c>
      <c r="BA29" s="14">
        <f t="shared" si="95"/>
        <v>0.79018404907975459</v>
      </c>
      <c r="BB29" s="14">
        <f t="shared" si="95"/>
        <v>0.80494224301798512</v>
      </c>
      <c r="BC29" s="14">
        <f t="shared" si="95"/>
        <v>0.83347813495511147</v>
      </c>
      <c r="BD29" s="14">
        <f t="shared" si="95"/>
        <v>0.85142361612949846</v>
      </c>
      <c r="BE29" s="14">
        <f t="shared" si="95"/>
        <v>0.86044132690340491</v>
      </c>
      <c r="BF29" s="14">
        <f t="shared" si="95"/>
        <v>0.85745274248528047</v>
      </c>
      <c r="BG29" s="14">
        <f t="shared" si="95"/>
        <v>0.86158145651816542</v>
      </c>
      <c r="BH29" s="14">
        <f t="shared" si="95"/>
        <v>0.844627808988764</v>
      </c>
      <c r="BI29" s="14">
        <f t="shared" si="95"/>
        <v>0.82684612586395057</v>
      </c>
      <c r="BJ29" s="14">
        <f t="shared" si="95"/>
        <v>0.80362976406533571</v>
      </c>
      <c r="BK29" s="14">
        <f t="shared" si="95"/>
        <v>0.79160662824207495</v>
      </c>
      <c r="BL29" s="9"/>
      <c r="BN29" s="2" t="s">
        <v>59</v>
      </c>
      <c r="BP29" s="2">
        <v>4143</v>
      </c>
      <c r="BQ29" s="2">
        <v>4566</v>
      </c>
      <c r="BR29" s="2">
        <v>4907</v>
      </c>
      <c r="CH29" s="2">
        <f>3834+491+1</f>
        <v>4326</v>
      </c>
      <c r="CI29" s="2">
        <f>643+10+2803+456+61+201</f>
        <v>4174</v>
      </c>
      <c r="CJ29" s="2">
        <f>684+35+2575+423+10+107</f>
        <v>3834</v>
      </c>
      <c r="CK29" s="2">
        <f>688+15+2414+393+15+164</f>
        <v>3689</v>
      </c>
      <c r="CL29" s="2">
        <f>660+25+2389+370+9+178</f>
        <v>3631</v>
      </c>
      <c r="CM29" s="2">
        <f>587+20+2390+337+14+180</f>
        <v>3528</v>
      </c>
      <c r="CN29" s="2">
        <v>3576</v>
      </c>
      <c r="CO29" s="2">
        <v>3594</v>
      </c>
      <c r="CP29" s="2">
        <v>3580</v>
      </c>
      <c r="CQ29" s="2">
        <v>3457</v>
      </c>
      <c r="CR29" s="2">
        <v>3262</v>
      </c>
      <c r="CS29" s="2">
        <f>500+6+2296+340+2+70</f>
        <v>3214</v>
      </c>
      <c r="CT29" s="2">
        <v>3006</v>
      </c>
      <c r="CU29" s="2">
        <f>496+7+2077+322+7+71</f>
        <v>2980</v>
      </c>
      <c r="CV29" s="2">
        <v>2917</v>
      </c>
      <c r="CW29" s="2">
        <v>2841</v>
      </c>
      <c r="CX29" s="2">
        <v>2930</v>
      </c>
      <c r="CY29" s="2">
        <v>3018</v>
      </c>
      <c r="CZ29" s="2">
        <v>3275</v>
      </c>
      <c r="DA29" s="2">
        <f>651+2+2342+252+4+81</f>
        <v>3332</v>
      </c>
      <c r="DB29" s="2">
        <v>3493</v>
      </c>
      <c r="DC29" s="2">
        <v>3665</v>
      </c>
      <c r="DD29" s="2">
        <v>3854</v>
      </c>
      <c r="DE29" s="2">
        <v>3974</v>
      </c>
      <c r="DF29" s="2">
        <v>4213</v>
      </c>
      <c r="DG29" s="2">
        <v>4387</v>
      </c>
      <c r="DH29" s="2">
        <v>4504</v>
      </c>
      <c r="DI29" s="2">
        <v>4629</v>
      </c>
      <c r="DJ29" s="2">
        <v>4869</v>
      </c>
      <c r="DK29" s="2">
        <v>5152</v>
      </c>
      <c r="DL29" s="2">
        <v>5505</v>
      </c>
      <c r="DM29" s="2">
        <v>5756</v>
      </c>
      <c r="DN29" s="2">
        <v>5891</v>
      </c>
      <c r="DO29" s="2">
        <v>5888</v>
      </c>
      <c r="DP29" s="2">
        <v>5534</v>
      </c>
      <c r="DQ29" s="2">
        <v>5241</v>
      </c>
      <c r="DR29" s="2">
        <v>4811</v>
      </c>
      <c r="DS29" s="2">
        <v>4546</v>
      </c>
      <c r="DT29" s="2">
        <v>4428</v>
      </c>
      <c r="DU29" s="2">
        <v>4395</v>
      </c>
    </row>
    <row r="30" spans="1:125" ht="13.5" customHeight="1" x14ac:dyDescent="0.2">
      <c r="A30" s="39"/>
      <c r="D30" s="2" t="s">
        <v>60</v>
      </c>
      <c r="E30" s="14"/>
      <c r="F30" s="14">
        <f t="shared" si="92"/>
        <v>0.21295592705167174</v>
      </c>
      <c r="G30" s="14">
        <f t="shared" si="92"/>
        <v>0.20976116303219106</v>
      </c>
      <c r="H30" s="14">
        <f t="shared" si="92"/>
        <v>0.19398817345597896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>
        <f t="shared" si="93"/>
        <v>0.15342465753424658</v>
      </c>
      <c r="Y30" s="14">
        <f t="shared" si="93"/>
        <v>0.14885807504078302</v>
      </c>
      <c r="Z30" s="14">
        <f t="shared" si="93"/>
        <v>0.14894561598224196</v>
      </c>
      <c r="AA30" s="14">
        <f t="shared" si="93"/>
        <v>0.15370497820601056</v>
      </c>
      <c r="AB30" s="14">
        <f t="shared" si="93"/>
        <v>0.15636617100371747</v>
      </c>
      <c r="AC30" s="14">
        <f t="shared" si="93"/>
        <v>0.16417910447761194</v>
      </c>
      <c r="AD30" s="14">
        <f t="shared" si="93"/>
        <v>0.17774200965739251</v>
      </c>
      <c r="AE30" s="14">
        <f t="shared" si="93"/>
        <v>0.18944519621109607</v>
      </c>
      <c r="AF30" s="14">
        <f t="shared" si="93"/>
        <v>0.20213951415199466</v>
      </c>
      <c r="AG30" s="14">
        <f t="shared" si="93"/>
        <v>0.22104551599819738</v>
      </c>
      <c r="AH30" s="14">
        <f t="shared" si="93"/>
        <v>0.24734656206737424</v>
      </c>
      <c r="AI30" s="14">
        <f t="shared" si="94"/>
        <v>0.25825063466420495</v>
      </c>
      <c r="AJ30" s="14">
        <f t="shared" si="94"/>
        <v>0.26896887159533073</v>
      </c>
      <c r="AK30" s="14">
        <f t="shared" si="94"/>
        <v>0.26582902192658292</v>
      </c>
      <c r="AL30" s="14">
        <f t="shared" si="94"/>
        <v>0.24858320453374549</v>
      </c>
      <c r="AM30" s="14">
        <f t="shared" si="94"/>
        <v>0.23174689021092482</v>
      </c>
      <c r="AN30" s="14">
        <f t="shared" si="94"/>
        <v>0.21991480298189564</v>
      </c>
      <c r="AO30" s="14">
        <f t="shared" si="94"/>
        <v>0.21590023382696805</v>
      </c>
      <c r="AP30" s="14">
        <f t="shared" si="94"/>
        <v>0.19907067742724383</v>
      </c>
      <c r="AQ30" s="14">
        <f t="shared" si="94"/>
        <v>0.19106579266812332</v>
      </c>
      <c r="AR30" s="14">
        <f t="shared" si="94"/>
        <v>0.18974715843191836</v>
      </c>
      <c r="AS30" s="14">
        <f t="shared" si="95"/>
        <v>0.18826135105204872</v>
      </c>
      <c r="AT30" s="14">
        <f t="shared" si="95"/>
        <v>0.18897306397306396</v>
      </c>
      <c r="AU30" s="14">
        <f t="shared" si="95"/>
        <v>0.19079617185909184</v>
      </c>
      <c r="AV30" s="14">
        <f t="shared" si="95"/>
        <v>0.19074145217057242</v>
      </c>
      <c r="AW30" s="14">
        <f t="shared" si="95"/>
        <v>0.20279847355987643</v>
      </c>
      <c r="AX30" s="14">
        <f t="shared" si="95"/>
        <v>0.20578381237876917</v>
      </c>
      <c r="AY30" s="14">
        <f t="shared" si="95"/>
        <v>0.20749871597329225</v>
      </c>
      <c r="AZ30" s="14">
        <f t="shared" si="95"/>
        <v>0.20764849471114727</v>
      </c>
      <c r="BA30" s="14">
        <f t="shared" si="95"/>
        <v>0.20981595092024541</v>
      </c>
      <c r="BB30" s="14">
        <f t="shared" si="95"/>
        <v>0.19505775698201491</v>
      </c>
      <c r="BC30" s="14">
        <f t="shared" si="95"/>
        <v>0.1665218650448885</v>
      </c>
      <c r="BD30" s="14">
        <f t="shared" si="95"/>
        <v>0.14857638387050151</v>
      </c>
      <c r="BE30" s="14">
        <f t="shared" si="95"/>
        <v>0.13955867309659506</v>
      </c>
      <c r="BF30" s="14">
        <f t="shared" si="95"/>
        <v>0.14254725751471956</v>
      </c>
      <c r="BG30" s="14">
        <f t="shared" si="95"/>
        <v>0.13841854348183463</v>
      </c>
      <c r="BH30" s="14">
        <f t="shared" si="95"/>
        <v>0.15537219101123595</v>
      </c>
      <c r="BI30" s="14">
        <f t="shared" si="95"/>
        <v>0.17315387413604946</v>
      </c>
      <c r="BJ30" s="14">
        <f t="shared" si="95"/>
        <v>0.19637023593466424</v>
      </c>
      <c r="BK30" s="14">
        <f t="shared" si="95"/>
        <v>0.20839337175792508</v>
      </c>
      <c r="BL30" s="9"/>
      <c r="BN30" s="2" t="s">
        <v>60</v>
      </c>
      <c r="BP30" s="2">
        <v>1121</v>
      </c>
      <c r="BQ30" s="2">
        <v>1212</v>
      </c>
      <c r="BR30" s="2">
        <v>1181</v>
      </c>
      <c r="CH30" s="2">
        <f>722+61+1</f>
        <v>784</v>
      </c>
      <c r="CI30" s="2">
        <f>107+539+74+3+7</f>
        <v>730</v>
      </c>
      <c r="CJ30" s="2">
        <f>128+4+469+57+2+11</f>
        <v>671</v>
      </c>
      <c r="CK30" s="2">
        <f>145+466+46+1+12</f>
        <v>670</v>
      </c>
      <c r="CL30" s="2">
        <f>145+2+460+45+21</f>
        <v>673</v>
      </c>
      <c r="CM30" s="2">
        <f>126+468+69+3+27</f>
        <v>693</v>
      </c>
      <c r="CN30" s="2">
        <v>773</v>
      </c>
      <c r="CO30" s="2">
        <v>840</v>
      </c>
      <c r="CP30" s="2">
        <v>907</v>
      </c>
      <c r="CQ30" s="2">
        <v>981</v>
      </c>
      <c r="CR30" s="2">
        <v>1072</v>
      </c>
      <c r="CS30" s="2">
        <f>279+4+751+84+1</f>
        <v>1119</v>
      </c>
      <c r="CT30" s="2">
        <v>1106</v>
      </c>
      <c r="CU30" s="2">
        <f>225+5+768+75+6</f>
        <v>1079</v>
      </c>
      <c r="CV30" s="2">
        <v>965</v>
      </c>
      <c r="CW30" s="2">
        <v>857</v>
      </c>
      <c r="CX30" s="2">
        <v>826</v>
      </c>
      <c r="CY30" s="2">
        <v>831</v>
      </c>
      <c r="CZ30" s="2">
        <v>814</v>
      </c>
      <c r="DA30" s="2">
        <f>188+1+548+34+4+12</f>
        <v>787</v>
      </c>
      <c r="DB30" s="2">
        <v>818</v>
      </c>
      <c r="DC30" s="2">
        <v>850</v>
      </c>
      <c r="DD30" s="2">
        <v>898</v>
      </c>
      <c r="DE30" s="2">
        <v>937</v>
      </c>
      <c r="DF30" s="2">
        <v>993</v>
      </c>
      <c r="DG30" s="2">
        <v>1116</v>
      </c>
      <c r="DH30" s="2">
        <v>1167</v>
      </c>
      <c r="DI30" s="2">
        <v>1212</v>
      </c>
      <c r="DJ30" s="2">
        <v>1276</v>
      </c>
      <c r="DK30" s="2">
        <v>1368</v>
      </c>
      <c r="DL30" s="2">
        <v>1334</v>
      </c>
      <c r="DM30" s="2">
        <v>1150</v>
      </c>
      <c r="DN30" s="2">
        <v>1028</v>
      </c>
      <c r="DO30" s="2">
        <v>955</v>
      </c>
      <c r="DP30" s="2">
        <v>920</v>
      </c>
      <c r="DQ30" s="2">
        <v>842</v>
      </c>
      <c r="DR30" s="2">
        <v>885</v>
      </c>
      <c r="DS30" s="2">
        <v>952</v>
      </c>
      <c r="DT30" s="2">
        <v>1082</v>
      </c>
      <c r="DU30" s="2">
        <v>1157</v>
      </c>
    </row>
    <row r="31" spans="1:125" ht="13.5" customHeight="1" x14ac:dyDescent="0.2">
      <c r="A31" s="39"/>
      <c r="C31" s="3" t="s">
        <v>63</v>
      </c>
      <c r="BL31" s="38"/>
      <c r="BN31" s="20" t="s">
        <v>56</v>
      </c>
      <c r="BP31" s="2">
        <f>SUM(BP29:BP30)</f>
        <v>5264</v>
      </c>
      <c r="BQ31" s="2">
        <f>SUM(BQ29:BQ30)</f>
        <v>5778</v>
      </c>
      <c r="BR31" s="2">
        <f>SUM(BR29:BR30)</f>
        <v>6088</v>
      </c>
      <c r="CH31" s="2">
        <f t="shared" ref="CH31:DJ31" si="96">SUM(CH29:CH30)</f>
        <v>5110</v>
      </c>
      <c r="CI31" s="2">
        <f t="shared" si="96"/>
        <v>4904</v>
      </c>
      <c r="CJ31" s="2">
        <f t="shared" si="96"/>
        <v>4505</v>
      </c>
      <c r="CK31" s="2">
        <f t="shared" si="96"/>
        <v>4359</v>
      </c>
      <c r="CL31" s="2">
        <f t="shared" si="96"/>
        <v>4304</v>
      </c>
      <c r="CM31" s="2">
        <f t="shared" si="96"/>
        <v>4221</v>
      </c>
      <c r="CN31" s="2">
        <f t="shared" si="96"/>
        <v>4349</v>
      </c>
      <c r="CO31" s="2">
        <f t="shared" si="96"/>
        <v>4434</v>
      </c>
      <c r="CP31" s="2">
        <f t="shared" si="96"/>
        <v>4487</v>
      </c>
      <c r="CQ31" s="2">
        <f t="shared" si="96"/>
        <v>4438</v>
      </c>
      <c r="CR31" s="2">
        <f t="shared" si="96"/>
        <v>4334</v>
      </c>
      <c r="CS31" s="2">
        <f t="shared" si="96"/>
        <v>4333</v>
      </c>
      <c r="CT31" s="2">
        <f t="shared" si="96"/>
        <v>4112</v>
      </c>
      <c r="CU31" s="2">
        <f t="shared" si="96"/>
        <v>4059</v>
      </c>
      <c r="CV31" s="2">
        <f t="shared" si="96"/>
        <v>3882</v>
      </c>
      <c r="CW31" s="2">
        <f t="shared" si="96"/>
        <v>3698</v>
      </c>
      <c r="CX31" s="2">
        <f t="shared" si="96"/>
        <v>3756</v>
      </c>
      <c r="CY31" s="2">
        <f t="shared" si="96"/>
        <v>3849</v>
      </c>
      <c r="CZ31" s="2">
        <f t="shared" si="96"/>
        <v>4089</v>
      </c>
      <c r="DA31" s="2">
        <f t="shared" si="96"/>
        <v>4119</v>
      </c>
      <c r="DB31" s="2">
        <f t="shared" si="96"/>
        <v>4311</v>
      </c>
      <c r="DC31" s="2">
        <f t="shared" si="96"/>
        <v>4515</v>
      </c>
      <c r="DD31" s="2">
        <f t="shared" si="96"/>
        <v>4752</v>
      </c>
      <c r="DE31" s="2">
        <f t="shared" si="96"/>
        <v>4911</v>
      </c>
      <c r="DF31" s="2">
        <f t="shared" si="96"/>
        <v>5206</v>
      </c>
      <c r="DG31" s="2">
        <f t="shared" si="96"/>
        <v>5503</v>
      </c>
      <c r="DH31" s="2">
        <f t="shared" si="96"/>
        <v>5671</v>
      </c>
      <c r="DI31" s="2">
        <f t="shared" si="96"/>
        <v>5841</v>
      </c>
      <c r="DJ31" s="2">
        <f t="shared" si="96"/>
        <v>6145</v>
      </c>
      <c r="DK31" s="2">
        <f t="shared" ref="DK31" si="97">SUM(DK29:DK30)</f>
        <v>6520</v>
      </c>
      <c r="DL31" s="2">
        <f t="shared" ref="DL31:DM31" si="98">SUM(DL29:DL30)</f>
        <v>6839</v>
      </c>
      <c r="DM31" s="2">
        <f t="shared" si="98"/>
        <v>6906</v>
      </c>
      <c r="DN31" s="2">
        <f t="shared" ref="DN31:DO31" si="99">SUM(DN29:DN30)</f>
        <v>6919</v>
      </c>
      <c r="DO31" s="2">
        <f t="shared" si="99"/>
        <v>6843</v>
      </c>
      <c r="DP31" s="2">
        <f t="shared" ref="DP31" si="100">SUM(DP29:DP30)</f>
        <v>6454</v>
      </c>
      <c r="DQ31" s="2">
        <f t="shared" ref="DQ31:DR31" si="101">SUM(DQ29:DQ30)</f>
        <v>6083</v>
      </c>
      <c r="DR31" s="2">
        <f t="shared" si="101"/>
        <v>5696</v>
      </c>
      <c r="DS31" s="2">
        <f t="shared" ref="DS31:DT31" si="102">SUM(DS29:DS30)</f>
        <v>5498</v>
      </c>
      <c r="DT31" s="2">
        <f t="shared" si="102"/>
        <v>5510</v>
      </c>
      <c r="DU31" s="2">
        <f t="shared" ref="DU31" si="103">SUM(DU29:DU30)</f>
        <v>5552</v>
      </c>
    </row>
    <row r="32" spans="1:125" ht="13.5" customHeight="1" x14ac:dyDescent="0.2">
      <c r="A32" s="39"/>
      <c r="D32" s="2" t="s">
        <v>59</v>
      </c>
      <c r="X32" s="14">
        <f t="shared" ref="X32:Y32" si="104">CH32/CH34</f>
        <v>0.60194902548725637</v>
      </c>
      <c r="Y32" s="14">
        <f t="shared" si="104"/>
        <v>0.59052333804809054</v>
      </c>
      <c r="Z32" s="14">
        <f t="shared" ref="Z32" si="105">CJ32/CJ34</f>
        <v>0.62225372076541463</v>
      </c>
      <c r="AA32" s="14">
        <f t="shared" ref="AA32" si="106">CK32/CK34</f>
        <v>0.59853479853479852</v>
      </c>
      <c r="AB32" s="14">
        <f t="shared" ref="AB32" si="107">CL32/CL34</f>
        <v>0.60062893081761004</v>
      </c>
      <c r="AC32" s="14"/>
      <c r="AD32" s="14"/>
      <c r="AE32" s="14">
        <f t="shared" ref="AE32" si="108">CO32/CO34</f>
        <v>0.50122649223221583</v>
      </c>
      <c r="AF32" s="14">
        <f t="shared" ref="AF32" si="109">CP32/CP34</f>
        <v>0.5058626465661642</v>
      </c>
      <c r="AG32" s="14">
        <f t="shared" ref="AG32" si="110">CQ32/CQ34</f>
        <v>0.52804642166344296</v>
      </c>
      <c r="AH32" s="14">
        <f t="shared" ref="AH32" si="111">CR32/CR34</f>
        <v>0.49134615384615382</v>
      </c>
      <c r="AI32" s="14">
        <f t="shared" ref="AI32" si="112">CS32/CS34</f>
        <v>0.43383947939262474</v>
      </c>
      <c r="AJ32" s="14">
        <f t="shared" ref="AJ32" si="113">CT32/CT34</f>
        <v>0.4236111111111111</v>
      </c>
      <c r="AK32" s="14">
        <f t="shared" ref="AK32" si="114">CU32/CU34</f>
        <v>0.39115250291036091</v>
      </c>
      <c r="AL32" s="14">
        <f t="shared" ref="AL32" si="115">CV32/CV34</f>
        <v>0.35774309723889558</v>
      </c>
      <c r="AM32" s="14">
        <f t="shared" ref="AM32" si="116">CW32/CW34</f>
        <v>0.31142241379310343</v>
      </c>
      <c r="AN32" s="14">
        <f t="shared" ref="AN32" si="117">CX32/CX34</f>
        <v>0.26708074534161491</v>
      </c>
      <c r="AO32" s="14">
        <f t="shared" ref="AO32" si="118">CY32/CY34</f>
        <v>0.26743350107836089</v>
      </c>
      <c r="AP32" s="14">
        <f t="shared" ref="AP32" si="119">CZ32/CZ34</f>
        <v>0.28759124087591242</v>
      </c>
      <c r="AQ32" s="14">
        <f t="shared" ref="AQ32" si="120">DA32/DA34</f>
        <v>0.31750972762645913</v>
      </c>
      <c r="AR32" s="14">
        <f t="shared" ref="AR32" si="121">DB32/DB34</f>
        <v>0.34910783553141972</v>
      </c>
      <c r="AS32" s="14">
        <f t="shared" ref="AS32" si="122">DC32/DC34</f>
        <v>0.34028294862248698</v>
      </c>
      <c r="AT32" s="14">
        <f t="shared" ref="AT32" si="123">DD32/DD34</f>
        <v>0.35431400282885434</v>
      </c>
      <c r="AU32" s="14">
        <f t="shared" ref="AU32:AW32" si="124">DE32/DE34</f>
        <v>0.35164835164835168</v>
      </c>
      <c r="AV32" s="14">
        <f t="shared" si="124"/>
        <v>0.31405472636815923</v>
      </c>
      <c r="AW32" s="14">
        <f t="shared" si="124"/>
        <v>0.32784958871915393</v>
      </c>
      <c r="AX32" s="14">
        <f t="shared" ref="AX32:BK32" si="125">DH32/DH34</f>
        <v>0.3145945945945946</v>
      </c>
      <c r="AY32" s="14">
        <f t="shared" si="125"/>
        <v>0.27882483370288247</v>
      </c>
      <c r="AZ32" s="14">
        <f t="shared" si="125"/>
        <v>0.24647177419354838</v>
      </c>
      <c r="BA32" s="14">
        <f t="shared" si="125"/>
        <v>0.22500000000000001</v>
      </c>
      <c r="BB32" s="14">
        <f t="shared" si="125"/>
        <v>0.23742061553492916</v>
      </c>
      <c r="BC32" s="14">
        <f t="shared" si="125"/>
        <v>0.25609123898392949</v>
      </c>
      <c r="BD32" s="14">
        <f t="shared" si="125"/>
        <v>0.26731160896130346</v>
      </c>
      <c r="BE32" s="14">
        <f t="shared" si="125"/>
        <v>0.27701934015927188</v>
      </c>
      <c r="BF32" s="14">
        <f t="shared" si="125"/>
        <v>0.29253365973072215</v>
      </c>
      <c r="BG32" s="14">
        <f t="shared" si="125"/>
        <v>0.32841565105837073</v>
      </c>
      <c r="BH32" s="14">
        <f t="shared" si="125"/>
        <v>0.3093851132686084</v>
      </c>
      <c r="BI32" s="14">
        <f t="shared" si="125"/>
        <v>0.28761061946902655</v>
      </c>
      <c r="BJ32" s="14">
        <f t="shared" si="125"/>
        <v>0.26609963547995141</v>
      </c>
      <c r="BK32" s="14">
        <f t="shared" si="125"/>
        <v>0.27465667915106118</v>
      </c>
      <c r="BL32" s="38"/>
      <c r="BN32" s="2" t="s">
        <v>59</v>
      </c>
      <c r="CH32" s="2">
        <f>101+108+26+50+6+20+3+356+2+1+130</f>
        <v>803</v>
      </c>
      <c r="CI32" s="2">
        <v>835</v>
      </c>
      <c r="CJ32" s="2">
        <v>878</v>
      </c>
      <c r="CK32" s="2">
        <v>817</v>
      </c>
      <c r="CL32" s="2">
        <v>764</v>
      </c>
      <c r="CO32" s="2">
        <v>613</v>
      </c>
      <c r="CP32" s="2">
        <v>604</v>
      </c>
      <c r="CQ32" s="2">
        <v>546</v>
      </c>
      <c r="CR32" s="2">
        <v>511</v>
      </c>
      <c r="CS32" s="2">
        <v>400</v>
      </c>
      <c r="CT32" s="2">
        <v>366</v>
      </c>
      <c r="CU32" s="2">
        <v>336</v>
      </c>
      <c r="CV32" s="2">
        <v>298</v>
      </c>
      <c r="CW32" s="2">
        <v>289</v>
      </c>
      <c r="CX32" s="2">
        <v>301</v>
      </c>
      <c r="CY32" s="2">
        <v>372</v>
      </c>
      <c r="CZ32" s="2">
        <v>394</v>
      </c>
      <c r="DA32" s="2">
        <v>408</v>
      </c>
      <c r="DB32" s="2">
        <v>450</v>
      </c>
      <c r="DC32" s="2">
        <v>457</v>
      </c>
      <c r="DD32" s="2">
        <v>501</v>
      </c>
      <c r="DE32" s="2">
        <v>512</v>
      </c>
      <c r="DF32" s="2">
        <v>505</v>
      </c>
      <c r="DG32" s="2">
        <v>558</v>
      </c>
      <c r="DH32" s="2">
        <v>582</v>
      </c>
      <c r="DI32" s="2">
        <v>503</v>
      </c>
      <c r="DJ32" s="2">
        <v>489</v>
      </c>
      <c r="DK32" s="2">
        <v>477</v>
      </c>
      <c r="DL32" s="2">
        <v>486</v>
      </c>
      <c r="DM32" s="2">
        <v>494</v>
      </c>
      <c r="DN32" s="2">
        <v>525</v>
      </c>
      <c r="DO32" s="2">
        <v>487</v>
      </c>
      <c r="DP32" s="2">
        <v>478</v>
      </c>
      <c r="DQ32" s="2">
        <v>512</v>
      </c>
      <c r="DR32" s="2">
        <v>478</v>
      </c>
      <c r="DS32" s="2">
        <v>455</v>
      </c>
      <c r="DT32" s="2">
        <v>438</v>
      </c>
      <c r="DU32" s="2">
        <v>440</v>
      </c>
    </row>
    <row r="33" spans="1:125" ht="13.5" customHeight="1" x14ac:dyDescent="0.2">
      <c r="A33" s="39"/>
      <c r="D33" s="2" t="s">
        <v>60</v>
      </c>
      <c r="X33" s="14">
        <f t="shared" ref="X33:Y33" si="126">CH33/CH34</f>
        <v>0.39805097451274363</v>
      </c>
      <c r="Y33" s="14">
        <f t="shared" si="126"/>
        <v>0.40947666195190946</v>
      </c>
      <c r="Z33" s="14">
        <f t="shared" ref="Z33" si="127">CJ33/CJ34</f>
        <v>0.37774627923458542</v>
      </c>
      <c r="AA33" s="14">
        <f t="shared" ref="AA33" si="128">CK33/CK34</f>
        <v>0.40146520146520148</v>
      </c>
      <c r="AB33" s="14">
        <f t="shared" ref="AB33" si="129">CL33/CL34</f>
        <v>0.39937106918238996</v>
      </c>
      <c r="AC33" s="14"/>
      <c r="AD33" s="14"/>
      <c r="AE33" s="14">
        <f t="shared" ref="AE33" si="130">CO33/CO34</f>
        <v>0.49877350776778412</v>
      </c>
      <c r="AF33" s="14">
        <f t="shared" ref="AF33" si="131">CP33/CP34</f>
        <v>0.49413735343383586</v>
      </c>
      <c r="AG33" s="14">
        <f t="shared" ref="AG33" si="132">CQ33/CQ34</f>
        <v>0.47195357833655704</v>
      </c>
      <c r="AH33" s="14">
        <f t="shared" ref="AH33" si="133">CR33/CR34</f>
        <v>0.50865384615384612</v>
      </c>
      <c r="AI33" s="14">
        <f t="shared" ref="AI33" si="134">CS33/CS34</f>
        <v>0.56616052060737532</v>
      </c>
      <c r="AJ33" s="14">
        <f t="shared" ref="AJ33" si="135">CT33/CT34</f>
        <v>0.57638888888888884</v>
      </c>
      <c r="AK33" s="14">
        <f t="shared" ref="AK33" si="136">CU33/CU34</f>
        <v>0.60884749708963914</v>
      </c>
      <c r="AL33" s="14">
        <f t="shared" ref="AL33" si="137">CV33/CV34</f>
        <v>0.64225690276110448</v>
      </c>
      <c r="AM33" s="14">
        <f t="shared" ref="AM33" si="138">CW33/CW34</f>
        <v>0.68857758620689657</v>
      </c>
      <c r="AN33" s="14">
        <f t="shared" ref="AN33" si="139">CX33/CX34</f>
        <v>0.73291925465838514</v>
      </c>
      <c r="AO33" s="14">
        <f t="shared" ref="AO33" si="140">CY33/CY34</f>
        <v>0.73256649892163905</v>
      </c>
      <c r="AP33" s="14">
        <f t="shared" ref="AP33" si="141">CZ33/CZ34</f>
        <v>0.71240875912408763</v>
      </c>
      <c r="AQ33" s="14">
        <f t="shared" ref="AQ33" si="142">DA33/DA34</f>
        <v>0.68249027237354087</v>
      </c>
      <c r="AR33" s="14">
        <f t="shared" ref="AR33" si="143">DB33/DB34</f>
        <v>0.65089216446858034</v>
      </c>
      <c r="AS33" s="14">
        <f t="shared" ref="AS33" si="144">DC33/DC34</f>
        <v>0.65971705137751302</v>
      </c>
      <c r="AT33" s="14">
        <f t="shared" ref="AT33" si="145">DD33/DD34</f>
        <v>0.64568599717114572</v>
      </c>
      <c r="AU33" s="14">
        <f t="shared" ref="AU33:AW33" si="146">DE33/DE34</f>
        <v>0.64835164835164838</v>
      </c>
      <c r="AV33" s="14">
        <f t="shared" si="146"/>
        <v>0.68594527363184077</v>
      </c>
      <c r="AW33" s="14">
        <f t="shared" si="146"/>
        <v>0.67215041128084607</v>
      </c>
      <c r="AX33" s="14">
        <f t="shared" ref="AX33:BK33" si="147">DH33/DH34</f>
        <v>0.6854054054054054</v>
      </c>
      <c r="AY33" s="14">
        <f t="shared" si="147"/>
        <v>0.72117516629711753</v>
      </c>
      <c r="AZ33" s="14">
        <f t="shared" si="147"/>
        <v>0.75352822580645162</v>
      </c>
      <c r="BA33" s="14">
        <f t="shared" si="147"/>
        <v>0.77500000000000002</v>
      </c>
      <c r="BB33" s="14">
        <f t="shared" si="147"/>
        <v>0.76257938446507079</v>
      </c>
      <c r="BC33" s="14">
        <f t="shared" si="147"/>
        <v>0.74390876101607051</v>
      </c>
      <c r="BD33" s="14">
        <f t="shared" si="147"/>
        <v>0.73268839103869654</v>
      </c>
      <c r="BE33" s="14">
        <f t="shared" si="147"/>
        <v>0.72298065984072812</v>
      </c>
      <c r="BF33" s="14">
        <f t="shared" si="147"/>
        <v>0.70746634026927779</v>
      </c>
      <c r="BG33" s="14">
        <f t="shared" si="147"/>
        <v>0.67158434894162922</v>
      </c>
      <c r="BH33" s="14">
        <f t="shared" si="147"/>
        <v>0.6906148867313916</v>
      </c>
      <c r="BI33" s="14">
        <f t="shared" si="147"/>
        <v>0.71238938053097345</v>
      </c>
      <c r="BJ33" s="14">
        <f t="shared" si="147"/>
        <v>0.73390036452004859</v>
      </c>
      <c r="BK33" s="14">
        <f t="shared" si="147"/>
        <v>0.72534332084893882</v>
      </c>
      <c r="BL33" s="38"/>
      <c r="BN33" s="2" t="s">
        <v>60</v>
      </c>
      <c r="CH33" s="2">
        <f>168+78+62+89+2+7+2+112+11</f>
        <v>531</v>
      </c>
      <c r="CI33" s="2">
        <v>579</v>
      </c>
      <c r="CJ33" s="2">
        <v>533</v>
      </c>
      <c r="CK33" s="2">
        <v>548</v>
      </c>
      <c r="CL33" s="2">
        <v>508</v>
      </c>
      <c r="CO33" s="2">
        <v>610</v>
      </c>
      <c r="CP33" s="2">
        <v>590</v>
      </c>
      <c r="CQ33" s="2">
        <v>488</v>
      </c>
      <c r="CR33" s="2">
        <v>529</v>
      </c>
      <c r="CS33" s="2">
        <v>522</v>
      </c>
      <c r="CT33" s="2">
        <v>498</v>
      </c>
      <c r="CU33" s="2">
        <v>523</v>
      </c>
      <c r="CV33" s="2">
        <v>535</v>
      </c>
      <c r="CW33" s="2">
        <v>639</v>
      </c>
      <c r="CX33" s="2">
        <v>826</v>
      </c>
      <c r="CY33" s="2">
        <v>1019</v>
      </c>
      <c r="CZ33" s="2">
        <v>976</v>
      </c>
      <c r="DA33" s="2">
        <v>877</v>
      </c>
      <c r="DB33" s="2">
        <v>839</v>
      </c>
      <c r="DC33" s="2">
        <v>886</v>
      </c>
      <c r="DD33" s="2">
        <v>913</v>
      </c>
      <c r="DE33" s="2">
        <v>944</v>
      </c>
      <c r="DF33" s="2">
        <v>1103</v>
      </c>
      <c r="DG33" s="2">
        <v>1144</v>
      </c>
      <c r="DH33" s="2">
        <v>1268</v>
      </c>
      <c r="DI33" s="2">
        <v>1301</v>
      </c>
      <c r="DJ33" s="2">
        <v>1495</v>
      </c>
      <c r="DK33" s="2">
        <v>1643</v>
      </c>
      <c r="DL33" s="2">
        <v>1561</v>
      </c>
      <c r="DM33" s="2">
        <v>1435</v>
      </c>
      <c r="DN33" s="2">
        <v>1439</v>
      </c>
      <c r="DO33" s="2">
        <v>1271</v>
      </c>
      <c r="DP33" s="2">
        <v>1156</v>
      </c>
      <c r="DQ33" s="2">
        <v>1047</v>
      </c>
      <c r="DR33" s="2">
        <v>1067</v>
      </c>
      <c r="DS33" s="2">
        <v>1127</v>
      </c>
      <c r="DT33" s="2">
        <v>1208</v>
      </c>
      <c r="DU33" s="2">
        <v>1162</v>
      </c>
    </row>
    <row r="34" spans="1:125" ht="13.5" customHeight="1" x14ac:dyDescent="0.2">
      <c r="A34" s="39"/>
      <c r="BL34" s="38"/>
      <c r="BN34" s="20" t="s">
        <v>56</v>
      </c>
      <c r="CH34" s="2">
        <f t="shared" ref="CH34:CL34" si="148">SUM(CH32:CH33)</f>
        <v>1334</v>
      </c>
      <c r="CI34" s="2">
        <f t="shared" si="148"/>
        <v>1414</v>
      </c>
      <c r="CJ34" s="2">
        <f t="shared" si="148"/>
        <v>1411</v>
      </c>
      <c r="CK34" s="2">
        <f t="shared" si="148"/>
        <v>1365</v>
      </c>
      <c r="CL34" s="2">
        <f t="shared" si="148"/>
        <v>1272</v>
      </c>
      <c r="CO34" s="2">
        <f t="shared" ref="CO34:DD34" si="149">SUM(CO32:CO33)</f>
        <v>1223</v>
      </c>
      <c r="CP34" s="2">
        <f t="shared" si="149"/>
        <v>1194</v>
      </c>
      <c r="CQ34" s="2">
        <f t="shared" si="149"/>
        <v>1034</v>
      </c>
      <c r="CR34" s="2">
        <f t="shared" si="149"/>
        <v>1040</v>
      </c>
      <c r="CS34" s="2">
        <f t="shared" si="149"/>
        <v>922</v>
      </c>
      <c r="CT34" s="2">
        <f t="shared" si="149"/>
        <v>864</v>
      </c>
      <c r="CU34" s="2">
        <f t="shared" si="149"/>
        <v>859</v>
      </c>
      <c r="CV34" s="2">
        <f t="shared" si="149"/>
        <v>833</v>
      </c>
      <c r="CW34" s="2">
        <f t="shared" si="149"/>
        <v>928</v>
      </c>
      <c r="CX34" s="2">
        <f t="shared" si="149"/>
        <v>1127</v>
      </c>
      <c r="CY34" s="2">
        <f t="shared" si="149"/>
        <v>1391</v>
      </c>
      <c r="CZ34" s="2">
        <f t="shared" si="149"/>
        <v>1370</v>
      </c>
      <c r="DA34" s="2">
        <f t="shared" si="149"/>
        <v>1285</v>
      </c>
      <c r="DB34" s="2">
        <f t="shared" si="149"/>
        <v>1289</v>
      </c>
      <c r="DC34" s="2">
        <f t="shared" si="149"/>
        <v>1343</v>
      </c>
      <c r="DD34" s="2">
        <f t="shared" si="149"/>
        <v>1414</v>
      </c>
      <c r="DE34" s="2">
        <f t="shared" ref="DE34:DF34" si="150">SUM(DE32:DE33)</f>
        <v>1456</v>
      </c>
      <c r="DF34" s="2">
        <f t="shared" si="150"/>
        <v>1608</v>
      </c>
      <c r="DG34" s="2">
        <f t="shared" ref="DG34:DL34" si="151">SUM(DG32:DG33)</f>
        <v>1702</v>
      </c>
      <c r="DH34" s="2">
        <f t="shared" si="151"/>
        <v>1850</v>
      </c>
      <c r="DI34" s="2">
        <f t="shared" si="151"/>
        <v>1804</v>
      </c>
      <c r="DJ34" s="2">
        <f t="shared" si="151"/>
        <v>1984</v>
      </c>
      <c r="DK34" s="2">
        <f t="shared" si="151"/>
        <v>2120</v>
      </c>
      <c r="DL34" s="2">
        <f t="shared" si="151"/>
        <v>2047</v>
      </c>
      <c r="DM34" s="2">
        <f t="shared" ref="DM34:DN34" si="152">SUM(DM32:DM33)</f>
        <v>1929</v>
      </c>
      <c r="DN34" s="2">
        <f t="shared" si="152"/>
        <v>1964</v>
      </c>
      <c r="DO34" s="2">
        <f t="shared" ref="DO34:DP34" si="153">SUM(DO32:DO33)</f>
        <v>1758</v>
      </c>
      <c r="DP34" s="2">
        <f t="shared" si="153"/>
        <v>1634</v>
      </c>
      <c r="DQ34" s="2">
        <f t="shared" ref="DQ34:DR34" si="154">SUM(DQ32:DQ33)</f>
        <v>1559</v>
      </c>
      <c r="DR34" s="2">
        <f t="shared" si="154"/>
        <v>1545</v>
      </c>
      <c r="DS34" s="2">
        <f t="shared" ref="DS34:DT34" si="155">SUM(DS32:DS33)</f>
        <v>1582</v>
      </c>
      <c r="DT34" s="2">
        <f t="shared" si="155"/>
        <v>1646</v>
      </c>
      <c r="DU34" s="2">
        <f t="shared" ref="DU34" si="156">SUM(DU32:DU33)</f>
        <v>1602</v>
      </c>
    </row>
    <row r="35" spans="1:125" ht="13.5" customHeight="1" x14ac:dyDescent="0.2">
      <c r="A35" s="8"/>
      <c r="B35" s="30" t="s">
        <v>67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9"/>
    </row>
    <row r="36" spans="1:125" ht="13.5" customHeight="1" x14ac:dyDescent="0.2">
      <c r="A36" s="8"/>
      <c r="C36" s="3" t="s">
        <v>62</v>
      </c>
      <c r="BL36" s="9"/>
      <c r="BN36" s="2" t="s">
        <v>61</v>
      </c>
    </row>
    <row r="37" spans="1:125" ht="13.5" customHeight="1" x14ac:dyDescent="0.2">
      <c r="A37" s="8"/>
      <c r="D37" s="2" t="s">
        <v>75</v>
      </c>
      <c r="E37" s="14">
        <f t="shared" ref="E37:E38" si="157">BO37/BO$39</f>
        <v>0.98793060095549412</v>
      </c>
      <c r="F37" s="14">
        <f t="shared" ref="F37:F38" si="158">BP37/BP$39</f>
        <v>0.98719165085388993</v>
      </c>
      <c r="G37" s="14">
        <f t="shared" ref="G37:G38" si="159">BQ37/BQ$39</f>
        <v>0.97944134078212286</v>
      </c>
      <c r="H37" s="14">
        <f t="shared" ref="H37:H38" si="160">BR37/BR$39</f>
        <v>0.97963652288154146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>
        <f t="shared" ref="W37:Y38" si="161">CG37/CG$39</f>
        <v>0.90288896623738257</v>
      </c>
      <c r="X37" s="14">
        <f t="shared" si="161"/>
        <v>0.89158512720156557</v>
      </c>
      <c r="Y37" s="14">
        <f t="shared" si="161"/>
        <v>0.84747145187601958</v>
      </c>
      <c r="Z37" s="14">
        <f t="shared" ref="Z37:Z38" si="162">CJ37/CJ$39</f>
        <v>0.85860155382907877</v>
      </c>
      <c r="AA37" s="14">
        <f t="shared" ref="AA37:AA38" si="163">CK37/CK$39</f>
        <v>0.85547143840330353</v>
      </c>
      <c r="AB37" s="14">
        <f t="shared" ref="AB37:AB38" si="164">CL37/CL$39</f>
        <v>0.85106877323420072</v>
      </c>
      <c r="AC37" s="14">
        <f t="shared" ref="AC37:AC38" si="165">CM37/CM$39</f>
        <v>0.85003553660270081</v>
      </c>
      <c r="AD37" s="14">
        <f t="shared" ref="AD37:AD38" si="166">CN37/CN$39</f>
        <v>0.85260979535525405</v>
      </c>
      <c r="AE37" s="14">
        <f t="shared" ref="AE37:AE38" si="167">CO37/CO$39</f>
        <v>0.86626071267478577</v>
      </c>
      <c r="AF37" s="14">
        <f t="shared" ref="AF37:AF38" si="168">CP37/CP$39</f>
        <v>0.87497214174281257</v>
      </c>
      <c r="AG37" s="14">
        <f t="shared" ref="AG37:AG38" si="169">CQ37/CQ$39</f>
        <v>0.86300135196034244</v>
      </c>
      <c r="AH37" s="14">
        <f t="shared" ref="AH37:AH38" si="170">CR37/CR$39</f>
        <v>0.88166894664842677</v>
      </c>
      <c r="AI37" s="14">
        <f t="shared" ref="AI37:AI38" si="171">CS37/CS$39</f>
        <v>0.88162137263933671</v>
      </c>
      <c r="AJ37" s="14">
        <f t="shared" ref="AJ37:AJ38" si="172">CT37/CT$39</f>
        <v>0.87013618677042803</v>
      </c>
      <c r="AK37" s="14">
        <f t="shared" ref="AK37:AK38" si="173">CU37/CU$39</f>
        <v>0.88026607538802659</v>
      </c>
      <c r="AL37" s="14">
        <f t="shared" ref="AL37:AL38" si="174">CV37/CV$39</f>
        <v>0.88047398248325603</v>
      </c>
      <c r="AM37" s="14">
        <f t="shared" ref="AM37:AM38" si="175">CW37/CW$39</f>
        <v>0.89183342347214711</v>
      </c>
      <c r="AN37" s="14">
        <f t="shared" ref="AN37:AN38" si="176">CX37/CX$39</f>
        <v>0.89084132055378062</v>
      </c>
      <c r="AO37" s="14">
        <f t="shared" ref="AO37:AO38" si="177">CY37/CY$39</f>
        <v>0.9023122889062094</v>
      </c>
      <c r="AP37" s="14">
        <f t="shared" ref="AP37:AP38" si="178">CZ37/CZ$39</f>
        <v>0.89924186842748843</v>
      </c>
      <c r="AQ37" s="14">
        <f t="shared" ref="AQ37:AQ38" si="179">DA37/DA$39</f>
        <v>0.90725904345714981</v>
      </c>
      <c r="AR37" s="14">
        <f t="shared" ref="AR37:AR38" si="180">DB37/DB$39</f>
        <v>0.90280677337044768</v>
      </c>
      <c r="AS37" s="14">
        <f t="shared" ref="AS37:AS38" si="181">DC37/DC$39</f>
        <v>0.90764119601328908</v>
      </c>
      <c r="AT37" s="14">
        <f t="shared" ref="AT37:AT38" si="182">DD37/DD$39</f>
        <v>0.92066498316498313</v>
      </c>
      <c r="AU37" s="14">
        <f t="shared" ref="AU37:AY38" si="183">DE37/DE$39</f>
        <v>0.92608430054978619</v>
      </c>
      <c r="AV37" s="14">
        <f t="shared" si="183"/>
        <v>0.92451018056089129</v>
      </c>
      <c r="AW37" s="14">
        <f>DG37/DG$39</f>
        <v>0.90768671633654374</v>
      </c>
      <c r="AX37" s="14">
        <f t="shared" si="183"/>
        <v>0.90689472756127665</v>
      </c>
      <c r="AY37" s="14">
        <f t="shared" si="183"/>
        <v>0.90053073103920567</v>
      </c>
      <c r="AZ37" s="14">
        <f t="shared" ref="AZ37:BK38" si="184">DJ37/DJ$39</f>
        <v>0.89048006509357203</v>
      </c>
      <c r="BA37" s="14">
        <f t="shared" si="184"/>
        <v>0.89340490797546013</v>
      </c>
      <c r="BB37" s="14">
        <f t="shared" si="184"/>
        <v>0.90188624067846179</v>
      </c>
      <c r="BC37" s="14">
        <f t="shared" si="184"/>
        <v>0.89994207935128878</v>
      </c>
      <c r="BD37" s="14">
        <f t="shared" si="184"/>
        <v>0.88567712097123863</v>
      </c>
      <c r="BE37" s="14">
        <f t="shared" si="184"/>
        <v>0.88630717521554869</v>
      </c>
      <c r="BF37" s="14">
        <f t="shared" si="184"/>
        <v>0.88193368453672139</v>
      </c>
      <c r="BG37" s="14">
        <f t="shared" si="184"/>
        <v>0.88969258589511757</v>
      </c>
      <c r="BH37" s="14">
        <f t="shared" si="184"/>
        <v>0.8881671348314607</v>
      </c>
      <c r="BI37" s="14">
        <f t="shared" si="184"/>
        <v>0.88850491087668249</v>
      </c>
      <c r="BJ37" s="14">
        <f t="shared" si="184"/>
        <v>0.89909255898366602</v>
      </c>
      <c r="BK37" s="14">
        <f t="shared" si="184"/>
        <v>0.91786743515850144</v>
      </c>
      <c r="BL37" s="9"/>
      <c r="BN37" s="2" t="s">
        <v>75</v>
      </c>
      <c r="BO37" s="2">
        <v>3929</v>
      </c>
      <c r="BP37" s="2">
        <v>4162</v>
      </c>
      <c r="BQ37" s="2">
        <v>4383</v>
      </c>
      <c r="BR37" s="2">
        <v>4474</v>
      </c>
      <c r="CG37" s="2">
        <v>5188</v>
      </c>
      <c r="CH37" s="2">
        <f>3623+933</f>
        <v>4556</v>
      </c>
      <c r="CI37" s="2">
        <f>3246+846+26+38</f>
        <v>4156</v>
      </c>
      <c r="CJ37" s="2">
        <f>3075+781+6+6</f>
        <v>3868</v>
      </c>
      <c r="CK37" s="2">
        <f>2931+782+10+6</f>
        <v>3729</v>
      </c>
      <c r="CL37" s="2">
        <v>3663</v>
      </c>
      <c r="CM37" s="2">
        <f>2818+770</f>
        <v>3588</v>
      </c>
      <c r="CN37" s="2">
        <v>3708</v>
      </c>
      <c r="CO37" s="2">
        <v>3841</v>
      </c>
      <c r="CP37" s="2">
        <v>3926</v>
      </c>
      <c r="CQ37" s="2">
        <v>3830</v>
      </c>
      <c r="CR37" s="2">
        <v>3867</v>
      </c>
      <c r="CS37" s="2">
        <f>2910+918</f>
        <v>3828</v>
      </c>
      <c r="CT37" s="2">
        <f>2702+876</f>
        <v>3578</v>
      </c>
      <c r="CU37" s="2">
        <f>2706+867</f>
        <v>3573</v>
      </c>
      <c r="CV37" s="2">
        <v>3418</v>
      </c>
      <c r="CW37" s="2">
        <v>3298</v>
      </c>
      <c r="CX37" s="2">
        <v>3346</v>
      </c>
      <c r="CY37" s="2">
        <f>788+2679+6</f>
        <v>3473</v>
      </c>
      <c r="CZ37" s="2">
        <v>3677</v>
      </c>
      <c r="DA37" s="2">
        <f>651+188+2342+548+4+4</f>
        <v>3737</v>
      </c>
      <c r="DB37" s="2">
        <v>3892</v>
      </c>
      <c r="DC37" s="2">
        <v>4098</v>
      </c>
      <c r="DD37" s="2">
        <v>4375</v>
      </c>
      <c r="DE37" s="2">
        <v>4548</v>
      </c>
      <c r="DF37" s="2">
        <v>4813</v>
      </c>
      <c r="DG37" s="2">
        <v>4995</v>
      </c>
      <c r="DH37" s="2">
        <v>5143</v>
      </c>
      <c r="DI37" s="2">
        <v>5260</v>
      </c>
      <c r="DJ37" s="2">
        <v>5472</v>
      </c>
      <c r="DK37" s="2">
        <v>5825</v>
      </c>
      <c r="DL37" s="2">
        <v>6168</v>
      </c>
      <c r="DM37" s="2">
        <v>6215</v>
      </c>
      <c r="DN37" s="2">
        <v>6128</v>
      </c>
      <c r="DO37" s="2">
        <v>6065</v>
      </c>
      <c r="DP37" s="2">
        <v>5692</v>
      </c>
      <c r="DQ37" s="2">
        <v>5412</v>
      </c>
      <c r="DR37" s="2">
        <v>5059</v>
      </c>
      <c r="DS37" s="2">
        <v>4885</v>
      </c>
      <c r="DT37" s="2">
        <v>4954</v>
      </c>
      <c r="DU37" s="2">
        <v>5096</v>
      </c>
    </row>
    <row r="38" spans="1:125" ht="13.5" customHeight="1" x14ac:dyDescent="0.2">
      <c r="A38" s="8"/>
      <c r="D38" s="2" t="s">
        <v>76</v>
      </c>
      <c r="E38" s="14">
        <f t="shared" si="157"/>
        <v>1.2069399044505909E-2</v>
      </c>
      <c r="F38" s="14">
        <f t="shared" si="158"/>
        <v>1.2808349146110056E-2</v>
      </c>
      <c r="G38" s="14">
        <f t="shared" si="159"/>
        <v>2.0558659217877095E-2</v>
      </c>
      <c r="H38" s="14">
        <f t="shared" si="160"/>
        <v>2.0363477118458508E-2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>
        <f t="shared" si="161"/>
        <v>9.7111033762617469E-2</v>
      </c>
      <c r="X38" s="14">
        <f t="shared" si="161"/>
        <v>0.10841487279843444</v>
      </c>
      <c r="Y38" s="14">
        <f t="shared" si="161"/>
        <v>0.15252854812398042</v>
      </c>
      <c r="Z38" s="14">
        <f t="shared" si="162"/>
        <v>0.1413984461709212</v>
      </c>
      <c r="AA38" s="14">
        <f t="shared" si="163"/>
        <v>0.1445285615966965</v>
      </c>
      <c r="AB38" s="14">
        <f t="shared" si="164"/>
        <v>0.14893122676579926</v>
      </c>
      <c r="AC38" s="14">
        <f t="shared" si="165"/>
        <v>0.14996446339729921</v>
      </c>
      <c r="AD38" s="14">
        <f t="shared" si="166"/>
        <v>0.14739020464474592</v>
      </c>
      <c r="AE38" s="14">
        <f t="shared" si="167"/>
        <v>0.13373928732521426</v>
      </c>
      <c r="AF38" s="14">
        <f t="shared" si="168"/>
        <v>0.12502785825718743</v>
      </c>
      <c r="AG38" s="14">
        <f t="shared" si="169"/>
        <v>0.1369986480396575</v>
      </c>
      <c r="AH38" s="14">
        <f t="shared" si="170"/>
        <v>0.11833105335157319</v>
      </c>
      <c r="AI38" s="14">
        <f t="shared" si="171"/>
        <v>0.11837862736066329</v>
      </c>
      <c r="AJ38" s="14">
        <f t="shared" si="172"/>
        <v>0.12986381322957199</v>
      </c>
      <c r="AK38" s="14">
        <f t="shared" si="173"/>
        <v>0.11973392461197339</v>
      </c>
      <c r="AL38" s="14">
        <f t="shared" si="174"/>
        <v>0.11952601751674395</v>
      </c>
      <c r="AM38" s="14">
        <f t="shared" si="175"/>
        <v>0.10816657652785289</v>
      </c>
      <c r="AN38" s="14">
        <f t="shared" si="176"/>
        <v>0.10915867944621938</v>
      </c>
      <c r="AO38" s="14">
        <f t="shared" si="177"/>
        <v>9.7687711093790597E-2</v>
      </c>
      <c r="AP38" s="14">
        <f t="shared" si="178"/>
        <v>0.10075813157251162</v>
      </c>
      <c r="AQ38" s="14">
        <f t="shared" si="179"/>
        <v>9.2740956542850209E-2</v>
      </c>
      <c r="AR38" s="14">
        <f t="shared" si="180"/>
        <v>9.7193226629552307E-2</v>
      </c>
      <c r="AS38" s="14">
        <f t="shared" si="181"/>
        <v>9.2358803986710966E-2</v>
      </c>
      <c r="AT38" s="14">
        <f t="shared" si="182"/>
        <v>7.9335016835016842E-2</v>
      </c>
      <c r="AU38" s="14">
        <f t="shared" si="183"/>
        <v>7.3915699450213812E-2</v>
      </c>
      <c r="AV38" s="14">
        <f t="shared" si="183"/>
        <v>7.5489819439108721E-2</v>
      </c>
      <c r="AW38" s="14">
        <f t="shared" si="183"/>
        <v>9.23132836634563E-2</v>
      </c>
      <c r="AX38" s="14">
        <f t="shared" si="183"/>
        <v>9.3105272438723324E-2</v>
      </c>
      <c r="AY38" s="14">
        <f t="shared" si="183"/>
        <v>9.9469268960794388E-2</v>
      </c>
      <c r="AZ38" s="14">
        <f t="shared" si="184"/>
        <v>0.10951993490642799</v>
      </c>
      <c r="BA38" s="14">
        <f t="shared" si="184"/>
        <v>0.10659509202453987</v>
      </c>
      <c r="BB38" s="14">
        <f t="shared" si="184"/>
        <v>9.8113759321538235E-2</v>
      </c>
      <c r="BC38" s="14">
        <f t="shared" si="184"/>
        <v>0.10005792064871126</v>
      </c>
      <c r="BD38" s="14">
        <f t="shared" si="184"/>
        <v>0.11432287902876138</v>
      </c>
      <c r="BE38" s="14">
        <f t="shared" si="184"/>
        <v>0.11369282478445127</v>
      </c>
      <c r="BF38" s="14">
        <f t="shared" si="184"/>
        <v>0.11806631546327859</v>
      </c>
      <c r="BG38" s="14">
        <f t="shared" si="184"/>
        <v>0.11030741410488246</v>
      </c>
      <c r="BH38" s="14">
        <f t="shared" si="184"/>
        <v>0.11183286516853932</v>
      </c>
      <c r="BI38" s="14">
        <f t="shared" si="184"/>
        <v>0.11149508912331757</v>
      </c>
      <c r="BJ38" s="14">
        <f t="shared" si="184"/>
        <v>0.10090744101633393</v>
      </c>
      <c r="BK38" s="14">
        <f t="shared" si="184"/>
        <v>8.2132564841498557E-2</v>
      </c>
      <c r="BL38" s="9"/>
      <c r="BN38" s="2" t="s">
        <v>76</v>
      </c>
      <c r="BO38" s="2">
        <v>48</v>
      </c>
      <c r="BP38" s="2">
        <v>54</v>
      </c>
      <c r="BQ38" s="2">
        <v>92</v>
      </c>
      <c r="BR38" s="2">
        <v>93</v>
      </c>
      <c r="CG38" s="2">
        <v>558</v>
      </c>
      <c r="CH38" s="2">
        <f>392+162</f>
        <v>554</v>
      </c>
      <c r="CI38" s="2">
        <f>395+145+74+134</f>
        <v>748</v>
      </c>
      <c r="CJ38" s="2">
        <f>330+189+35+83</f>
        <v>637</v>
      </c>
      <c r="CK38" s="2">
        <f>304+150+65+111</f>
        <v>630</v>
      </c>
      <c r="CL38" s="2">
        <v>641</v>
      </c>
      <c r="CM38" s="2">
        <f>403+230</f>
        <v>633</v>
      </c>
      <c r="CN38" s="2">
        <v>641</v>
      </c>
      <c r="CO38" s="2">
        <v>593</v>
      </c>
      <c r="CP38" s="2">
        <v>561</v>
      </c>
      <c r="CQ38" s="2">
        <v>608</v>
      </c>
      <c r="CR38" s="2">
        <v>519</v>
      </c>
      <c r="CS38" s="2">
        <f>346+168</f>
        <v>514</v>
      </c>
      <c r="CT38" s="2">
        <f>371+163</f>
        <v>534</v>
      </c>
      <c r="CU38" s="2">
        <f>339+147</f>
        <v>486</v>
      </c>
      <c r="CV38" s="2">
        <v>464</v>
      </c>
      <c r="CW38" s="2">
        <v>400</v>
      </c>
      <c r="CX38" s="2">
        <v>410</v>
      </c>
      <c r="CY38" s="2">
        <f>7+304+65</f>
        <v>376</v>
      </c>
      <c r="CZ38" s="2">
        <v>412</v>
      </c>
      <c r="DA38" s="2">
        <f>2+1+252+34+81+12</f>
        <v>382</v>
      </c>
      <c r="DB38" s="2">
        <v>419</v>
      </c>
      <c r="DC38" s="2">
        <v>417</v>
      </c>
      <c r="DD38" s="2">
        <v>377</v>
      </c>
      <c r="DE38" s="2">
        <v>363</v>
      </c>
      <c r="DF38" s="2">
        <v>393</v>
      </c>
      <c r="DG38" s="2">
        <v>508</v>
      </c>
      <c r="DH38" s="2">
        <v>528</v>
      </c>
      <c r="DI38" s="2">
        <v>581</v>
      </c>
      <c r="DJ38" s="2">
        <v>673</v>
      </c>
      <c r="DK38" s="2">
        <v>695</v>
      </c>
      <c r="DL38" s="2">
        <v>671</v>
      </c>
      <c r="DM38" s="2">
        <v>691</v>
      </c>
      <c r="DN38" s="2">
        <v>791</v>
      </c>
      <c r="DO38" s="2">
        <v>778</v>
      </c>
      <c r="DP38" s="2">
        <v>762</v>
      </c>
      <c r="DQ38" s="2">
        <v>671</v>
      </c>
      <c r="DR38" s="2">
        <v>637</v>
      </c>
      <c r="DS38" s="2">
        <v>613</v>
      </c>
      <c r="DT38" s="2">
        <v>556</v>
      </c>
      <c r="DU38" s="2">
        <v>456</v>
      </c>
    </row>
    <row r="39" spans="1:125" ht="13.5" customHeight="1" x14ac:dyDescent="0.2">
      <c r="A39" s="8"/>
      <c r="C39" s="3" t="s">
        <v>63</v>
      </c>
      <c r="BL39" s="9"/>
      <c r="BN39" s="20" t="s">
        <v>111</v>
      </c>
      <c r="BO39" s="2">
        <f t="shared" ref="BO39:BR39" si="185">SUM(BO37:BO38)</f>
        <v>3977</v>
      </c>
      <c r="BP39" s="2">
        <f t="shared" si="185"/>
        <v>4216</v>
      </c>
      <c r="BQ39" s="2">
        <f t="shared" si="185"/>
        <v>4475</v>
      </c>
      <c r="BR39" s="2">
        <f t="shared" si="185"/>
        <v>4567</v>
      </c>
      <c r="CG39" s="2">
        <f t="shared" ref="CG39:CR39" si="186">SUM(CG37:CG38)</f>
        <v>5746</v>
      </c>
      <c r="CH39" s="2">
        <f t="shared" si="186"/>
        <v>5110</v>
      </c>
      <c r="CI39" s="2">
        <f t="shared" si="186"/>
        <v>4904</v>
      </c>
      <c r="CJ39" s="2">
        <f t="shared" si="186"/>
        <v>4505</v>
      </c>
      <c r="CK39" s="2">
        <f t="shared" si="186"/>
        <v>4359</v>
      </c>
      <c r="CL39" s="2">
        <f t="shared" si="186"/>
        <v>4304</v>
      </c>
      <c r="CM39" s="2">
        <f t="shared" si="186"/>
        <v>4221</v>
      </c>
      <c r="CN39" s="2">
        <f t="shared" si="186"/>
        <v>4349</v>
      </c>
      <c r="CO39" s="2">
        <f t="shared" si="186"/>
        <v>4434</v>
      </c>
      <c r="CP39" s="2">
        <f t="shared" si="186"/>
        <v>4487</v>
      </c>
      <c r="CQ39" s="2">
        <f t="shared" si="186"/>
        <v>4438</v>
      </c>
      <c r="CR39" s="2">
        <f t="shared" si="186"/>
        <v>4386</v>
      </c>
      <c r="CS39" s="2">
        <f t="shared" ref="CS39:DI39" si="187">SUM(CS37:CS38)</f>
        <v>4342</v>
      </c>
      <c r="CT39" s="2">
        <f t="shared" si="187"/>
        <v>4112</v>
      </c>
      <c r="CU39" s="2">
        <f t="shared" si="187"/>
        <v>4059</v>
      </c>
      <c r="CV39" s="2">
        <f t="shared" si="187"/>
        <v>3882</v>
      </c>
      <c r="CW39" s="2">
        <f t="shared" si="187"/>
        <v>3698</v>
      </c>
      <c r="CX39" s="2">
        <f t="shared" si="187"/>
        <v>3756</v>
      </c>
      <c r="CY39" s="2">
        <f t="shared" si="187"/>
        <v>3849</v>
      </c>
      <c r="CZ39" s="2">
        <f t="shared" si="187"/>
        <v>4089</v>
      </c>
      <c r="DA39" s="2">
        <f t="shared" si="187"/>
        <v>4119</v>
      </c>
      <c r="DB39" s="2">
        <f t="shared" si="187"/>
        <v>4311</v>
      </c>
      <c r="DC39" s="2">
        <f t="shared" si="187"/>
        <v>4515</v>
      </c>
      <c r="DD39" s="2">
        <f t="shared" si="187"/>
        <v>4752</v>
      </c>
      <c r="DE39" s="2">
        <f t="shared" si="187"/>
        <v>4911</v>
      </c>
      <c r="DF39" s="2">
        <f t="shared" si="187"/>
        <v>5206</v>
      </c>
      <c r="DG39" s="2">
        <f t="shared" si="187"/>
        <v>5503</v>
      </c>
      <c r="DH39" s="2">
        <f t="shared" si="187"/>
        <v>5671</v>
      </c>
      <c r="DI39" s="2">
        <f t="shared" si="187"/>
        <v>5841</v>
      </c>
      <c r="DJ39" s="2">
        <f t="shared" ref="DJ39:DO39" si="188">SUM(DJ37:DJ38)</f>
        <v>6145</v>
      </c>
      <c r="DK39" s="2">
        <f t="shared" si="188"/>
        <v>6520</v>
      </c>
      <c r="DL39" s="2">
        <f t="shared" si="188"/>
        <v>6839</v>
      </c>
      <c r="DM39" s="2">
        <f t="shared" si="188"/>
        <v>6906</v>
      </c>
      <c r="DN39" s="2">
        <f t="shared" si="188"/>
        <v>6919</v>
      </c>
      <c r="DO39" s="2">
        <f t="shared" si="188"/>
        <v>6843</v>
      </c>
      <c r="DP39" s="2">
        <f t="shared" ref="DP39" si="189">SUM(DP37:DP38)</f>
        <v>6454</v>
      </c>
      <c r="DQ39" s="2">
        <f t="shared" ref="DQ39:DR39" si="190">SUM(DQ37:DQ38)</f>
        <v>6083</v>
      </c>
      <c r="DR39" s="2">
        <f t="shared" si="190"/>
        <v>5696</v>
      </c>
      <c r="DS39" s="2">
        <f t="shared" ref="DS39:DT39" si="191">SUM(DS37:DS38)</f>
        <v>5498</v>
      </c>
      <c r="DT39" s="2">
        <f t="shared" si="191"/>
        <v>5510</v>
      </c>
      <c r="DU39" s="2">
        <f t="shared" ref="DU39" si="192">SUM(DU37:DU38)</f>
        <v>5552</v>
      </c>
    </row>
    <row r="40" spans="1:125" ht="13.5" customHeight="1" x14ac:dyDescent="0.2">
      <c r="A40" s="8"/>
      <c r="D40" s="2" t="s">
        <v>75</v>
      </c>
      <c r="E40" s="14">
        <f t="shared" ref="E40:E41" si="193">BO40/BO$42</f>
        <v>0.42413793103448277</v>
      </c>
      <c r="F40" s="14">
        <f t="shared" ref="F40:F41" si="194">BP40/BP$42</f>
        <v>0.39885496183206109</v>
      </c>
      <c r="G40" s="14">
        <f t="shared" ref="G40:G41" si="195">BQ40/BQ$42</f>
        <v>0.37221795855717577</v>
      </c>
      <c r="H40" s="14">
        <f t="shared" ref="H40:H41" si="196">BR40/BR$42</f>
        <v>0.3438527284681131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>
        <f t="shared" ref="W40:Y41" si="197">CG40/CG$42</f>
        <v>0.31285831285831284</v>
      </c>
      <c r="X40" s="14">
        <f t="shared" si="197"/>
        <v>0.27811094452773616</v>
      </c>
      <c r="Y40" s="14">
        <f t="shared" si="197"/>
        <v>0.28925035360678925</v>
      </c>
      <c r="Z40" s="14">
        <f t="shared" ref="Z40:Z41" si="198">CJ40/CJ$42</f>
        <v>0.28277817150956769</v>
      </c>
      <c r="AA40" s="14">
        <f t="shared" ref="AA40:AA41" si="199">CK40/CK$42</f>
        <v>0.26959706959706958</v>
      </c>
      <c r="AB40" s="14">
        <f t="shared" ref="AB40:AB41" si="200">CL40/CL$42</f>
        <v>0.26965408805031449</v>
      </c>
      <c r="AC40" s="14">
        <f t="shared" ref="AC40:AC41" si="201">CM40/CM$42</f>
        <v>0.27741407528641571</v>
      </c>
      <c r="AD40" s="14">
        <f t="shared" ref="AD40:AD41" si="202">CN40/CN$42</f>
        <v>0.34712084347120842</v>
      </c>
      <c r="AE40" s="14">
        <f t="shared" ref="AE40:AE41" si="203">CO40/CO$42</f>
        <v>0.35977105478331972</v>
      </c>
      <c r="AF40" s="14">
        <f t="shared" ref="AF40:AF41" si="204">CP40/CP$42</f>
        <v>0.46984924623115576</v>
      </c>
      <c r="AG40" s="14">
        <f t="shared" ref="AG40:AG41" si="205">CQ40/CQ$42</f>
        <v>0.47098646034816249</v>
      </c>
      <c r="AH40" s="14">
        <f t="shared" ref="AH40:AH41" si="206">CR40/CR$42</f>
        <v>0.49711538461538463</v>
      </c>
      <c r="AI40" s="14">
        <f t="shared" ref="AI40:AI41" si="207">CS40/CS$42</f>
        <v>0.56507592190889366</v>
      </c>
      <c r="AJ40" s="14">
        <f t="shared" ref="AJ40:AJ41" si="208">CT40/CT$42</f>
        <v>0.57754629629629628</v>
      </c>
      <c r="AK40" s="14">
        <f t="shared" ref="AK40:AK41" si="209">CU40/CU$42</f>
        <v>0.60535506402793948</v>
      </c>
      <c r="AL40" s="14">
        <f t="shared" ref="AL40:AL41" si="210">CV40/CV$42</f>
        <v>0.67106842737094841</v>
      </c>
      <c r="AM40" s="14">
        <f t="shared" ref="AM40:AM41" si="211">CW40/CW$42</f>
        <v>0.65086206896551724</v>
      </c>
      <c r="AN40" s="14">
        <f t="shared" ref="AN40:AN41" si="212">CX40/CX$42</f>
        <v>0.62910381543921912</v>
      </c>
      <c r="AO40" s="14">
        <f t="shared" ref="AO40:AO41" si="213">CY40/CY$42</f>
        <v>0.65923795830337883</v>
      </c>
      <c r="AP40" s="14">
        <f t="shared" ref="AP40:AP41" si="214">CZ40/CZ$42</f>
        <v>0.61386861313868613</v>
      </c>
      <c r="AQ40" s="14">
        <f t="shared" ref="AQ40:AQ41" si="215">DA40/DA$42</f>
        <v>0.59377431906614786</v>
      </c>
      <c r="AR40" s="14">
        <f t="shared" ref="AR40:AR41" si="216">DB40/DB$42</f>
        <v>0.59813809154383246</v>
      </c>
      <c r="AS40" s="14">
        <f t="shared" ref="AS40:AS41" si="217">DC40/DC$42</f>
        <v>0.55621742367833205</v>
      </c>
      <c r="AT40" s="14">
        <f t="shared" ref="AT40:AT41" si="218">DD40/DD$42</f>
        <v>0.54314002828854313</v>
      </c>
      <c r="AU40" s="14">
        <f t="shared" ref="AU40:AY41" si="219">DE40/DE$42</f>
        <v>0.52060439560439564</v>
      </c>
      <c r="AV40" s="14">
        <f t="shared" si="219"/>
        <v>0.59203980099502485</v>
      </c>
      <c r="AW40" s="14">
        <f t="shared" si="219"/>
        <v>0.59283196239717983</v>
      </c>
      <c r="AX40" s="14">
        <f t="shared" si="219"/>
        <v>0.58702702702702703</v>
      </c>
      <c r="AY40" s="14">
        <f t="shared" si="219"/>
        <v>0.57594235033259422</v>
      </c>
      <c r="AZ40" s="14">
        <f t="shared" ref="AZ40:BK41" si="220">DJ40/DJ$42</f>
        <v>0.60030241935483875</v>
      </c>
      <c r="BA40" s="14">
        <f t="shared" si="220"/>
        <v>0.61415094339622645</v>
      </c>
      <c r="BB40" s="14">
        <f t="shared" si="220"/>
        <v>0.60332193453834881</v>
      </c>
      <c r="BC40" s="14">
        <f t="shared" si="220"/>
        <v>0.63037843442198027</v>
      </c>
      <c r="BD40" s="14">
        <f t="shared" si="220"/>
        <v>0.61914460285132378</v>
      </c>
      <c r="BE40" s="14">
        <f t="shared" si="220"/>
        <v>0.5984072810011376</v>
      </c>
      <c r="BF40" s="14">
        <f t="shared" si="220"/>
        <v>0.56303549571603428</v>
      </c>
      <c r="BG40" s="14">
        <f t="shared" si="220"/>
        <v>0.50096215522771004</v>
      </c>
      <c r="BH40" s="14">
        <f t="shared" si="220"/>
        <v>0.5889967637540453</v>
      </c>
      <c r="BI40" s="14">
        <f t="shared" si="220"/>
        <v>0.64854614412136535</v>
      </c>
      <c r="BJ40" s="14">
        <f t="shared" si="220"/>
        <v>0.67071688942891861</v>
      </c>
      <c r="BK40" s="14">
        <f t="shared" si="220"/>
        <v>0.66604244694132331</v>
      </c>
      <c r="BL40" s="15"/>
      <c r="BN40" s="2" t="s">
        <v>75</v>
      </c>
      <c r="BO40" s="2">
        <v>369</v>
      </c>
      <c r="BP40" s="2">
        <v>418</v>
      </c>
      <c r="BQ40" s="2">
        <v>485</v>
      </c>
      <c r="BR40" s="2">
        <v>523</v>
      </c>
      <c r="CG40" s="2">
        <v>382</v>
      </c>
      <c r="CH40" s="2">
        <f>318+44+8+1</f>
        <v>371</v>
      </c>
      <c r="CI40" s="2">
        <f>355+54</f>
        <v>409</v>
      </c>
      <c r="CJ40" s="2">
        <f>345+54</f>
        <v>399</v>
      </c>
      <c r="CK40" s="2">
        <f>324+44</f>
        <v>368</v>
      </c>
      <c r="CL40" s="2">
        <v>343</v>
      </c>
      <c r="CM40" s="2">
        <f>91+202+24+22</f>
        <v>339</v>
      </c>
      <c r="CN40" s="2">
        <v>428</v>
      </c>
      <c r="CO40" s="2">
        <v>440</v>
      </c>
      <c r="CP40" s="2">
        <v>561</v>
      </c>
      <c r="CQ40" s="2">
        <v>487</v>
      </c>
      <c r="CR40" s="2">
        <v>517</v>
      </c>
      <c r="CS40" s="2">
        <f>441+80</f>
        <v>521</v>
      </c>
      <c r="CT40" s="2">
        <f>415+84</f>
        <v>499</v>
      </c>
      <c r="CU40" s="2">
        <f>423+97</f>
        <v>520</v>
      </c>
      <c r="CV40" s="2">
        <v>559</v>
      </c>
      <c r="CW40" s="2">
        <v>604</v>
      </c>
      <c r="CX40" s="2">
        <v>709</v>
      </c>
      <c r="CY40" s="2">
        <v>917</v>
      </c>
      <c r="CZ40" s="2">
        <v>841</v>
      </c>
      <c r="DA40" s="2">
        <v>763</v>
      </c>
      <c r="DB40" s="2">
        <f>1+139+315+2+13+67+234</f>
        <v>771</v>
      </c>
      <c r="DC40" s="2">
        <v>747</v>
      </c>
      <c r="DD40" s="2">
        <v>768</v>
      </c>
      <c r="DE40" s="2">
        <v>758</v>
      </c>
      <c r="DF40" s="2">
        <v>952</v>
      </c>
      <c r="DG40" s="2">
        <v>1009</v>
      </c>
      <c r="DH40" s="2">
        <v>1086</v>
      </c>
      <c r="DI40" s="2">
        <v>1039</v>
      </c>
      <c r="DJ40" s="2">
        <v>1191</v>
      </c>
      <c r="DK40" s="2">
        <v>1302</v>
      </c>
      <c r="DL40" s="2">
        <v>1235</v>
      </c>
      <c r="DM40" s="2">
        <v>1216</v>
      </c>
      <c r="DN40" s="2">
        <v>1216</v>
      </c>
      <c r="DO40" s="2">
        <v>1052</v>
      </c>
      <c r="DP40" s="2">
        <v>920</v>
      </c>
      <c r="DQ40" s="2">
        <f>102+240+97+342</f>
        <v>781</v>
      </c>
      <c r="DR40" s="2">
        <v>910</v>
      </c>
      <c r="DS40" s="2">
        <v>1026</v>
      </c>
      <c r="DT40" s="2">
        <v>1104</v>
      </c>
      <c r="DU40" s="2">
        <v>1067</v>
      </c>
    </row>
    <row r="41" spans="1:125" ht="13.5" customHeight="1" x14ac:dyDescent="0.2">
      <c r="A41" s="8"/>
      <c r="D41" s="2" t="s">
        <v>76</v>
      </c>
      <c r="E41" s="14">
        <f t="shared" si="193"/>
        <v>0.57586206896551728</v>
      </c>
      <c r="F41" s="14">
        <f t="shared" si="194"/>
        <v>0.60114503816793896</v>
      </c>
      <c r="G41" s="14">
        <f t="shared" si="195"/>
        <v>0.62778204144282423</v>
      </c>
      <c r="H41" s="14">
        <f t="shared" si="196"/>
        <v>0.6561472715318869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>
        <f t="shared" si="197"/>
        <v>0.68714168714168711</v>
      </c>
      <c r="X41" s="14">
        <f t="shared" si="197"/>
        <v>0.7218890554722639</v>
      </c>
      <c r="Y41" s="14">
        <f t="shared" si="197"/>
        <v>0.7107496463932107</v>
      </c>
      <c r="Z41" s="14">
        <f t="shared" si="198"/>
        <v>0.71722182849043237</v>
      </c>
      <c r="AA41" s="14">
        <f t="shared" si="199"/>
        <v>0.73040293040293036</v>
      </c>
      <c r="AB41" s="14">
        <f t="shared" si="200"/>
        <v>0.73034591194968557</v>
      </c>
      <c r="AC41" s="14">
        <f t="shared" si="201"/>
        <v>0.72258592471358429</v>
      </c>
      <c r="AD41" s="14">
        <f t="shared" si="202"/>
        <v>0.65287915652879158</v>
      </c>
      <c r="AE41" s="14">
        <f t="shared" si="203"/>
        <v>0.64022894521668028</v>
      </c>
      <c r="AF41" s="14">
        <f t="shared" si="204"/>
        <v>0.53015075376884424</v>
      </c>
      <c r="AG41" s="14">
        <f t="shared" si="205"/>
        <v>0.52901353965183751</v>
      </c>
      <c r="AH41" s="14">
        <f t="shared" si="206"/>
        <v>0.50288461538461537</v>
      </c>
      <c r="AI41" s="14">
        <f t="shared" si="207"/>
        <v>0.43492407809110628</v>
      </c>
      <c r="AJ41" s="14">
        <f t="shared" si="208"/>
        <v>0.42245370370370372</v>
      </c>
      <c r="AK41" s="14">
        <f t="shared" si="209"/>
        <v>0.39464493597206052</v>
      </c>
      <c r="AL41" s="14">
        <f t="shared" si="210"/>
        <v>0.32893157262905159</v>
      </c>
      <c r="AM41" s="14">
        <f t="shared" si="211"/>
        <v>0.34913793103448276</v>
      </c>
      <c r="AN41" s="14">
        <f t="shared" si="212"/>
        <v>0.37089618456078083</v>
      </c>
      <c r="AO41" s="14">
        <f t="shared" si="213"/>
        <v>0.34076204169662111</v>
      </c>
      <c r="AP41" s="14">
        <f t="shared" si="214"/>
        <v>0.38613138686131387</v>
      </c>
      <c r="AQ41" s="14">
        <f t="shared" si="215"/>
        <v>0.40622568093385214</v>
      </c>
      <c r="AR41" s="14">
        <f t="shared" si="216"/>
        <v>0.40186190845616759</v>
      </c>
      <c r="AS41" s="14">
        <f t="shared" si="217"/>
        <v>0.4437825763216679</v>
      </c>
      <c r="AT41" s="14">
        <f t="shared" si="218"/>
        <v>0.45685997171145687</v>
      </c>
      <c r="AU41" s="14">
        <f t="shared" si="219"/>
        <v>0.47939560439560441</v>
      </c>
      <c r="AV41" s="14">
        <f t="shared" si="219"/>
        <v>0.4079601990049751</v>
      </c>
      <c r="AW41" s="14">
        <f t="shared" si="219"/>
        <v>0.40716803760282022</v>
      </c>
      <c r="AX41" s="14">
        <f t="shared" si="219"/>
        <v>0.41297297297297297</v>
      </c>
      <c r="AY41" s="14">
        <f t="shared" si="219"/>
        <v>0.42405764966740578</v>
      </c>
      <c r="AZ41" s="14">
        <f t="shared" si="220"/>
        <v>0.39969758064516131</v>
      </c>
      <c r="BA41" s="14">
        <f t="shared" si="220"/>
        <v>0.38584905660377361</v>
      </c>
      <c r="BB41" s="14">
        <f t="shared" si="220"/>
        <v>0.39667806546165119</v>
      </c>
      <c r="BC41" s="14">
        <f t="shared" si="220"/>
        <v>0.36962156557801967</v>
      </c>
      <c r="BD41" s="14">
        <f t="shared" si="220"/>
        <v>0.38085539714867617</v>
      </c>
      <c r="BE41" s="14">
        <f t="shared" si="220"/>
        <v>0.40159271899886234</v>
      </c>
      <c r="BF41" s="14">
        <f t="shared" si="220"/>
        <v>0.43696450428396572</v>
      </c>
      <c r="BG41" s="14">
        <f t="shared" si="220"/>
        <v>0.49903784477228991</v>
      </c>
      <c r="BH41" s="14">
        <f t="shared" si="220"/>
        <v>0.4110032362459547</v>
      </c>
      <c r="BI41" s="14">
        <f t="shared" si="220"/>
        <v>0.35145385587863465</v>
      </c>
      <c r="BJ41" s="14">
        <f t="shared" si="220"/>
        <v>0.32928311057108139</v>
      </c>
      <c r="BK41" s="14">
        <f t="shared" si="220"/>
        <v>0.33395755305867664</v>
      </c>
      <c r="BL41" s="15"/>
      <c r="BN41" s="2" t="s">
        <v>76</v>
      </c>
      <c r="BO41" s="2">
        <v>501</v>
      </c>
      <c r="BP41" s="2">
        <v>630</v>
      </c>
      <c r="BQ41" s="2">
        <v>818</v>
      </c>
      <c r="BR41" s="2">
        <v>998</v>
      </c>
      <c r="CG41" s="2">
        <v>839</v>
      </c>
      <c r="CH41" s="2">
        <f>680+115+145+23</f>
        <v>963</v>
      </c>
      <c r="CI41" s="2">
        <f>870+135</f>
        <v>1005</v>
      </c>
      <c r="CJ41" s="2">
        <f>867+145</f>
        <v>1012</v>
      </c>
      <c r="CK41" s="2">
        <f>860+137</f>
        <v>997</v>
      </c>
      <c r="CL41" s="2">
        <v>929</v>
      </c>
      <c r="CM41" s="2">
        <f>91+649+9+40+90+4</f>
        <v>883</v>
      </c>
      <c r="CN41" s="2">
        <v>805</v>
      </c>
      <c r="CO41" s="2">
        <v>783</v>
      </c>
      <c r="CP41" s="2">
        <v>633</v>
      </c>
      <c r="CQ41" s="2">
        <v>547</v>
      </c>
      <c r="CR41" s="2">
        <v>523</v>
      </c>
      <c r="CS41" s="2">
        <f>335+66</f>
        <v>401</v>
      </c>
      <c r="CT41" s="2">
        <f>303+62</f>
        <v>365</v>
      </c>
      <c r="CU41" s="2">
        <f>273+66</f>
        <v>339</v>
      </c>
      <c r="CV41" s="2">
        <v>274</v>
      </c>
      <c r="CW41" s="2">
        <v>324</v>
      </c>
      <c r="CX41" s="2">
        <v>418</v>
      </c>
      <c r="CY41" s="2">
        <v>474</v>
      </c>
      <c r="CZ41" s="2">
        <v>529</v>
      </c>
      <c r="DA41" s="2">
        <v>522</v>
      </c>
      <c r="DB41" s="2">
        <f>14+8+148+164+53+63+27+41</f>
        <v>518</v>
      </c>
      <c r="DC41" s="2">
        <v>596</v>
      </c>
      <c r="DD41" s="2">
        <v>646</v>
      </c>
      <c r="DE41" s="2">
        <v>698</v>
      </c>
      <c r="DF41" s="2">
        <v>656</v>
      </c>
      <c r="DG41" s="2">
        <v>693</v>
      </c>
      <c r="DH41" s="2">
        <v>764</v>
      </c>
      <c r="DI41" s="2">
        <v>765</v>
      </c>
      <c r="DJ41" s="2">
        <v>793</v>
      </c>
      <c r="DK41" s="2">
        <v>818</v>
      </c>
      <c r="DL41" s="2">
        <v>812</v>
      </c>
      <c r="DM41" s="2">
        <v>713</v>
      </c>
      <c r="DN41" s="2">
        <v>748</v>
      </c>
      <c r="DO41" s="2">
        <v>706</v>
      </c>
      <c r="DP41" s="2">
        <v>714</v>
      </c>
      <c r="DQ41" s="2">
        <f>4+15+264+343+45+107</f>
        <v>778</v>
      </c>
      <c r="DR41" s="2">
        <v>635</v>
      </c>
      <c r="DS41" s="2">
        <v>556</v>
      </c>
      <c r="DT41" s="2">
        <v>542</v>
      </c>
      <c r="DU41" s="2">
        <v>535</v>
      </c>
    </row>
    <row r="42" spans="1:125" ht="13.5" customHeight="1" x14ac:dyDescent="0.2">
      <c r="A42" s="8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9"/>
      <c r="BN42" s="20" t="s">
        <v>110</v>
      </c>
      <c r="BO42" s="2">
        <f t="shared" ref="BO42:BR42" si="221">SUM(BO40:BO41)</f>
        <v>870</v>
      </c>
      <c r="BP42" s="2">
        <f t="shared" si="221"/>
        <v>1048</v>
      </c>
      <c r="BQ42" s="2">
        <f>SUM(BQ40:BQ41)</f>
        <v>1303</v>
      </c>
      <c r="BR42" s="2">
        <f t="shared" si="221"/>
        <v>1521</v>
      </c>
      <c r="CG42" s="2">
        <f t="shared" ref="CG42:CH42" si="222">SUM(CG40:CG41)</f>
        <v>1221</v>
      </c>
      <c r="CH42" s="2">
        <f t="shared" si="222"/>
        <v>1334</v>
      </c>
      <c r="CI42" s="2">
        <f t="shared" ref="CI42:CR42" si="223">SUM(CI40:CI41)</f>
        <v>1414</v>
      </c>
      <c r="CJ42" s="2">
        <f t="shared" si="223"/>
        <v>1411</v>
      </c>
      <c r="CK42" s="2">
        <f t="shared" si="223"/>
        <v>1365</v>
      </c>
      <c r="CL42" s="2">
        <f t="shared" si="223"/>
        <v>1272</v>
      </c>
      <c r="CM42" s="2">
        <f t="shared" si="223"/>
        <v>1222</v>
      </c>
      <c r="CN42" s="2">
        <f t="shared" si="223"/>
        <v>1233</v>
      </c>
      <c r="CO42" s="2">
        <f t="shared" si="223"/>
        <v>1223</v>
      </c>
      <c r="CP42" s="2">
        <f t="shared" si="223"/>
        <v>1194</v>
      </c>
      <c r="CQ42" s="2">
        <f t="shared" si="223"/>
        <v>1034</v>
      </c>
      <c r="CR42" s="2">
        <f t="shared" si="223"/>
        <v>1040</v>
      </c>
      <c r="CS42" s="2">
        <f t="shared" ref="CS42:DI42" si="224">SUM(CS40:CS41)</f>
        <v>922</v>
      </c>
      <c r="CT42" s="2">
        <f t="shared" si="224"/>
        <v>864</v>
      </c>
      <c r="CU42" s="2">
        <f t="shared" si="224"/>
        <v>859</v>
      </c>
      <c r="CV42" s="2">
        <f t="shared" si="224"/>
        <v>833</v>
      </c>
      <c r="CW42" s="2">
        <f t="shared" si="224"/>
        <v>928</v>
      </c>
      <c r="CX42" s="2">
        <f t="shared" si="224"/>
        <v>1127</v>
      </c>
      <c r="CY42" s="2">
        <f t="shared" si="224"/>
        <v>1391</v>
      </c>
      <c r="CZ42" s="2">
        <f t="shared" si="224"/>
        <v>1370</v>
      </c>
      <c r="DA42" s="2">
        <f t="shared" si="224"/>
        <v>1285</v>
      </c>
      <c r="DB42" s="2">
        <f t="shared" si="224"/>
        <v>1289</v>
      </c>
      <c r="DC42" s="2">
        <f t="shared" si="224"/>
        <v>1343</v>
      </c>
      <c r="DD42" s="2">
        <f t="shared" si="224"/>
        <v>1414</v>
      </c>
      <c r="DE42" s="2">
        <f t="shared" si="224"/>
        <v>1456</v>
      </c>
      <c r="DF42" s="2">
        <f t="shared" si="224"/>
        <v>1608</v>
      </c>
      <c r="DG42" s="2">
        <f t="shared" si="224"/>
        <v>1702</v>
      </c>
      <c r="DH42" s="2">
        <f t="shared" si="224"/>
        <v>1850</v>
      </c>
      <c r="DI42" s="2">
        <f t="shared" si="224"/>
        <v>1804</v>
      </c>
      <c r="DJ42" s="2">
        <f t="shared" ref="DJ42:DO42" si="225">SUM(DJ40:DJ41)</f>
        <v>1984</v>
      </c>
      <c r="DK42" s="2">
        <f t="shared" si="225"/>
        <v>2120</v>
      </c>
      <c r="DL42" s="2">
        <f t="shared" si="225"/>
        <v>2047</v>
      </c>
      <c r="DM42" s="2">
        <f t="shared" si="225"/>
        <v>1929</v>
      </c>
      <c r="DN42" s="2">
        <f t="shared" si="225"/>
        <v>1964</v>
      </c>
      <c r="DO42" s="2">
        <f t="shared" si="225"/>
        <v>1758</v>
      </c>
      <c r="DP42" s="2">
        <f t="shared" ref="DP42" si="226">SUM(DP40:DP41)</f>
        <v>1634</v>
      </c>
      <c r="DQ42" s="2">
        <f t="shared" ref="DQ42:DR42" si="227">SUM(DQ40:DQ41)</f>
        <v>1559</v>
      </c>
      <c r="DR42" s="2">
        <f t="shared" si="227"/>
        <v>1545</v>
      </c>
      <c r="DS42" s="2">
        <f t="shared" ref="DS42:DT42" si="228">SUM(DS40:DS41)</f>
        <v>1582</v>
      </c>
      <c r="DT42" s="2">
        <f t="shared" si="228"/>
        <v>1646</v>
      </c>
      <c r="DU42" s="2">
        <f t="shared" ref="DU42" si="229">SUM(DU40:DU41)</f>
        <v>1602</v>
      </c>
    </row>
    <row r="43" spans="1:125" ht="13.5" customHeight="1" x14ac:dyDescent="0.2">
      <c r="A43" s="8"/>
      <c r="BL43" s="9"/>
    </row>
    <row r="44" spans="1:125" ht="13.5" customHeight="1" x14ac:dyDescent="0.2">
      <c r="A44" s="8"/>
      <c r="B44" s="2" t="s">
        <v>72</v>
      </c>
      <c r="BL44" s="9"/>
    </row>
    <row r="45" spans="1:125" ht="13.5" customHeight="1" x14ac:dyDescent="0.2">
      <c r="A45" s="8"/>
      <c r="BL45" s="9"/>
    </row>
    <row r="46" spans="1:125" ht="13.5" customHeight="1" x14ac:dyDescent="0.2">
      <c r="A46" s="8"/>
      <c r="B46" s="2" t="s">
        <v>86</v>
      </c>
      <c r="BL46" s="9"/>
      <c r="CN46" s="20"/>
    </row>
    <row r="47" spans="1:125" ht="13.5" customHeight="1" x14ac:dyDescent="0.2">
      <c r="A47" s="8"/>
      <c r="B47" s="2" t="s">
        <v>87</v>
      </c>
      <c r="BL47" s="9"/>
    </row>
    <row r="48" spans="1:125" ht="13.5" customHeight="1" x14ac:dyDescent="0.2">
      <c r="A48" s="8"/>
      <c r="BL48" s="9"/>
      <c r="BN48" s="3" t="s">
        <v>75</v>
      </c>
      <c r="CG48" s="3">
        <f>CG37+CG40</f>
        <v>5570</v>
      </c>
      <c r="CH48" s="3">
        <f>CH37+CH40</f>
        <v>4927</v>
      </c>
      <c r="CI48" s="3">
        <f t="shared" ref="CI48:CT48" si="230">CI37+CI40</f>
        <v>4565</v>
      </c>
      <c r="CJ48" s="3">
        <f t="shared" si="230"/>
        <v>4267</v>
      </c>
      <c r="CK48" s="3">
        <f t="shared" si="230"/>
        <v>4097</v>
      </c>
      <c r="CL48" s="3">
        <f t="shared" si="230"/>
        <v>4006</v>
      </c>
      <c r="CM48" s="3">
        <f t="shared" si="230"/>
        <v>3927</v>
      </c>
      <c r="CN48" s="3">
        <f t="shared" si="230"/>
        <v>4136</v>
      </c>
      <c r="CO48" s="3">
        <f t="shared" si="230"/>
        <v>4281</v>
      </c>
      <c r="CP48" s="3">
        <f t="shared" si="230"/>
        <v>4487</v>
      </c>
      <c r="CQ48" s="3">
        <f t="shared" si="230"/>
        <v>4317</v>
      </c>
      <c r="CR48" s="3">
        <f t="shared" si="230"/>
        <v>4384</v>
      </c>
      <c r="CS48" s="3">
        <f t="shared" si="230"/>
        <v>4349</v>
      </c>
      <c r="CT48" s="3">
        <f t="shared" si="230"/>
        <v>4077</v>
      </c>
      <c r="CU48" s="3">
        <f t="shared" ref="CU48:DD48" si="231">CU37+CU40</f>
        <v>4093</v>
      </c>
      <c r="CV48" s="3">
        <f t="shared" si="231"/>
        <v>3977</v>
      </c>
      <c r="CW48" s="3">
        <f t="shared" si="231"/>
        <v>3902</v>
      </c>
      <c r="CX48" s="3">
        <f t="shared" si="231"/>
        <v>4055</v>
      </c>
      <c r="CY48" s="3">
        <f t="shared" si="231"/>
        <v>4390</v>
      </c>
      <c r="CZ48" s="3">
        <f t="shared" si="231"/>
        <v>4518</v>
      </c>
      <c r="DA48" s="3">
        <f t="shared" si="231"/>
        <v>4500</v>
      </c>
      <c r="DB48" s="3">
        <f t="shared" si="231"/>
        <v>4663</v>
      </c>
      <c r="DC48" s="3">
        <f t="shared" si="231"/>
        <v>4845</v>
      </c>
      <c r="DD48" s="3">
        <f t="shared" si="231"/>
        <v>5143</v>
      </c>
      <c r="DE48" s="3">
        <f t="shared" ref="DE48:DH48" si="232">DE37+DE40</f>
        <v>5306</v>
      </c>
      <c r="DF48" s="3">
        <f t="shared" si="232"/>
        <v>5765</v>
      </c>
      <c r="DG48" s="3">
        <f t="shared" si="232"/>
        <v>6004</v>
      </c>
      <c r="DH48" s="3">
        <f t="shared" si="232"/>
        <v>6229</v>
      </c>
      <c r="DI48" s="3">
        <f t="shared" ref="DI48:DK49" si="233">DI37+DI40</f>
        <v>6299</v>
      </c>
      <c r="DJ48" s="3">
        <f t="shared" si="233"/>
        <v>6663</v>
      </c>
      <c r="DK48" s="3">
        <f t="shared" si="233"/>
        <v>7127</v>
      </c>
      <c r="DL48" s="3">
        <f t="shared" ref="DL48:DM48" si="234">DL37+DL40</f>
        <v>7403</v>
      </c>
      <c r="DM48" s="3">
        <f t="shared" si="234"/>
        <v>7431</v>
      </c>
      <c r="DN48" s="3">
        <f t="shared" ref="DN48:DO48" si="235">DN37+DN40</f>
        <v>7344</v>
      </c>
      <c r="DO48" s="3">
        <f t="shared" si="235"/>
        <v>7117</v>
      </c>
      <c r="DP48" s="3">
        <f t="shared" ref="DP48" si="236">DP37+DP40</f>
        <v>6612</v>
      </c>
      <c r="DQ48" s="3">
        <f t="shared" ref="DQ48:DR48" si="237">DQ37+DQ40</f>
        <v>6193</v>
      </c>
      <c r="DR48" s="3">
        <f t="shared" si="237"/>
        <v>5969</v>
      </c>
      <c r="DS48" s="3">
        <f t="shared" ref="DS48:DT48" si="238">DS37+DS40</f>
        <v>5911</v>
      </c>
      <c r="DT48" s="3">
        <f t="shared" si="238"/>
        <v>6058</v>
      </c>
      <c r="DU48" s="3">
        <f t="shared" ref="DU48" si="239">DU37+DU40</f>
        <v>6163</v>
      </c>
    </row>
    <row r="49" spans="1:125" ht="13.5" customHeight="1" x14ac:dyDescent="0.25">
      <c r="A49" s="17"/>
      <c r="B49" s="44" t="s">
        <v>81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5"/>
      <c r="BG49" s="45"/>
      <c r="BH49" s="45"/>
      <c r="BI49" s="18"/>
      <c r="BJ49" s="18"/>
      <c r="BK49" s="18" t="s">
        <v>117</v>
      </c>
      <c r="BL49" s="19"/>
      <c r="BN49" s="3" t="s">
        <v>76</v>
      </c>
      <c r="CG49" s="3">
        <f t="shared" ref="CG49:CH49" si="240">CG38+CG41</f>
        <v>1397</v>
      </c>
      <c r="CH49" s="3">
        <f t="shared" si="240"/>
        <v>1517</v>
      </c>
      <c r="CI49" s="3">
        <f t="shared" ref="CI49:CT49" si="241">CI38+CI41</f>
        <v>1753</v>
      </c>
      <c r="CJ49" s="3">
        <f t="shared" si="241"/>
        <v>1649</v>
      </c>
      <c r="CK49" s="3">
        <f t="shared" si="241"/>
        <v>1627</v>
      </c>
      <c r="CL49" s="3">
        <f t="shared" si="241"/>
        <v>1570</v>
      </c>
      <c r="CM49" s="3">
        <f t="shared" si="241"/>
        <v>1516</v>
      </c>
      <c r="CN49" s="3">
        <f t="shared" si="241"/>
        <v>1446</v>
      </c>
      <c r="CO49" s="3">
        <f t="shared" si="241"/>
        <v>1376</v>
      </c>
      <c r="CP49" s="3">
        <f t="shared" si="241"/>
        <v>1194</v>
      </c>
      <c r="CQ49" s="3">
        <f t="shared" si="241"/>
        <v>1155</v>
      </c>
      <c r="CR49" s="3">
        <f t="shared" si="241"/>
        <v>1042</v>
      </c>
      <c r="CS49" s="3">
        <f t="shared" si="241"/>
        <v>915</v>
      </c>
      <c r="CT49" s="3">
        <f t="shared" si="241"/>
        <v>899</v>
      </c>
      <c r="CU49" s="3">
        <f t="shared" ref="CU49:DD49" si="242">CU38+CU41</f>
        <v>825</v>
      </c>
      <c r="CV49" s="3">
        <f t="shared" si="242"/>
        <v>738</v>
      </c>
      <c r="CW49" s="3">
        <f t="shared" si="242"/>
        <v>724</v>
      </c>
      <c r="CX49" s="3">
        <f t="shared" si="242"/>
        <v>828</v>
      </c>
      <c r="CY49" s="3">
        <f t="shared" si="242"/>
        <v>850</v>
      </c>
      <c r="CZ49" s="3">
        <f t="shared" si="242"/>
        <v>941</v>
      </c>
      <c r="DA49" s="3">
        <f t="shared" si="242"/>
        <v>904</v>
      </c>
      <c r="DB49" s="3">
        <f t="shared" si="242"/>
        <v>937</v>
      </c>
      <c r="DC49" s="3">
        <f t="shared" si="242"/>
        <v>1013</v>
      </c>
      <c r="DD49" s="3">
        <f t="shared" si="242"/>
        <v>1023</v>
      </c>
      <c r="DE49" s="3">
        <f t="shared" ref="DE49:DH49" si="243">DE38+DE41</f>
        <v>1061</v>
      </c>
      <c r="DF49" s="3">
        <f t="shared" si="243"/>
        <v>1049</v>
      </c>
      <c r="DG49" s="3">
        <f t="shared" si="243"/>
        <v>1201</v>
      </c>
      <c r="DH49" s="3">
        <f t="shared" si="243"/>
        <v>1292</v>
      </c>
      <c r="DI49" s="3">
        <f t="shared" si="233"/>
        <v>1346</v>
      </c>
      <c r="DJ49" s="3">
        <f t="shared" si="233"/>
        <v>1466</v>
      </c>
      <c r="DK49" s="3">
        <f t="shared" si="233"/>
        <v>1513</v>
      </c>
      <c r="DL49" s="3">
        <f t="shared" ref="DL49:DM49" si="244">DL38+DL41</f>
        <v>1483</v>
      </c>
      <c r="DM49" s="3">
        <f t="shared" si="244"/>
        <v>1404</v>
      </c>
      <c r="DN49" s="3">
        <f t="shared" ref="DN49:DO49" si="245">DN38+DN41</f>
        <v>1539</v>
      </c>
      <c r="DO49" s="3">
        <f t="shared" si="245"/>
        <v>1484</v>
      </c>
      <c r="DP49" s="3">
        <f t="shared" ref="DP49" si="246">DP38+DP41</f>
        <v>1476</v>
      </c>
      <c r="DQ49" s="3">
        <f t="shared" ref="DQ49:DR49" si="247">DQ38+DQ41</f>
        <v>1449</v>
      </c>
      <c r="DR49" s="3">
        <f t="shared" si="247"/>
        <v>1272</v>
      </c>
      <c r="DS49" s="3">
        <f t="shared" ref="DS49:DT49" si="248">DS38+DS41</f>
        <v>1169</v>
      </c>
      <c r="DT49" s="3">
        <f t="shared" si="248"/>
        <v>1098</v>
      </c>
      <c r="DU49" s="3">
        <f t="shared" ref="DU49" si="249">DU38+DU41</f>
        <v>991</v>
      </c>
    </row>
    <row r="50" spans="1:125" ht="13.5" customHeight="1" x14ac:dyDescent="0.2">
      <c r="Y50" s="12"/>
      <c r="Z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BN50" s="40" t="s">
        <v>112</v>
      </c>
      <c r="CG50" s="3">
        <f t="shared" ref="CG50:CH50" si="250">SUM(CG48:CG49)</f>
        <v>6967</v>
      </c>
      <c r="CH50" s="3">
        <f t="shared" si="250"/>
        <v>6444</v>
      </c>
      <c r="CI50" s="3">
        <f t="shared" ref="CI50:CT50" si="251">SUM(CI48:CI49)</f>
        <v>6318</v>
      </c>
      <c r="CJ50" s="3">
        <f t="shared" si="251"/>
        <v>5916</v>
      </c>
      <c r="CK50" s="3">
        <f t="shared" si="251"/>
        <v>5724</v>
      </c>
      <c r="CL50" s="3">
        <f t="shared" si="251"/>
        <v>5576</v>
      </c>
      <c r="CM50" s="3">
        <f t="shared" si="251"/>
        <v>5443</v>
      </c>
      <c r="CN50" s="3">
        <f t="shared" si="251"/>
        <v>5582</v>
      </c>
      <c r="CO50" s="3">
        <f t="shared" si="251"/>
        <v>5657</v>
      </c>
      <c r="CP50" s="3">
        <f t="shared" si="251"/>
        <v>5681</v>
      </c>
      <c r="CQ50" s="3">
        <f t="shared" si="251"/>
        <v>5472</v>
      </c>
      <c r="CR50" s="3">
        <f t="shared" si="251"/>
        <v>5426</v>
      </c>
      <c r="CS50" s="3">
        <f t="shared" si="251"/>
        <v>5264</v>
      </c>
      <c r="CT50" s="3">
        <f t="shared" si="251"/>
        <v>4976</v>
      </c>
      <c r="CU50" s="3">
        <f t="shared" ref="CU50" si="252">SUM(CU48:CU49)</f>
        <v>4918</v>
      </c>
      <c r="CV50" s="3">
        <f t="shared" ref="CV50" si="253">SUM(CV48:CV49)</f>
        <v>4715</v>
      </c>
      <c r="CW50" s="3">
        <f t="shared" ref="CW50" si="254">SUM(CW48:CW49)</f>
        <v>4626</v>
      </c>
      <c r="CX50" s="3">
        <f t="shared" ref="CX50" si="255">SUM(CX48:CX49)</f>
        <v>4883</v>
      </c>
      <c r="CY50" s="3">
        <f t="shared" ref="CY50" si="256">SUM(CY48:CY49)</f>
        <v>5240</v>
      </c>
      <c r="CZ50" s="3">
        <f t="shared" ref="CZ50" si="257">SUM(CZ48:CZ49)</f>
        <v>5459</v>
      </c>
      <c r="DA50" s="3">
        <f t="shared" ref="DA50" si="258">SUM(DA48:DA49)</f>
        <v>5404</v>
      </c>
      <c r="DB50" s="3">
        <f t="shared" ref="DB50" si="259">SUM(DB48:DB49)</f>
        <v>5600</v>
      </c>
      <c r="DC50" s="3">
        <f t="shared" ref="DC50" si="260">SUM(DC48:DC49)</f>
        <v>5858</v>
      </c>
      <c r="DD50" s="3">
        <f t="shared" ref="DD50" si="261">SUM(DD48:DD49)</f>
        <v>6166</v>
      </c>
      <c r="DE50" s="3">
        <f t="shared" ref="DE50:DH50" si="262">SUM(DE48:DE49)</f>
        <v>6367</v>
      </c>
      <c r="DF50" s="3">
        <f t="shared" si="262"/>
        <v>6814</v>
      </c>
      <c r="DG50" s="3">
        <f t="shared" si="262"/>
        <v>7205</v>
      </c>
      <c r="DH50" s="3">
        <f t="shared" si="262"/>
        <v>7521</v>
      </c>
      <c r="DI50" s="3">
        <f t="shared" ref="DI50:DN50" si="263">SUM(DI48:DI49)</f>
        <v>7645</v>
      </c>
      <c r="DJ50" s="3">
        <f t="shared" si="263"/>
        <v>8129</v>
      </c>
      <c r="DK50" s="3">
        <f t="shared" si="263"/>
        <v>8640</v>
      </c>
      <c r="DL50" s="3">
        <f t="shared" si="263"/>
        <v>8886</v>
      </c>
      <c r="DM50" s="3">
        <f t="shared" si="263"/>
        <v>8835</v>
      </c>
      <c r="DN50" s="3">
        <f t="shared" si="263"/>
        <v>8883</v>
      </c>
      <c r="DO50" s="3">
        <f t="shared" ref="DO50:DP50" si="264">SUM(DO48:DO49)</f>
        <v>8601</v>
      </c>
      <c r="DP50" s="3">
        <f t="shared" si="264"/>
        <v>8088</v>
      </c>
      <c r="DQ50" s="3">
        <f t="shared" ref="DQ50:DR50" si="265">SUM(DQ48:DQ49)</f>
        <v>7642</v>
      </c>
      <c r="DR50" s="3">
        <f t="shared" si="265"/>
        <v>7241</v>
      </c>
      <c r="DS50" s="3">
        <f t="shared" ref="DS50:DT50" si="266">SUM(DS48:DS49)</f>
        <v>7080</v>
      </c>
      <c r="DT50" s="3">
        <f t="shared" si="266"/>
        <v>7156</v>
      </c>
      <c r="DU50" s="3">
        <f t="shared" ref="DU50" si="267">SUM(DU48:DU49)</f>
        <v>7154</v>
      </c>
    </row>
    <row r="99" spans="99:99" ht="13.5" customHeight="1" x14ac:dyDescent="0.2">
      <c r="CU99" s="20"/>
    </row>
  </sheetData>
  <mergeCells count="2">
    <mergeCell ref="A2:BL2"/>
    <mergeCell ref="B49:BH49"/>
  </mergeCells>
  <hyperlinks>
    <hyperlink ref="B49:BE49" r:id="rId1" display="Sources: IPEDS EF, Fall Enrollment Survey &amp; DHE 02 (Residence)" xr:uid="{B9FB0D28-09FC-466A-ABDA-BEB3DB93236E}"/>
  </hyperlinks>
  <printOptions horizontalCentered="1"/>
  <pageMargins left="0.7" right="0.45" top="0.5" bottom="0.5" header="0.3" footer="0.3"/>
  <pageSetup orientation="portrait" r:id="rId2"/>
  <ignoredErrors>
    <ignoredError sqref="CL20:DU2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U93"/>
  <sheetViews>
    <sheetView workbookViewId="0"/>
  </sheetViews>
  <sheetFormatPr defaultColWidth="9.140625" defaultRowHeight="13.5" customHeight="1" x14ac:dyDescent="0.2"/>
  <cols>
    <col min="1" max="3" width="2.7109375" style="2" customWidth="1"/>
    <col min="4" max="4" width="18.7109375" style="2" customWidth="1"/>
    <col min="5" max="57" width="8.7109375" style="2" hidden="1" customWidth="1"/>
    <col min="58" max="63" width="8.7109375" style="2" customWidth="1"/>
    <col min="64" max="64" width="2.7109375" style="2" customWidth="1"/>
    <col min="65" max="65" width="9.140625" style="2"/>
    <col min="66" max="66" width="18.7109375" style="2" customWidth="1"/>
    <col min="67" max="115" width="9.140625" style="2" hidden="1" customWidth="1"/>
    <col min="116" max="116" width="9.140625" style="1" hidden="1" customWidth="1"/>
    <col min="117" max="119" width="0" style="1" hidden="1" customWidth="1"/>
    <col min="120" max="16384" width="9.140625" style="1"/>
  </cols>
  <sheetData>
    <row r="2" spans="1:125" ht="15" customHeight="1" x14ac:dyDescent="0.25">
      <c r="A2" s="41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</row>
    <row r="3" spans="1:125" ht="13.5" customHeight="1" x14ac:dyDescent="0.2">
      <c r="A3" s="8"/>
      <c r="AK3" s="16"/>
      <c r="AL3" s="16"/>
      <c r="AM3" s="16"/>
      <c r="AN3" s="16"/>
      <c r="AO3" s="16"/>
      <c r="AP3" s="16"/>
      <c r="AQ3" s="16"/>
      <c r="AR3" s="16"/>
      <c r="BL3" s="9"/>
    </row>
    <row r="4" spans="1:125" ht="15" customHeight="1" x14ac:dyDescent="0.25">
      <c r="A4" s="8"/>
      <c r="B4" s="6" t="s">
        <v>1</v>
      </c>
      <c r="C4" s="27"/>
      <c r="D4" s="2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9"/>
    </row>
    <row r="5" spans="1:125" ht="15" customHeight="1" x14ac:dyDescent="0.25">
      <c r="A5" s="8"/>
      <c r="B5" s="7" t="s">
        <v>101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9"/>
      <c r="BN5" s="24" t="s">
        <v>93</v>
      </c>
    </row>
    <row r="6" spans="1:125" ht="13.5" customHeight="1" thickBot="1" x14ac:dyDescent="0.25">
      <c r="A6" s="8"/>
      <c r="BL6" s="9"/>
      <c r="BN6" s="24" t="s">
        <v>74</v>
      </c>
    </row>
    <row r="7" spans="1:125" ht="13.5" customHeight="1" thickTop="1" x14ac:dyDescent="0.2">
      <c r="A7" s="8"/>
      <c r="B7" s="10"/>
      <c r="C7" s="10"/>
      <c r="D7" s="10"/>
      <c r="E7" s="11" t="s">
        <v>3</v>
      </c>
      <c r="F7" s="11" t="s">
        <v>4</v>
      </c>
      <c r="G7" s="11" t="s">
        <v>5</v>
      </c>
      <c r="H7" s="11" t="s">
        <v>6</v>
      </c>
      <c r="I7" s="11" t="s">
        <v>7</v>
      </c>
      <c r="J7" s="11" t="s">
        <v>8</v>
      </c>
      <c r="K7" s="11" t="s">
        <v>9</v>
      </c>
      <c r="L7" s="11" t="s">
        <v>10</v>
      </c>
      <c r="M7" s="11" t="s">
        <v>11</v>
      </c>
      <c r="N7" s="11" t="s">
        <v>12</v>
      </c>
      <c r="O7" s="11" t="s">
        <v>13</v>
      </c>
      <c r="P7" s="11" t="s">
        <v>14</v>
      </c>
      <c r="Q7" s="11" t="s">
        <v>15</v>
      </c>
      <c r="R7" s="11" t="s">
        <v>16</v>
      </c>
      <c r="S7" s="11" t="s">
        <v>17</v>
      </c>
      <c r="T7" s="11" t="s">
        <v>18</v>
      </c>
      <c r="U7" s="11" t="s">
        <v>19</v>
      </c>
      <c r="V7" s="11" t="s">
        <v>20</v>
      </c>
      <c r="W7" s="11" t="s">
        <v>21</v>
      </c>
      <c r="X7" s="11" t="s">
        <v>22</v>
      </c>
      <c r="Y7" s="11" t="s">
        <v>23</v>
      </c>
      <c r="Z7" s="11" t="s">
        <v>24</v>
      </c>
      <c r="AA7" s="11" t="s">
        <v>25</v>
      </c>
      <c r="AB7" s="11" t="s">
        <v>26</v>
      </c>
      <c r="AC7" s="11" t="s">
        <v>27</v>
      </c>
      <c r="AD7" s="11" t="s">
        <v>28</v>
      </c>
      <c r="AE7" s="11" t="s">
        <v>29</v>
      </c>
      <c r="AF7" s="11" t="s">
        <v>30</v>
      </c>
      <c r="AG7" s="11" t="s">
        <v>31</v>
      </c>
      <c r="AH7" s="11" t="s">
        <v>32</v>
      </c>
      <c r="AI7" s="11" t="s">
        <v>33</v>
      </c>
      <c r="AJ7" s="11" t="s">
        <v>83</v>
      </c>
      <c r="AK7" s="11" t="s">
        <v>35</v>
      </c>
      <c r="AL7" s="11" t="s">
        <v>36</v>
      </c>
      <c r="AM7" s="11" t="s">
        <v>37</v>
      </c>
      <c r="AN7" s="11" t="s">
        <v>38</v>
      </c>
      <c r="AO7" s="11" t="s">
        <v>39</v>
      </c>
      <c r="AP7" s="11" t="s">
        <v>40</v>
      </c>
      <c r="AQ7" s="11" t="s">
        <v>41</v>
      </c>
      <c r="AR7" s="11" t="s">
        <v>42</v>
      </c>
      <c r="AS7" s="11" t="s">
        <v>43</v>
      </c>
      <c r="AT7" s="11" t="s">
        <v>44</v>
      </c>
      <c r="AU7" s="11" t="s">
        <v>45</v>
      </c>
      <c r="AV7" s="11" t="s">
        <v>46</v>
      </c>
      <c r="AW7" s="11" t="s">
        <v>47</v>
      </c>
      <c r="AX7" s="11" t="s">
        <v>48</v>
      </c>
      <c r="AY7" s="11" t="s">
        <v>49</v>
      </c>
      <c r="AZ7" s="11" t="s">
        <v>50</v>
      </c>
      <c r="BA7" s="11" t="s">
        <v>100</v>
      </c>
      <c r="BB7" s="11" t="s">
        <v>102</v>
      </c>
      <c r="BC7" s="11" t="s">
        <v>103</v>
      </c>
      <c r="BD7" s="11" t="s">
        <v>104</v>
      </c>
      <c r="BE7" s="11" t="s">
        <v>105</v>
      </c>
      <c r="BF7" s="11" t="s">
        <v>106</v>
      </c>
      <c r="BG7" s="11" t="s">
        <v>107</v>
      </c>
      <c r="BH7" s="11" t="s">
        <v>108</v>
      </c>
      <c r="BI7" s="11" t="s">
        <v>113</v>
      </c>
      <c r="BJ7" s="11" t="s">
        <v>115</v>
      </c>
      <c r="BK7" s="11" t="s">
        <v>116</v>
      </c>
      <c r="BL7" s="9"/>
      <c r="BO7" s="20" t="s">
        <v>3</v>
      </c>
      <c r="BP7" s="20" t="s">
        <v>4</v>
      </c>
      <c r="BQ7" s="20" t="s">
        <v>5</v>
      </c>
      <c r="BR7" s="20" t="s">
        <v>6</v>
      </c>
      <c r="BS7" s="20" t="s">
        <v>7</v>
      </c>
      <c r="BT7" s="20" t="s">
        <v>8</v>
      </c>
      <c r="BU7" s="20" t="s">
        <v>9</v>
      </c>
      <c r="BV7" s="20" t="s">
        <v>10</v>
      </c>
      <c r="BW7" s="20" t="s">
        <v>11</v>
      </c>
      <c r="BX7" s="20" t="s">
        <v>12</v>
      </c>
      <c r="BY7" s="20" t="s">
        <v>13</v>
      </c>
      <c r="BZ7" s="20" t="s">
        <v>14</v>
      </c>
      <c r="CA7" s="20" t="s">
        <v>15</v>
      </c>
      <c r="CB7" s="20" t="s">
        <v>16</v>
      </c>
      <c r="CC7" s="20" t="s">
        <v>17</v>
      </c>
      <c r="CD7" s="20" t="s">
        <v>18</v>
      </c>
      <c r="CE7" s="20" t="s">
        <v>19</v>
      </c>
      <c r="CF7" s="20" t="s">
        <v>20</v>
      </c>
      <c r="CG7" s="20" t="s">
        <v>21</v>
      </c>
      <c r="CH7" s="20" t="s">
        <v>22</v>
      </c>
      <c r="CI7" s="20" t="s">
        <v>23</v>
      </c>
      <c r="CJ7" s="20" t="s">
        <v>24</v>
      </c>
      <c r="CK7" s="20" t="s">
        <v>25</v>
      </c>
      <c r="CL7" s="20" t="s">
        <v>26</v>
      </c>
      <c r="CM7" s="20" t="s">
        <v>27</v>
      </c>
      <c r="CN7" s="20" t="s">
        <v>28</v>
      </c>
      <c r="CO7" s="20" t="s">
        <v>29</v>
      </c>
      <c r="CP7" s="20" t="s">
        <v>30</v>
      </c>
      <c r="CQ7" s="20" t="s">
        <v>31</v>
      </c>
      <c r="CR7" s="20" t="s">
        <v>91</v>
      </c>
      <c r="CS7" s="20" t="s">
        <v>33</v>
      </c>
      <c r="CT7" s="20" t="s">
        <v>34</v>
      </c>
      <c r="CU7" s="20" t="s">
        <v>35</v>
      </c>
      <c r="CV7" s="20" t="s">
        <v>36</v>
      </c>
      <c r="CW7" s="20" t="s">
        <v>37</v>
      </c>
      <c r="CX7" s="20" t="s">
        <v>38</v>
      </c>
      <c r="CY7" s="20" t="s">
        <v>39</v>
      </c>
      <c r="CZ7" s="20" t="s">
        <v>40</v>
      </c>
      <c r="DA7" s="20" t="s">
        <v>41</v>
      </c>
      <c r="DB7" s="20" t="s">
        <v>42</v>
      </c>
      <c r="DC7" s="20" t="s">
        <v>43</v>
      </c>
      <c r="DD7" s="20" t="s">
        <v>44</v>
      </c>
      <c r="DE7" s="20" t="s">
        <v>45</v>
      </c>
      <c r="DF7" s="20" t="s">
        <v>46</v>
      </c>
      <c r="DG7" s="20" t="s">
        <v>47</v>
      </c>
      <c r="DH7" s="20" t="s">
        <v>48</v>
      </c>
      <c r="DI7" s="20" t="s">
        <v>49</v>
      </c>
      <c r="DJ7" s="20" t="s">
        <v>50</v>
      </c>
      <c r="DK7" s="20" t="s">
        <v>100</v>
      </c>
      <c r="DL7" s="20" t="s">
        <v>102</v>
      </c>
      <c r="DM7" s="20" t="s">
        <v>103</v>
      </c>
      <c r="DN7" s="20" t="s">
        <v>104</v>
      </c>
      <c r="DO7" s="20" t="s">
        <v>105</v>
      </c>
      <c r="DP7" s="20" t="s">
        <v>106</v>
      </c>
      <c r="DQ7" s="20" t="s">
        <v>107</v>
      </c>
      <c r="DR7" s="20" t="s">
        <v>108</v>
      </c>
      <c r="DS7" s="20" t="s">
        <v>113</v>
      </c>
      <c r="DT7" s="20" t="s">
        <v>115</v>
      </c>
      <c r="DU7" s="20" t="s">
        <v>116</v>
      </c>
    </row>
    <row r="8" spans="1:125" ht="13.5" customHeight="1" x14ac:dyDescent="0.2">
      <c r="A8" s="8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9"/>
      <c r="BN8" s="2" t="s">
        <v>51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</row>
    <row r="9" spans="1:125" ht="13.5" customHeight="1" x14ac:dyDescent="0.2">
      <c r="A9" s="8"/>
      <c r="B9" s="34" t="s">
        <v>68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9"/>
      <c r="BN9" s="2" t="s">
        <v>78</v>
      </c>
      <c r="CL9" s="2">
        <f t="shared" ref="CL9:CS9" si="0">SUM(CL10:CL19)</f>
        <v>14635</v>
      </c>
      <c r="CM9" s="2">
        <f t="shared" si="0"/>
        <v>15397</v>
      </c>
      <c r="CN9" s="2">
        <f t="shared" si="0"/>
        <v>15620</v>
      </c>
      <c r="CO9" s="2">
        <f t="shared" si="0"/>
        <v>14926</v>
      </c>
      <c r="CP9" s="2">
        <f t="shared" si="0"/>
        <v>15411</v>
      </c>
      <c r="CQ9" s="2">
        <f t="shared" si="0"/>
        <v>15588</v>
      </c>
      <c r="CR9" s="2">
        <f t="shared" si="0"/>
        <v>15972</v>
      </c>
      <c r="CS9" s="2">
        <f t="shared" si="0"/>
        <v>16094</v>
      </c>
      <c r="CT9" s="2">
        <v>15578</v>
      </c>
      <c r="CU9" s="2">
        <f>SUM(CU10:CU19)</f>
        <v>15880</v>
      </c>
      <c r="CV9" s="2">
        <v>14955</v>
      </c>
      <c r="CW9" s="2">
        <v>14610</v>
      </c>
      <c r="CX9" s="2">
        <v>14993</v>
      </c>
      <c r="CY9" s="2">
        <v>15658</v>
      </c>
      <c r="CZ9" s="2">
        <v>15599</v>
      </c>
      <c r="DA9" s="2">
        <v>15498</v>
      </c>
      <c r="DB9" s="2">
        <v>15548</v>
      </c>
      <c r="DC9" s="2">
        <v>15528</v>
      </c>
      <c r="DD9" s="2">
        <v>15527</v>
      </c>
      <c r="DE9" s="2">
        <v>15741</v>
      </c>
      <c r="DF9" s="2">
        <v>16534</v>
      </c>
      <c r="DG9" s="2">
        <v>16791</v>
      </c>
      <c r="DH9" s="2">
        <v>16809</v>
      </c>
      <c r="DI9" s="2">
        <v>16705</v>
      </c>
      <c r="DJ9" s="2">
        <v>16809</v>
      </c>
      <c r="DK9" s="2">
        <v>17072</v>
      </c>
      <c r="DL9" s="1">
        <v>16738</v>
      </c>
      <c r="DM9" s="1">
        <v>16989</v>
      </c>
      <c r="DN9" s="1">
        <v>16715</v>
      </c>
      <c r="DO9" s="1">
        <v>16441</v>
      </c>
      <c r="DP9" s="1">
        <v>15988</v>
      </c>
      <c r="DQ9" s="1">
        <v>13874</v>
      </c>
      <c r="DR9" s="1">
        <v>15189</v>
      </c>
      <c r="DS9" s="1">
        <v>15181</v>
      </c>
      <c r="DT9" s="1">
        <v>14800</v>
      </c>
      <c r="DU9" s="1">
        <v>14736</v>
      </c>
    </row>
    <row r="10" spans="1:125" ht="13.5" customHeight="1" x14ac:dyDescent="0.2">
      <c r="A10" s="8"/>
      <c r="C10" s="3" t="s">
        <v>71</v>
      </c>
      <c r="BL10" s="9"/>
      <c r="BN10" s="2" t="s">
        <v>77</v>
      </c>
      <c r="CL10" s="2">
        <v>0</v>
      </c>
      <c r="CM10" s="2">
        <v>195</v>
      </c>
      <c r="CN10" s="2">
        <v>392</v>
      </c>
      <c r="CO10" s="2">
        <v>423</v>
      </c>
      <c r="CP10" s="2">
        <v>475</v>
      </c>
      <c r="CQ10" s="2">
        <v>892</v>
      </c>
      <c r="CR10" s="2">
        <v>758</v>
      </c>
      <c r="CS10" s="2">
        <f>197+412</f>
        <v>609</v>
      </c>
      <c r="CT10" s="2">
        <v>523</v>
      </c>
      <c r="CU10" s="2">
        <f>221+331</f>
        <v>552</v>
      </c>
      <c r="CV10" s="2">
        <v>639</v>
      </c>
      <c r="CW10" s="2">
        <v>787</v>
      </c>
      <c r="CX10" s="2">
        <v>827</v>
      </c>
      <c r="CY10" s="2">
        <v>0</v>
      </c>
      <c r="CZ10" s="2">
        <v>857</v>
      </c>
      <c r="DA10" s="2">
        <v>996</v>
      </c>
      <c r="DB10" s="2">
        <v>1208</v>
      </c>
      <c r="DC10" s="2">
        <v>1427</v>
      </c>
      <c r="DD10" s="2">
        <v>1763</v>
      </c>
      <c r="DE10" s="2">
        <v>1610</v>
      </c>
      <c r="DF10" s="2">
        <f>1527-1-12</f>
        <v>1514</v>
      </c>
      <c r="DG10" s="2">
        <v>1403</v>
      </c>
      <c r="DH10" s="2">
        <v>1177</v>
      </c>
      <c r="DI10" s="2">
        <v>1038</v>
      </c>
      <c r="DJ10" s="2">
        <v>947</v>
      </c>
      <c r="DK10" s="2">
        <v>870</v>
      </c>
      <c r="DL10" s="1">
        <v>779</v>
      </c>
      <c r="DM10" s="1">
        <v>708</v>
      </c>
      <c r="DN10" s="1">
        <v>723</v>
      </c>
      <c r="DO10" s="1">
        <v>617</v>
      </c>
      <c r="DP10" s="1">
        <v>918</v>
      </c>
      <c r="DQ10" s="1">
        <v>756</v>
      </c>
      <c r="DR10" s="1">
        <v>745</v>
      </c>
      <c r="DS10" s="1">
        <v>698</v>
      </c>
      <c r="DT10" s="1">
        <v>775</v>
      </c>
      <c r="DU10" s="1">
        <v>854</v>
      </c>
    </row>
    <row r="11" spans="1:125" ht="13.5" customHeight="1" x14ac:dyDescent="0.2">
      <c r="A11" s="8"/>
      <c r="D11" s="2" t="s">
        <v>114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>
        <f t="shared" ref="O11:O14" si="1">BY11/BY$20</f>
        <v>3.5952747817154596E-3</v>
      </c>
      <c r="P11" s="13">
        <f t="shared" ref="P11:P14" si="2">BZ11/BZ$20</f>
        <v>4.7863247863247863E-3</v>
      </c>
      <c r="Q11" s="13">
        <f t="shared" ref="Q11:Q14" si="3">CA11/CA$20</f>
        <v>3.105314523999645E-3</v>
      </c>
      <c r="R11" s="13">
        <f t="shared" ref="R11:R14" si="4">CB11/CB$20</f>
        <v>2.6415426609139739E-3</v>
      </c>
      <c r="S11" s="13"/>
      <c r="T11" s="13"/>
      <c r="U11" s="13"/>
      <c r="V11" s="13"/>
      <c r="W11" s="13">
        <f t="shared" ref="W11:Y14" si="5">CG11/CG$20</f>
        <v>3.9668851328044149E-3</v>
      </c>
      <c r="X11" s="13">
        <f t="shared" si="5"/>
        <v>4.2817196784341142E-3</v>
      </c>
      <c r="Y11" s="13">
        <f t="shared" si="5"/>
        <v>5.3536664503569115E-3</v>
      </c>
      <c r="Z11" s="13">
        <f t="shared" ref="Z11:Z14" si="6">CJ11/CJ$20</f>
        <v>4.862482905333536E-3</v>
      </c>
      <c r="AA11" s="13">
        <f t="shared" ref="AA11:AA14" si="7">CK11/CK$20</f>
        <v>4.1630778064886591E-3</v>
      </c>
      <c r="AB11" s="13">
        <f t="shared" ref="AB11:AB14" si="8">CL11/CL$20</f>
        <v>4.1680901947386403E-3</v>
      </c>
      <c r="AC11" s="13">
        <f t="shared" ref="AC11:AC14" si="9">CM11/CM$20</f>
        <v>3.2890409156689907E-3</v>
      </c>
      <c r="AD11" s="13">
        <f t="shared" ref="AD11:AD14" si="10">CN11/CN$20</f>
        <v>3.2177567638560548E-3</v>
      </c>
      <c r="AE11" s="13">
        <f t="shared" ref="AE11:AE14" si="11">CO11/CO$20</f>
        <v>2.8959525615389918E-3</v>
      </c>
      <c r="AF11" s="13">
        <f t="shared" ref="AF11:AF14" si="12">CP11/CP$20</f>
        <v>2.8119978575254418E-3</v>
      </c>
      <c r="AG11" s="13">
        <f t="shared" ref="AG11:AG14" si="13">CQ11/CQ$20</f>
        <v>6.0560696788241695E-3</v>
      </c>
      <c r="AH11" s="13">
        <f t="shared" ref="AH11:AH14" si="14">CR11/CR$20</f>
        <v>8.5447614039700272E-3</v>
      </c>
      <c r="AI11" s="13">
        <f t="shared" ref="AI11:AI14" si="15">CS11/CS$20</f>
        <v>1.1430416532127865E-2</v>
      </c>
      <c r="AJ11" s="13">
        <f t="shared" ref="AJ11:AJ14" si="16">CT11/CT$20</f>
        <v>1.6210470369386127E-2</v>
      </c>
      <c r="AK11" s="13">
        <f t="shared" ref="AK11:AK14" si="17">CU11/CU$20</f>
        <v>2.0224425887265137E-2</v>
      </c>
      <c r="AL11" s="13">
        <f t="shared" ref="AL11:AL14" si="18">CV11/CV$20</f>
        <v>2.360414577064527E-2</v>
      </c>
      <c r="AM11" s="13">
        <f t="shared" ref="AM11:AM14" si="19">CW11/CW$20</f>
        <v>3.1279945242984254E-2</v>
      </c>
      <c r="AN11" s="13">
        <f t="shared" ref="AN11:AN14" si="20">CX11/CX$20</f>
        <v>3.4801637724128191E-2</v>
      </c>
      <c r="AO11" s="13">
        <f t="shared" ref="AO11:AO14" si="21">CY11/CY$20</f>
        <v>3.1868693319708777E-2</v>
      </c>
      <c r="AP11" s="13">
        <f t="shared" ref="AP11:AP14" si="22">CZ11/CZ$20</f>
        <v>2.9846696513363181E-2</v>
      </c>
      <c r="AQ11" s="13">
        <f t="shared" ref="AQ11:AQ14" si="23">DA11/DA$20</f>
        <v>3.0685422700317197E-2</v>
      </c>
      <c r="AR11" s="13">
        <f t="shared" ref="AR11:AR14" si="24">DB11/DB$20</f>
        <v>3.0892608089260809E-2</v>
      </c>
      <c r="AS11" s="13">
        <f t="shared" ref="AS11:AS14" si="25">DC11/DC$20</f>
        <v>3.5529395078363238E-2</v>
      </c>
      <c r="AT11" s="13">
        <f t="shared" ref="AT11:AT14" si="26">DD11/DD$20</f>
        <v>3.668991572217379E-2</v>
      </c>
      <c r="AU11" s="13">
        <f t="shared" ref="AU11:AY16" si="27">DE11/DE$20</f>
        <v>3.892152006227443E-2</v>
      </c>
      <c r="AV11" s="13">
        <f t="shared" si="27"/>
        <v>3.6418109187749667E-2</v>
      </c>
      <c r="AW11" s="13">
        <f t="shared" si="27"/>
        <v>3.6911879386534965E-2</v>
      </c>
      <c r="AX11" s="13">
        <f t="shared" si="27"/>
        <v>3.7871033776867964E-2</v>
      </c>
      <c r="AY11" s="13">
        <f t="shared" si="27"/>
        <v>3.6382204633943961E-2</v>
      </c>
      <c r="AZ11" s="13">
        <f t="shared" ref="AZ11:BK11" si="28">DJ11/DJ$20</f>
        <v>3.4737107552641533E-2</v>
      </c>
      <c r="BA11" s="13">
        <f t="shared" si="28"/>
        <v>3.2094803110727071E-2</v>
      </c>
      <c r="BB11" s="13">
        <f t="shared" si="28"/>
        <v>3.2708816341876057E-2</v>
      </c>
      <c r="BC11" s="13">
        <f t="shared" si="28"/>
        <v>3.4641606780910265E-2</v>
      </c>
      <c r="BD11" s="13">
        <f t="shared" si="28"/>
        <v>3.0827913956978488E-2</v>
      </c>
      <c r="BE11" s="13">
        <f t="shared" si="28"/>
        <v>2.9069767441860465E-2</v>
      </c>
      <c r="BF11" s="13">
        <f t="shared" si="28"/>
        <v>3.0325149303251493E-2</v>
      </c>
      <c r="BG11" s="13">
        <f t="shared" si="28"/>
        <v>2.5994816282969964E-2</v>
      </c>
      <c r="BH11" s="13">
        <f t="shared" si="28"/>
        <v>2.6446967599003047E-2</v>
      </c>
      <c r="BI11" s="13">
        <f t="shared" si="28"/>
        <v>2.5754332665884141E-2</v>
      </c>
      <c r="BJ11" s="13">
        <f t="shared" si="28"/>
        <v>2.4812834224598932E-2</v>
      </c>
      <c r="BK11" s="13">
        <f t="shared" si="28"/>
        <v>2.3771790808240888E-2</v>
      </c>
      <c r="BL11" s="9"/>
      <c r="BN11" s="2" t="s">
        <v>114</v>
      </c>
      <c r="BY11" s="2">
        <v>42</v>
      </c>
      <c r="BZ11" s="2">
        <v>56</v>
      </c>
      <c r="CA11" s="2">
        <v>35</v>
      </c>
      <c r="CB11" s="2">
        <v>30</v>
      </c>
      <c r="CG11" s="2">
        <v>46</v>
      </c>
      <c r="CH11" s="2">
        <v>49</v>
      </c>
      <c r="CI11" s="2">
        <f>42+24</f>
        <v>66</v>
      </c>
      <c r="CJ11" s="2">
        <f>40+24</f>
        <v>64</v>
      </c>
      <c r="CK11" s="2">
        <f>40+18</f>
        <v>58</v>
      </c>
      <c r="CL11" s="2">
        <v>61</v>
      </c>
      <c r="CM11" s="2">
        <f>28+22</f>
        <v>50</v>
      </c>
      <c r="CN11" s="2">
        <v>49</v>
      </c>
      <c r="CO11" s="2">
        <v>42</v>
      </c>
      <c r="CP11" s="2">
        <v>42</v>
      </c>
      <c r="CQ11" s="2">
        <v>89</v>
      </c>
      <c r="CR11" s="2">
        <v>130</v>
      </c>
      <c r="CS11" s="2">
        <f>81+96</f>
        <v>177</v>
      </c>
      <c r="CT11" s="2">
        <v>244</v>
      </c>
      <c r="CU11" s="2">
        <f>143+167</f>
        <v>310</v>
      </c>
      <c r="CV11" s="2">
        <v>353</v>
      </c>
      <c r="CW11" s="2">
        <v>457</v>
      </c>
      <c r="CX11" s="2">
        <v>493</v>
      </c>
      <c r="CY11" s="2">
        <v>499</v>
      </c>
      <c r="CZ11" s="2">
        <v>440</v>
      </c>
      <c r="DA11" s="2">
        <v>445</v>
      </c>
      <c r="DB11" s="2">
        <v>443</v>
      </c>
      <c r="DC11" s="2">
        <v>501</v>
      </c>
      <c r="DD11" s="2">
        <v>505</v>
      </c>
      <c r="DE11" s="2">
        <v>550</v>
      </c>
      <c r="DF11" s="2">
        <v>547</v>
      </c>
      <c r="DG11" s="2">
        <v>568</v>
      </c>
      <c r="DH11" s="2">
        <v>592</v>
      </c>
      <c r="DI11" s="2">
        <v>570</v>
      </c>
      <c r="DJ11" s="2">
        <v>551</v>
      </c>
      <c r="DK11" s="2">
        <v>520</v>
      </c>
      <c r="DL11" s="1">
        <v>522</v>
      </c>
      <c r="DM11" s="1">
        <v>564</v>
      </c>
      <c r="DN11" s="1">
        <v>493</v>
      </c>
      <c r="DO11" s="1">
        <v>460</v>
      </c>
      <c r="DP11" s="1">
        <v>457</v>
      </c>
      <c r="DQ11" s="1">
        <v>341</v>
      </c>
      <c r="DR11" s="1">
        <v>382</v>
      </c>
      <c r="DS11" s="1">
        <v>373</v>
      </c>
      <c r="DT11" s="1">
        <v>348</v>
      </c>
      <c r="DU11" s="1">
        <v>330</v>
      </c>
    </row>
    <row r="12" spans="1:125" ht="13.5" customHeight="1" x14ac:dyDescent="0.2">
      <c r="A12" s="8"/>
      <c r="D12" s="2" t="s">
        <v>54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>
        <f t="shared" si="1"/>
        <v>1.369628488272556E-3</v>
      </c>
      <c r="P12" s="13">
        <f t="shared" si="2"/>
        <v>8.5470085470085479E-3</v>
      </c>
      <c r="Q12" s="13">
        <f t="shared" si="3"/>
        <v>7.0091384970277703E-3</v>
      </c>
      <c r="R12" s="13">
        <f t="shared" si="4"/>
        <v>5.0189310557365498E-3</v>
      </c>
      <c r="S12" s="13"/>
      <c r="T12" s="13"/>
      <c r="U12" s="13"/>
      <c r="V12" s="13"/>
      <c r="W12" s="13">
        <f t="shared" si="5"/>
        <v>6.2090375991721283E-3</v>
      </c>
      <c r="X12" s="13">
        <f t="shared" si="5"/>
        <v>6.2915064662705349E-3</v>
      </c>
      <c r="Y12" s="13">
        <f t="shared" si="5"/>
        <v>8.2738481505515906E-3</v>
      </c>
      <c r="Z12" s="13">
        <f t="shared" si="6"/>
        <v>8.4333687889378509E-3</v>
      </c>
      <c r="AA12" s="13">
        <f t="shared" si="7"/>
        <v>7.8954923916164221E-3</v>
      </c>
      <c r="AB12" s="13">
        <f t="shared" si="8"/>
        <v>9.634437991117184E-3</v>
      </c>
      <c r="AC12" s="13">
        <f t="shared" si="9"/>
        <v>9.0777529272464148E-3</v>
      </c>
      <c r="AD12" s="13">
        <f t="shared" si="10"/>
        <v>9.1279222484896248E-3</v>
      </c>
      <c r="AE12" s="13">
        <f t="shared" si="11"/>
        <v>1.0342687719782114E-2</v>
      </c>
      <c r="AF12" s="13">
        <f t="shared" si="12"/>
        <v>1.0779325120514193E-2</v>
      </c>
      <c r="AG12" s="13">
        <f t="shared" si="13"/>
        <v>1.1227544910179641E-2</v>
      </c>
      <c r="AH12" s="13">
        <f t="shared" si="14"/>
        <v>1.1042460891284344E-2</v>
      </c>
      <c r="AI12" s="13">
        <f t="shared" si="15"/>
        <v>1.0849208911850178E-2</v>
      </c>
      <c r="AJ12" s="13">
        <f t="shared" si="16"/>
        <v>1.0496943927717247E-2</v>
      </c>
      <c r="AK12" s="13">
        <f t="shared" si="17"/>
        <v>1.1873695198329854E-2</v>
      </c>
      <c r="AL12" s="13">
        <f t="shared" si="18"/>
        <v>1.3373453694416584E-2</v>
      </c>
      <c r="AM12" s="13">
        <f t="shared" si="19"/>
        <v>1.3278576317590692E-2</v>
      </c>
      <c r="AN12" s="13">
        <f t="shared" si="20"/>
        <v>1.2141747846957504E-2</v>
      </c>
      <c r="AO12" s="13">
        <f t="shared" si="21"/>
        <v>1.2964618725252267E-2</v>
      </c>
      <c r="AP12" s="13">
        <f t="shared" si="22"/>
        <v>1.3498846832180165E-2</v>
      </c>
      <c r="AQ12" s="13">
        <f t="shared" si="23"/>
        <v>1.7032133498827748E-2</v>
      </c>
      <c r="AR12" s="13">
        <f t="shared" si="24"/>
        <v>1.7015341701534171E-2</v>
      </c>
      <c r="AS12" s="13">
        <f t="shared" si="25"/>
        <v>1.7232820367349834E-2</v>
      </c>
      <c r="AT12" s="13">
        <f t="shared" si="26"/>
        <v>1.7800058122638768E-2</v>
      </c>
      <c r="AU12" s="13">
        <f t="shared" si="27"/>
        <v>1.7479300827966882E-2</v>
      </c>
      <c r="AV12" s="13">
        <f t="shared" si="27"/>
        <v>1.8508655126498002E-2</v>
      </c>
      <c r="AW12" s="13">
        <f t="shared" si="27"/>
        <v>2.1315310631661033E-2</v>
      </c>
      <c r="AX12" s="13">
        <f t="shared" si="27"/>
        <v>2.341351074718526E-2</v>
      </c>
      <c r="AY12" s="13">
        <f t="shared" si="27"/>
        <v>2.3680347226654751E-2</v>
      </c>
      <c r="AZ12" s="13">
        <f t="shared" ref="AZ12:BK19" si="29">DJ12/DJ$20</f>
        <v>2.4082713403101752E-2</v>
      </c>
      <c r="BA12" s="13">
        <f t="shared" si="29"/>
        <v>2.5490680162942845E-2</v>
      </c>
      <c r="BB12" s="13">
        <f t="shared" si="29"/>
        <v>2.6129456732878E-2</v>
      </c>
      <c r="BC12" s="13">
        <f t="shared" si="29"/>
        <v>2.9666482402800811E-2</v>
      </c>
      <c r="BD12" s="13">
        <f t="shared" si="29"/>
        <v>3.2016008004001999E-2</v>
      </c>
      <c r="BE12" s="13">
        <f t="shared" si="29"/>
        <v>3.2166329625884733E-2</v>
      </c>
      <c r="BF12" s="13">
        <f t="shared" si="29"/>
        <v>3.4306569343065696E-2</v>
      </c>
      <c r="BG12" s="13">
        <f t="shared" si="29"/>
        <v>3.4075316359201101E-2</v>
      </c>
      <c r="BH12" s="13">
        <f t="shared" si="29"/>
        <v>3.3993353641650514E-2</v>
      </c>
      <c r="BI12" s="13">
        <f t="shared" si="29"/>
        <v>3.9011254574328524E-2</v>
      </c>
      <c r="BJ12" s="13">
        <f t="shared" si="29"/>
        <v>4.0926916221033866E-2</v>
      </c>
      <c r="BK12" s="13">
        <f t="shared" si="29"/>
        <v>4.6246938481486817E-2</v>
      </c>
      <c r="BL12" s="9"/>
      <c r="BN12" s="2" t="s">
        <v>54</v>
      </c>
      <c r="BY12" s="2">
        <v>16</v>
      </c>
      <c r="BZ12" s="2">
        <v>100</v>
      </c>
      <c r="CA12" s="2">
        <v>79</v>
      </c>
      <c r="CB12" s="2">
        <v>57</v>
      </c>
      <c r="CG12" s="2">
        <v>72</v>
      </c>
      <c r="CH12" s="2">
        <v>72</v>
      </c>
      <c r="CI12" s="2">
        <f>50+52</f>
        <v>102</v>
      </c>
      <c r="CJ12" s="2">
        <f>55+56</f>
        <v>111</v>
      </c>
      <c r="CK12" s="2">
        <f>45+65</f>
        <v>110</v>
      </c>
      <c r="CL12" s="2">
        <v>141</v>
      </c>
      <c r="CM12" s="2">
        <f>56+82</f>
        <v>138</v>
      </c>
      <c r="CN12" s="2">
        <v>139</v>
      </c>
      <c r="CO12" s="2">
        <v>150</v>
      </c>
      <c r="CP12" s="2">
        <v>161</v>
      </c>
      <c r="CQ12" s="2">
        <v>165</v>
      </c>
      <c r="CR12" s="2">
        <v>168</v>
      </c>
      <c r="CS12" s="2">
        <f>74+94</f>
        <v>168</v>
      </c>
      <c r="CT12" s="2">
        <v>158</v>
      </c>
      <c r="CU12" s="2">
        <f>80+102</f>
        <v>182</v>
      </c>
      <c r="CV12" s="2">
        <v>200</v>
      </c>
      <c r="CW12" s="2">
        <v>194</v>
      </c>
      <c r="CX12" s="2">
        <v>172</v>
      </c>
      <c r="CY12" s="2">
        <v>203</v>
      </c>
      <c r="CZ12" s="2">
        <v>199</v>
      </c>
      <c r="DA12" s="2">
        <v>247</v>
      </c>
      <c r="DB12" s="2">
        <v>244</v>
      </c>
      <c r="DC12" s="2">
        <v>243</v>
      </c>
      <c r="DD12" s="2">
        <v>245</v>
      </c>
      <c r="DE12" s="2">
        <v>247</v>
      </c>
      <c r="DF12" s="2">
        <f>269+4+1+4</f>
        <v>278</v>
      </c>
      <c r="DG12" s="2">
        <v>328</v>
      </c>
      <c r="DH12" s="2">
        <v>366</v>
      </c>
      <c r="DI12" s="2">
        <v>371</v>
      </c>
      <c r="DJ12" s="2">
        <v>382</v>
      </c>
      <c r="DK12" s="2">
        <v>413</v>
      </c>
      <c r="DL12" s="1">
        <v>417</v>
      </c>
      <c r="DM12" s="1">
        <v>483</v>
      </c>
      <c r="DN12" s="1">
        <v>512</v>
      </c>
      <c r="DO12" s="1">
        <v>509</v>
      </c>
      <c r="DP12" s="1">
        <v>517</v>
      </c>
      <c r="DQ12" s="1">
        <v>447</v>
      </c>
      <c r="DR12" s="1">
        <v>491</v>
      </c>
      <c r="DS12" s="1">
        <v>565</v>
      </c>
      <c r="DT12" s="1">
        <v>574</v>
      </c>
      <c r="DU12" s="1">
        <v>642</v>
      </c>
    </row>
    <row r="13" spans="1:125" ht="13.5" customHeight="1" x14ac:dyDescent="0.2">
      <c r="A13" s="8"/>
      <c r="D13" s="2" t="s">
        <v>52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>
        <f t="shared" si="1"/>
        <v>3.2528676596473207E-3</v>
      </c>
      <c r="P13" s="13">
        <f t="shared" si="2"/>
        <v>3.5042735042735045E-3</v>
      </c>
      <c r="Q13" s="13">
        <f t="shared" si="3"/>
        <v>4.5248868778280547E-3</v>
      </c>
      <c r="R13" s="13">
        <f t="shared" si="4"/>
        <v>4.4906225235537556E-3</v>
      </c>
      <c r="S13" s="13"/>
      <c r="T13" s="13"/>
      <c r="U13" s="13"/>
      <c r="V13" s="13"/>
      <c r="W13" s="13">
        <f t="shared" si="5"/>
        <v>3.1907554329078992E-3</v>
      </c>
      <c r="X13" s="13">
        <f t="shared" si="5"/>
        <v>1.9224047535826635E-3</v>
      </c>
      <c r="Y13" s="13">
        <f t="shared" si="5"/>
        <v>1.3789746917585984E-3</v>
      </c>
      <c r="Z13" s="13">
        <f t="shared" si="6"/>
        <v>1.975383680291749E-3</v>
      </c>
      <c r="AA13" s="13">
        <f t="shared" si="7"/>
        <v>1.8662072925638817E-3</v>
      </c>
      <c r="AB13" s="13">
        <f t="shared" si="8"/>
        <v>1.7765630338230269E-3</v>
      </c>
      <c r="AC13" s="13">
        <f t="shared" si="9"/>
        <v>1.3813971845809763E-3</v>
      </c>
      <c r="AD13" s="13">
        <f t="shared" si="10"/>
        <v>1.0506960861570791E-3</v>
      </c>
      <c r="AE13" s="13">
        <f t="shared" si="11"/>
        <v>2.0685375439564229E-3</v>
      </c>
      <c r="AF13" s="13">
        <f t="shared" si="12"/>
        <v>1.5399035886448848E-3</v>
      </c>
      <c r="AG13" s="13">
        <f t="shared" si="13"/>
        <v>2.2455089820359281E-3</v>
      </c>
      <c r="AH13" s="13">
        <f t="shared" si="14"/>
        <v>1.7746812146706981E-3</v>
      </c>
      <c r="AI13" s="13">
        <f t="shared" si="15"/>
        <v>1.6790442363577656E-3</v>
      </c>
      <c r="AJ13" s="13">
        <f t="shared" si="16"/>
        <v>1.9930906191868189E-3</v>
      </c>
      <c r="AK13" s="13">
        <f t="shared" si="17"/>
        <v>1.8919624217118998E-3</v>
      </c>
      <c r="AL13" s="13">
        <f t="shared" si="18"/>
        <v>3.0758943497158141E-3</v>
      </c>
      <c r="AM13" s="13">
        <f t="shared" si="19"/>
        <v>3.1485284052019166E-3</v>
      </c>
      <c r="AN13" s="13">
        <f t="shared" si="20"/>
        <v>3.0354369617393759E-3</v>
      </c>
      <c r="AO13" s="13">
        <f t="shared" si="21"/>
        <v>3.1293907267850299E-3</v>
      </c>
      <c r="AP13" s="13">
        <f t="shared" si="22"/>
        <v>3.3238366571699905E-3</v>
      </c>
      <c r="AQ13" s="13">
        <f t="shared" si="23"/>
        <v>2.6892842366570127E-3</v>
      </c>
      <c r="AR13" s="13">
        <f t="shared" si="24"/>
        <v>2.9288702928870294E-3</v>
      </c>
      <c r="AS13" s="13">
        <f t="shared" si="25"/>
        <v>3.0494291185022338E-3</v>
      </c>
      <c r="AT13" s="13">
        <f t="shared" si="26"/>
        <v>3.4873583260680036E-3</v>
      </c>
      <c r="AU13" s="13">
        <f t="shared" si="27"/>
        <v>3.6798528058877645E-3</v>
      </c>
      <c r="AV13" s="13">
        <f t="shared" si="27"/>
        <v>3.4620505992010654E-3</v>
      </c>
      <c r="AW13" s="13">
        <f t="shared" si="27"/>
        <v>3.3792565635560176E-3</v>
      </c>
      <c r="AX13" s="13">
        <f t="shared" si="27"/>
        <v>2.7507676560900715E-3</v>
      </c>
      <c r="AY13" s="13">
        <f t="shared" si="27"/>
        <v>2.7446224548413863E-3</v>
      </c>
      <c r="AZ13" s="13">
        <f t="shared" si="29"/>
        <v>3.7826251418484427E-3</v>
      </c>
      <c r="BA13" s="13">
        <f t="shared" si="29"/>
        <v>3.764967287989137E-3</v>
      </c>
      <c r="BB13" s="13">
        <f t="shared" si="29"/>
        <v>3.7596340622846041E-3</v>
      </c>
      <c r="BC13" s="13">
        <f t="shared" si="29"/>
        <v>3.4395921626435722E-3</v>
      </c>
      <c r="BD13" s="13">
        <f t="shared" si="29"/>
        <v>3.4392196098049026E-3</v>
      </c>
      <c r="BE13" s="13">
        <f t="shared" si="29"/>
        <v>3.6653185035389283E-3</v>
      </c>
      <c r="BF13" s="13">
        <f t="shared" si="29"/>
        <v>3.1187790311877901E-3</v>
      </c>
      <c r="BG13" s="13">
        <f t="shared" si="29"/>
        <v>3.0492453117853331E-3</v>
      </c>
      <c r="BH13" s="13">
        <f t="shared" si="29"/>
        <v>2.9770146773746885E-3</v>
      </c>
      <c r="BI13" s="13">
        <f t="shared" si="29"/>
        <v>3.1761375405648003E-3</v>
      </c>
      <c r="BJ13" s="13">
        <f t="shared" si="29"/>
        <v>3.4224598930481282E-3</v>
      </c>
      <c r="BK13" s="13">
        <f t="shared" si="29"/>
        <v>4.1780723238726411E-3</v>
      </c>
      <c r="BL13" s="9"/>
      <c r="BN13" s="2" t="s">
        <v>52</v>
      </c>
      <c r="BY13" s="2">
        <v>38</v>
      </c>
      <c r="BZ13" s="2">
        <v>41</v>
      </c>
      <c r="CA13" s="2">
        <v>51</v>
      </c>
      <c r="CB13" s="2">
        <v>51</v>
      </c>
      <c r="CG13" s="2">
        <v>37</v>
      </c>
      <c r="CH13" s="2">
        <v>22</v>
      </c>
      <c r="CI13" s="2">
        <f>8+9</f>
        <v>17</v>
      </c>
      <c r="CJ13" s="2">
        <f>13+13</f>
        <v>26</v>
      </c>
      <c r="CK13" s="2">
        <f>15+11</f>
        <v>26</v>
      </c>
      <c r="CL13" s="2">
        <v>26</v>
      </c>
      <c r="CM13" s="2">
        <f>9+12</f>
        <v>21</v>
      </c>
      <c r="CN13" s="2">
        <v>16</v>
      </c>
      <c r="CO13" s="2">
        <v>30</v>
      </c>
      <c r="CP13" s="2">
        <v>23</v>
      </c>
      <c r="CQ13" s="2">
        <v>33</v>
      </c>
      <c r="CR13" s="2">
        <v>27</v>
      </c>
      <c r="CS13" s="2">
        <f>11+15</f>
        <v>26</v>
      </c>
      <c r="CT13" s="2">
        <v>30</v>
      </c>
      <c r="CU13" s="2">
        <f>9+20</f>
        <v>29</v>
      </c>
      <c r="CV13" s="2">
        <v>46</v>
      </c>
      <c r="CW13" s="2">
        <v>46</v>
      </c>
      <c r="CX13" s="2">
        <v>43</v>
      </c>
      <c r="CY13" s="2">
        <v>49</v>
      </c>
      <c r="CZ13" s="2">
        <v>49</v>
      </c>
      <c r="DA13" s="2">
        <v>39</v>
      </c>
      <c r="DB13" s="2">
        <v>42</v>
      </c>
      <c r="DC13" s="2">
        <v>43</v>
      </c>
      <c r="DD13" s="2">
        <v>48</v>
      </c>
      <c r="DE13" s="2">
        <v>52</v>
      </c>
      <c r="DF13" s="2">
        <f>55-2-1</f>
        <v>52</v>
      </c>
      <c r="DG13" s="2">
        <v>52</v>
      </c>
      <c r="DH13" s="2">
        <v>43</v>
      </c>
      <c r="DI13" s="2">
        <v>43</v>
      </c>
      <c r="DJ13" s="2">
        <v>60</v>
      </c>
      <c r="DK13" s="2">
        <v>61</v>
      </c>
      <c r="DL13" s="1">
        <v>60</v>
      </c>
      <c r="DM13" s="1">
        <v>56</v>
      </c>
      <c r="DN13" s="1">
        <v>55</v>
      </c>
      <c r="DO13" s="1">
        <v>58</v>
      </c>
      <c r="DP13" s="1">
        <v>47</v>
      </c>
      <c r="DQ13" s="1">
        <v>40</v>
      </c>
      <c r="DR13" s="1">
        <v>43</v>
      </c>
      <c r="DS13" s="1">
        <v>46</v>
      </c>
      <c r="DT13" s="1">
        <v>48</v>
      </c>
      <c r="DU13" s="1">
        <v>58</v>
      </c>
    </row>
    <row r="14" spans="1:125" ht="13.5" hidden="1" customHeight="1" x14ac:dyDescent="0.2">
      <c r="A14" s="8"/>
      <c r="D14" s="2" t="s">
        <v>85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>
        <f t="shared" si="1"/>
        <v>2.1400445129258687E-3</v>
      </c>
      <c r="P14" s="13">
        <f t="shared" si="2"/>
        <v>6.6666666666666671E-3</v>
      </c>
      <c r="Q14" s="13">
        <f t="shared" si="3"/>
        <v>8.6948806671990064E-3</v>
      </c>
      <c r="R14" s="13">
        <f t="shared" si="4"/>
        <v>8.3648850928942503E-3</v>
      </c>
      <c r="S14" s="13"/>
      <c r="T14" s="13"/>
      <c r="U14" s="13"/>
      <c r="V14" s="13"/>
      <c r="W14" s="13">
        <f t="shared" si="5"/>
        <v>1.1210762331838564E-2</v>
      </c>
      <c r="X14" s="13">
        <f t="shared" si="5"/>
        <v>1.3019923103809857E-2</v>
      </c>
      <c r="Y14" s="13">
        <f t="shared" si="5"/>
        <v>1.7115509409474369E-2</v>
      </c>
      <c r="Z14" s="13">
        <f t="shared" si="6"/>
        <v>2.1273362710834218E-2</v>
      </c>
      <c r="AA14" s="13">
        <f t="shared" si="7"/>
        <v>2.1963824289405683E-2</v>
      </c>
      <c r="AB14" s="13">
        <f t="shared" si="8"/>
        <v>2.459856508370345E-2</v>
      </c>
      <c r="AC14" s="13">
        <f t="shared" si="9"/>
        <v>2.5786080778844887E-2</v>
      </c>
      <c r="AD14" s="13">
        <f t="shared" si="10"/>
        <v>2.6333070659311793E-2</v>
      </c>
      <c r="AE14" s="13">
        <f t="shared" si="11"/>
        <v>2.5718816796524858E-2</v>
      </c>
      <c r="AF14" s="13">
        <f t="shared" si="12"/>
        <v>2.8655597214783075E-2</v>
      </c>
      <c r="AG14" s="13">
        <f t="shared" si="13"/>
        <v>2.8783342406096896E-2</v>
      </c>
      <c r="AH14" s="13">
        <f t="shared" si="14"/>
        <v>2.6357302484553702E-2</v>
      </c>
      <c r="AI14" s="13">
        <f t="shared" si="15"/>
        <v>2.6154342912495965E-2</v>
      </c>
      <c r="AJ14" s="13">
        <f t="shared" si="16"/>
        <v>2.5445123571618388E-2</v>
      </c>
      <c r="AK14" s="13">
        <f t="shared" si="17"/>
        <v>2.7596555323590816E-2</v>
      </c>
      <c r="AL14" s="13">
        <f t="shared" si="18"/>
        <v>2.9154129053828151E-2</v>
      </c>
      <c r="AM14" s="13">
        <f t="shared" si="19"/>
        <v>2.8199863107460643E-2</v>
      </c>
      <c r="AN14" s="13">
        <f t="shared" si="20"/>
        <v>2.9930820273895244E-2</v>
      </c>
      <c r="AO14" s="13">
        <f t="shared" si="21"/>
        <v>2.7078809554221484E-2</v>
      </c>
      <c r="AP14" s="13">
        <f t="shared" si="22"/>
        <v>2.9168362501695834E-2</v>
      </c>
      <c r="AQ14" s="13">
        <f t="shared" si="23"/>
        <v>2.9857950627499654E-2</v>
      </c>
      <c r="AR14" s="13">
        <f t="shared" si="24"/>
        <v>3.1520223152022318E-2</v>
      </c>
      <c r="AS14" s="13">
        <f t="shared" si="25"/>
        <v>3.0636125097510816E-2</v>
      </c>
      <c r="AT14" s="13">
        <f t="shared" si="26"/>
        <v>3.2839290903807036E-2</v>
      </c>
      <c r="AU14" s="13">
        <f t="shared" si="27"/>
        <v>2.9934187247894699E-2</v>
      </c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9"/>
      <c r="BN14" s="2" t="s">
        <v>85</v>
      </c>
      <c r="BY14" s="2">
        <v>25</v>
      </c>
      <c r="BZ14" s="2">
        <v>78</v>
      </c>
      <c r="CA14" s="2">
        <v>98</v>
      </c>
      <c r="CB14" s="2">
        <v>95</v>
      </c>
      <c r="CG14" s="2">
        <v>130</v>
      </c>
      <c r="CH14" s="2">
        <v>149</v>
      </c>
      <c r="CI14" s="2">
        <f>101+110</f>
        <v>211</v>
      </c>
      <c r="CJ14" s="2">
        <f>146+134</f>
        <v>280</v>
      </c>
      <c r="CK14" s="2">
        <f>159+147</f>
        <v>306</v>
      </c>
      <c r="CL14" s="2">
        <v>360</v>
      </c>
      <c r="CM14" s="2">
        <f>196+196</f>
        <v>392</v>
      </c>
      <c r="CN14" s="2">
        <v>401</v>
      </c>
      <c r="CO14" s="2">
        <v>373</v>
      </c>
      <c r="CP14" s="2">
        <v>428</v>
      </c>
      <c r="CQ14" s="2">
        <v>423</v>
      </c>
      <c r="CR14" s="2">
        <v>401</v>
      </c>
      <c r="CS14" s="2">
        <f>188+217</f>
        <v>405</v>
      </c>
      <c r="CT14" s="2">
        <v>383</v>
      </c>
      <c r="CU14" s="2">
        <f>196+227</f>
        <v>423</v>
      </c>
      <c r="CV14" s="2">
        <v>436</v>
      </c>
      <c r="CW14" s="2">
        <v>412</v>
      </c>
      <c r="CX14" s="2">
        <v>424</v>
      </c>
      <c r="CY14" s="2">
        <v>424</v>
      </c>
      <c r="CZ14" s="2">
        <v>430</v>
      </c>
      <c r="DA14" s="2">
        <v>433</v>
      </c>
      <c r="DB14" s="2">
        <v>452</v>
      </c>
      <c r="DC14" s="2">
        <v>432</v>
      </c>
      <c r="DD14" s="2">
        <v>452</v>
      </c>
      <c r="DE14" s="2">
        <v>423</v>
      </c>
    </row>
    <row r="15" spans="1:125" ht="13.5" customHeight="1" x14ac:dyDescent="0.2">
      <c r="A15" s="8"/>
      <c r="D15" s="2" t="s">
        <v>53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>
        <f t="shared" ref="AV15:AV19" si="30">DF15/DF$20</f>
        <v>3.162450066577896E-2</v>
      </c>
      <c r="AW15" s="13">
        <f t="shared" ref="AW15:AW19" si="31">DG15/DG$20</f>
        <v>3.2492851572654018E-2</v>
      </c>
      <c r="AX15" s="13">
        <f t="shared" ref="AX15:AX19" si="32">DH15/DH$20</f>
        <v>3.7615148413510748E-2</v>
      </c>
      <c r="AY15" s="13">
        <f t="shared" ref="AY15:AY19" si="33">DI15/DI$20</f>
        <v>4.1807621114444374E-2</v>
      </c>
      <c r="AZ15" s="13">
        <f t="shared" si="29"/>
        <v>4.2428445341066698E-2</v>
      </c>
      <c r="BA15" s="13">
        <f t="shared" si="29"/>
        <v>4.413035427724972E-2</v>
      </c>
      <c r="BB15" s="13">
        <f t="shared" si="29"/>
        <v>4.4175700231844098E-2</v>
      </c>
      <c r="BC15" s="13">
        <f t="shared" si="29"/>
        <v>4.9935507646950435E-2</v>
      </c>
      <c r="BD15" s="13">
        <f t="shared" si="29"/>
        <v>4.9524762381190593E-2</v>
      </c>
      <c r="BE15" s="13">
        <f t="shared" si="29"/>
        <v>4.8786653185035389E-2</v>
      </c>
      <c r="BF15" s="13">
        <f t="shared" si="29"/>
        <v>4.8440610484406108E-2</v>
      </c>
      <c r="BG15" s="13">
        <f t="shared" si="29"/>
        <v>4.7110840067083395E-2</v>
      </c>
      <c r="BH15" s="13">
        <f t="shared" si="29"/>
        <v>5.4070894489061203E-2</v>
      </c>
      <c r="BI15" s="13">
        <f t="shared" si="29"/>
        <v>5.088724711730995E-2</v>
      </c>
      <c r="BJ15" s="13">
        <f t="shared" si="29"/>
        <v>5.397504456327986E-2</v>
      </c>
      <c r="BK15" s="13">
        <f t="shared" si="29"/>
        <v>5.3450511453681022E-2</v>
      </c>
      <c r="BL15" s="9"/>
      <c r="BN15" s="2" t="s">
        <v>53</v>
      </c>
      <c r="DF15" s="2">
        <f>481-6</f>
        <v>475</v>
      </c>
      <c r="DG15" s="2">
        <v>500</v>
      </c>
      <c r="DH15" s="2">
        <v>588</v>
      </c>
      <c r="DI15" s="2">
        <v>655</v>
      </c>
      <c r="DJ15" s="2">
        <v>673</v>
      </c>
      <c r="DK15" s="2">
        <v>715</v>
      </c>
      <c r="DL15" s="1">
        <v>705</v>
      </c>
      <c r="DM15" s="1">
        <v>813</v>
      </c>
      <c r="DN15" s="1">
        <v>792</v>
      </c>
      <c r="DO15" s="1">
        <v>772</v>
      </c>
      <c r="DP15" s="1">
        <v>730</v>
      </c>
      <c r="DQ15" s="1">
        <v>618</v>
      </c>
      <c r="DR15" s="1">
        <v>781</v>
      </c>
      <c r="DS15" s="1">
        <v>737</v>
      </c>
      <c r="DT15" s="1">
        <v>757</v>
      </c>
      <c r="DU15" s="1">
        <v>742</v>
      </c>
    </row>
    <row r="16" spans="1:125" ht="13.5" customHeight="1" x14ac:dyDescent="0.2">
      <c r="A16" s="8"/>
      <c r="D16" s="2" t="s">
        <v>65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>
        <f t="shared" ref="O16" si="34">BY16/BY$20</f>
        <v>0.12164013011470638</v>
      </c>
      <c r="P16" s="13">
        <f t="shared" ref="P16" si="35">BZ16/BZ$20</f>
        <v>0.12615384615384614</v>
      </c>
      <c r="Q16" s="13">
        <f t="shared" ref="Q16" si="36">CA16/CA$20</f>
        <v>0.11667110283027238</v>
      </c>
      <c r="R16" s="13">
        <f t="shared" ref="R16" si="37">CB16/CB$20</f>
        <v>0.12247952804437792</v>
      </c>
      <c r="S16" s="13"/>
      <c r="T16" s="13"/>
      <c r="U16" s="13"/>
      <c r="V16" s="13"/>
      <c r="W16" s="13">
        <f t="shared" ref="W16:Y16" si="38">CG16/CG$20</f>
        <v>9.5636426353915144E-2</v>
      </c>
      <c r="X16" s="13">
        <f t="shared" si="38"/>
        <v>8.939182104159385E-2</v>
      </c>
      <c r="Y16" s="13">
        <f t="shared" si="38"/>
        <v>8.8254380272550295E-2</v>
      </c>
      <c r="Z16" s="13">
        <f t="shared" ref="Z16" si="39">CJ16/CJ$20</f>
        <v>0.10173225953502507</v>
      </c>
      <c r="AA16" s="13">
        <f t="shared" ref="AA16" si="40">CK16/CK$20</f>
        <v>9.4674131495836922E-2</v>
      </c>
      <c r="AB16" s="13">
        <f t="shared" ref="AB16" si="41">CL16/CL$20</f>
        <v>9.3884523402801498E-2</v>
      </c>
      <c r="AC16" s="13">
        <f t="shared" ref="AC16" si="42">CM16/CM$20</f>
        <v>9.7618734377055649E-2</v>
      </c>
      <c r="AD16" s="13">
        <f t="shared" ref="AD16" si="43">CN16/CN$20</f>
        <v>0.10093249277646441</v>
      </c>
      <c r="AE16" s="13">
        <f t="shared" ref="AE16" si="44">CO16/CO$20</f>
        <v>0.10053092463628215</v>
      </c>
      <c r="AF16" s="13">
        <f t="shared" ref="AF16" si="45">CP16/CP$20</f>
        <v>0.12138457418318158</v>
      </c>
      <c r="AG16" s="13">
        <f t="shared" ref="AG16" si="46">CQ16/CQ$20</f>
        <v>0.1279940119760479</v>
      </c>
      <c r="AH16" s="13">
        <f t="shared" ref="AH16" si="47">CR16/CR$20</f>
        <v>0.12153279873800447</v>
      </c>
      <c r="AI16" s="13">
        <f t="shared" ref="AI16" si="48">CS16/CS$20</f>
        <v>0.12392638036809817</v>
      </c>
      <c r="AJ16" s="13">
        <f t="shared" ref="AJ16" si="49">CT16/CT$20</f>
        <v>0.12157852777039596</v>
      </c>
      <c r="AK16" s="13">
        <f t="shared" ref="AK16" si="50">CU16/CU$20</f>
        <v>0.12323851774530271</v>
      </c>
      <c r="AL16" s="13">
        <f t="shared" ref="AL16" si="51">CV16/CV$20</f>
        <v>0.11842193246405884</v>
      </c>
      <c r="AM16" s="13">
        <f t="shared" ref="AM16" si="52">CW16/CW$20</f>
        <v>0.12046543463381246</v>
      </c>
      <c r="AN16" s="13">
        <f t="shared" ref="AN16" si="53">CX16/CX$20</f>
        <v>0.11809967527883665</v>
      </c>
      <c r="AO16" s="13">
        <f t="shared" ref="AO16" si="54">CY16/CY$20</f>
        <v>0.11815046621535318</v>
      </c>
      <c r="AP16" s="13">
        <f t="shared" ref="AP16" si="55">CZ16/CZ$20</f>
        <v>0.11728395061728394</v>
      </c>
      <c r="AQ16" s="13">
        <f t="shared" ref="AQ16" si="56">DA16/DA$20</f>
        <v>0.13060267549303545</v>
      </c>
      <c r="AR16" s="13">
        <f t="shared" ref="AR16" si="57">DB16/DB$20</f>
        <v>0.14274755927475594</v>
      </c>
      <c r="AS16" s="13">
        <f t="shared" ref="AS16" si="58">DC16/DC$20</f>
        <v>0.1444578398695128</v>
      </c>
      <c r="AT16" s="13">
        <f t="shared" ref="AT16" si="59">DD16/DD$20</f>
        <v>0.15780296425457715</v>
      </c>
      <c r="AU16" s="13">
        <f t="shared" si="27"/>
        <v>0.15568608024909772</v>
      </c>
      <c r="AV16" s="13">
        <f t="shared" si="30"/>
        <v>0.16617842876165112</v>
      </c>
      <c r="AW16" s="13">
        <f t="shared" si="31"/>
        <v>0.16376397192617625</v>
      </c>
      <c r="AX16" s="13">
        <f t="shared" si="32"/>
        <v>0.16664534288638691</v>
      </c>
      <c r="AY16" s="13">
        <f t="shared" si="33"/>
        <v>0.1582945043722474</v>
      </c>
      <c r="AZ16" s="13">
        <f t="shared" si="29"/>
        <v>0.15180935569285084</v>
      </c>
      <c r="BA16" s="13">
        <f t="shared" si="29"/>
        <v>0.15195654857425009</v>
      </c>
      <c r="BB16" s="13">
        <f t="shared" si="29"/>
        <v>0.14411930572090983</v>
      </c>
      <c r="BC16" s="13">
        <f t="shared" si="29"/>
        <v>0.15029789324980039</v>
      </c>
      <c r="BD16" s="13">
        <f t="shared" si="29"/>
        <v>0.1448224112056028</v>
      </c>
      <c r="BE16" s="13">
        <f t="shared" si="29"/>
        <v>0.14212588473205257</v>
      </c>
      <c r="BF16" s="13">
        <f t="shared" si="29"/>
        <v>0.14260119442601193</v>
      </c>
      <c r="BG16" s="13">
        <f t="shared" si="29"/>
        <v>0.1452203079737765</v>
      </c>
      <c r="BH16" s="13">
        <f t="shared" si="29"/>
        <v>0.13936582664081973</v>
      </c>
      <c r="BI16" s="13">
        <f t="shared" si="29"/>
        <v>0.14430711869087895</v>
      </c>
      <c r="BJ16" s="13">
        <f t="shared" si="29"/>
        <v>0.14573975044563281</v>
      </c>
      <c r="BK16" s="13">
        <f t="shared" si="29"/>
        <v>0.14781731738942516</v>
      </c>
      <c r="BL16" s="9"/>
      <c r="BN16" s="2" t="s">
        <v>65</v>
      </c>
      <c r="BY16" s="2">
        <v>1421</v>
      </c>
      <c r="BZ16" s="2">
        <v>1476</v>
      </c>
      <c r="CA16" s="2">
        <v>1315</v>
      </c>
      <c r="CB16" s="2">
        <v>1391</v>
      </c>
      <c r="CG16" s="2">
        <v>1109</v>
      </c>
      <c r="CH16" s="2">
        <v>1023</v>
      </c>
      <c r="CI16" s="2">
        <f>366+722</f>
        <v>1088</v>
      </c>
      <c r="CJ16" s="2">
        <f>436+903</f>
        <v>1339</v>
      </c>
      <c r="CK16" s="2">
        <f>442+877</f>
        <v>1319</v>
      </c>
      <c r="CL16" s="2">
        <v>1374</v>
      </c>
      <c r="CM16" s="2">
        <f>494+990</f>
        <v>1484</v>
      </c>
      <c r="CN16" s="2">
        <v>1537</v>
      </c>
      <c r="CO16" s="2">
        <v>1458</v>
      </c>
      <c r="CP16" s="2">
        <v>1813</v>
      </c>
      <c r="CQ16" s="2">
        <v>1881</v>
      </c>
      <c r="CR16" s="2">
        <v>1849</v>
      </c>
      <c r="CS16" s="2">
        <f>556+1363</f>
        <v>1919</v>
      </c>
      <c r="CT16" s="2">
        <v>1830</v>
      </c>
      <c r="CU16" s="2">
        <f>499+1390</f>
        <v>1889</v>
      </c>
      <c r="CV16" s="2">
        <v>1771</v>
      </c>
      <c r="CW16" s="2">
        <v>1760</v>
      </c>
      <c r="CX16" s="2">
        <v>1673</v>
      </c>
      <c r="CY16" s="2">
        <v>1850</v>
      </c>
      <c r="CZ16" s="2">
        <v>1729</v>
      </c>
      <c r="DA16" s="2">
        <v>1894</v>
      </c>
      <c r="DB16" s="2">
        <v>2047</v>
      </c>
      <c r="DC16" s="2">
        <v>2037</v>
      </c>
      <c r="DD16" s="2">
        <v>2172</v>
      </c>
      <c r="DE16" s="2">
        <v>2200</v>
      </c>
      <c r="DF16" s="2">
        <f>2506-7-4+1</f>
        <v>2496</v>
      </c>
      <c r="DG16" s="2">
        <v>2520</v>
      </c>
      <c r="DH16" s="2">
        <v>2605</v>
      </c>
      <c r="DI16" s="2">
        <v>2480</v>
      </c>
      <c r="DJ16" s="2">
        <v>2408</v>
      </c>
      <c r="DK16" s="2">
        <v>2462</v>
      </c>
      <c r="DL16" s="1">
        <v>2300</v>
      </c>
      <c r="DM16" s="1">
        <v>2447</v>
      </c>
      <c r="DN16" s="1">
        <v>2316</v>
      </c>
      <c r="DO16" s="1">
        <v>2249</v>
      </c>
      <c r="DP16" s="1">
        <v>2149</v>
      </c>
      <c r="DQ16" s="1">
        <v>1905</v>
      </c>
      <c r="DR16" s="1">
        <v>2013</v>
      </c>
      <c r="DS16" s="1">
        <v>2090</v>
      </c>
      <c r="DT16" s="1">
        <v>2044</v>
      </c>
      <c r="DU16" s="1">
        <v>2052</v>
      </c>
    </row>
    <row r="17" spans="1:125" ht="13.5" customHeight="1" x14ac:dyDescent="0.2">
      <c r="A17" s="8"/>
      <c r="D17" s="2" t="s">
        <v>64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>
        <f t="shared" si="30"/>
        <v>6.657789613848202E-5</v>
      </c>
      <c r="AW17" s="13">
        <f t="shared" si="31"/>
        <v>2.599428125812321E-4</v>
      </c>
      <c r="AX17" s="13">
        <f t="shared" si="32"/>
        <v>5.1177072671443195E-4</v>
      </c>
      <c r="AY17" s="13">
        <f t="shared" si="33"/>
        <v>6.3828429182357824E-4</v>
      </c>
      <c r="AZ17" s="13">
        <f t="shared" si="29"/>
        <v>1.1978312949186736E-3</v>
      </c>
      <c r="BA17" s="13">
        <f t="shared" si="29"/>
        <v>1.11097395383286E-3</v>
      </c>
      <c r="BB17" s="13">
        <f t="shared" si="29"/>
        <v>1.1905507863901247E-3</v>
      </c>
      <c r="BC17" s="13">
        <f t="shared" si="29"/>
        <v>1.4741109268472453E-3</v>
      </c>
      <c r="BD17" s="13">
        <f t="shared" si="29"/>
        <v>8.7543771885942973E-4</v>
      </c>
      <c r="BE17" s="13">
        <f t="shared" si="29"/>
        <v>5.6875631951466127E-4</v>
      </c>
      <c r="BF17" s="13">
        <f t="shared" si="29"/>
        <v>2.6542800265428001E-4</v>
      </c>
      <c r="BG17" s="13">
        <f t="shared" si="29"/>
        <v>3.8115566397316664E-4</v>
      </c>
      <c r="BH17" s="13">
        <f t="shared" si="29"/>
        <v>2.7693159789531985E-4</v>
      </c>
      <c r="BI17" s="13">
        <f t="shared" si="29"/>
        <v>1.3809293654629565E-4</v>
      </c>
      <c r="BJ17" s="13">
        <f t="shared" si="29"/>
        <v>2.8520499108734403E-4</v>
      </c>
      <c r="BK17" s="13">
        <f t="shared" si="29"/>
        <v>2.8814291888776836E-4</v>
      </c>
      <c r="BL17" s="9"/>
      <c r="BN17" s="2" t="s">
        <v>64</v>
      </c>
      <c r="DF17" s="2">
        <f>0+1</f>
        <v>1</v>
      </c>
      <c r="DG17" s="2">
        <v>4</v>
      </c>
      <c r="DH17" s="2">
        <v>8</v>
      </c>
      <c r="DI17" s="2">
        <v>10</v>
      </c>
      <c r="DJ17" s="2">
        <v>19</v>
      </c>
      <c r="DK17" s="2">
        <v>18</v>
      </c>
      <c r="DL17" s="1">
        <v>19</v>
      </c>
      <c r="DM17" s="1">
        <v>24</v>
      </c>
      <c r="DN17" s="1">
        <v>14</v>
      </c>
      <c r="DO17" s="1">
        <v>9</v>
      </c>
      <c r="DP17" s="1">
        <v>4</v>
      </c>
      <c r="DQ17" s="1">
        <v>5</v>
      </c>
      <c r="DR17" s="1">
        <v>4</v>
      </c>
      <c r="DS17" s="1">
        <v>2</v>
      </c>
      <c r="DT17" s="1">
        <v>4</v>
      </c>
      <c r="DU17" s="1">
        <v>4</v>
      </c>
    </row>
    <row r="18" spans="1:125" ht="13.5" customHeight="1" x14ac:dyDescent="0.2">
      <c r="A18" s="8"/>
      <c r="D18" s="2" t="s">
        <v>55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>
        <f t="shared" ref="O18" si="60">BY18/BY$20</f>
        <v>0.86800205444273237</v>
      </c>
      <c r="P18" s="13">
        <f t="shared" ref="P18" si="61">BZ18/BZ$20</f>
        <v>0.8503418803418803</v>
      </c>
      <c r="Q18" s="13">
        <f t="shared" ref="Q18" si="62">CA18/CA$20</f>
        <v>0.85999467660367312</v>
      </c>
      <c r="R18" s="13">
        <f t="shared" ref="R18" si="63">CB18/CB$20</f>
        <v>0.8570044906225236</v>
      </c>
      <c r="S18" s="13"/>
      <c r="T18" s="13"/>
      <c r="U18" s="13"/>
      <c r="V18" s="13"/>
      <c r="W18" s="13">
        <f t="shared" ref="W18:AE18" si="64">CG18/CG$20</f>
        <v>0.87978613314936183</v>
      </c>
      <c r="X18" s="13">
        <f t="shared" si="64"/>
        <v>0.88509262495630903</v>
      </c>
      <c r="Y18" s="13">
        <f t="shared" si="64"/>
        <v>0.87962362102530822</v>
      </c>
      <c r="Z18" s="13">
        <f t="shared" si="64"/>
        <v>0.86172314237957759</v>
      </c>
      <c r="AA18" s="13">
        <f t="shared" si="64"/>
        <v>0.86943726672408839</v>
      </c>
      <c r="AB18" s="13">
        <f t="shared" si="64"/>
        <v>0.86593782029381616</v>
      </c>
      <c r="AC18" s="13">
        <f t="shared" si="64"/>
        <v>0.86284699381660313</v>
      </c>
      <c r="AD18" s="13">
        <f t="shared" si="64"/>
        <v>0.859338061465721</v>
      </c>
      <c r="AE18" s="13">
        <f t="shared" si="64"/>
        <v>0.85844308074191544</v>
      </c>
      <c r="AF18" s="13">
        <f t="shared" ref="AF18:AO18" si="65">CP18/CP$20</f>
        <v>0.83482860203535081</v>
      </c>
      <c r="AG18" s="13">
        <f t="shared" si="65"/>
        <v>0.82369352204681545</v>
      </c>
      <c r="AH18" s="13">
        <f t="shared" si="65"/>
        <v>0.83074799526751675</v>
      </c>
      <c r="AI18" s="13">
        <f t="shared" si="65"/>
        <v>0.82596060703907004</v>
      </c>
      <c r="AJ18" s="13">
        <f t="shared" si="65"/>
        <v>0.82427584374169549</v>
      </c>
      <c r="AK18" s="13">
        <f t="shared" si="65"/>
        <v>0.81517484342379953</v>
      </c>
      <c r="AL18" s="13">
        <f t="shared" si="65"/>
        <v>0.81237044466733532</v>
      </c>
      <c r="AM18" s="13">
        <f t="shared" si="65"/>
        <v>0.80362765229295008</v>
      </c>
      <c r="AN18" s="13">
        <f t="shared" si="65"/>
        <v>0.801990681914443</v>
      </c>
      <c r="AO18" s="13">
        <f t="shared" si="65"/>
        <v>0.80680802145867925</v>
      </c>
      <c r="AP18" s="13">
        <f t="shared" ref="AP18:AT18" si="66">CZ18/CZ$20</f>
        <v>0.80687830687830686</v>
      </c>
      <c r="AQ18" s="13">
        <f t="shared" si="66"/>
        <v>0.78913253344366296</v>
      </c>
      <c r="AR18" s="13">
        <f t="shared" si="66"/>
        <v>0.77489539748953973</v>
      </c>
      <c r="AS18" s="13">
        <f t="shared" si="66"/>
        <v>0.76909439046876105</v>
      </c>
      <c r="AT18" s="13">
        <f t="shared" si="66"/>
        <v>0.7513804126707353</v>
      </c>
      <c r="AU18" s="13">
        <f>DE18/DE$20</f>
        <v>0.75429905880687853</v>
      </c>
      <c r="AV18" s="13">
        <f t="shared" si="30"/>
        <v>0.74187749667110514</v>
      </c>
      <c r="AW18" s="13">
        <f t="shared" si="31"/>
        <v>0.7368079022615025</v>
      </c>
      <c r="AX18" s="13">
        <f t="shared" si="32"/>
        <v>0.7226202661207779</v>
      </c>
      <c r="AY18" s="13">
        <f t="shared" si="33"/>
        <v>0.72579306823259082</v>
      </c>
      <c r="AZ18" s="13">
        <f t="shared" si="29"/>
        <v>0.73074013365275503</v>
      </c>
      <c r="BA18" s="13">
        <f t="shared" si="29"/>
        <v>0.72830514751265274</v>
      </c>
      <c r="BB18" s="13">
        <f t="shared" si="29"/>
        <v>0.73074754057271762</v>
      </c>
      <c r="BC18" s="13">
        <f t="shared" si="29"/>
        <v>0.71322400343959214</v>
      </c>
      <c r="BD18" s="13">
        <f t="shared" si="29"/>
        <v>0.71973486743371684</v>
      </c>
      <c r="BE18" s="13">
        <f t="shared" si="29"/>
        <v>0.72257330637007078</v>
      </c>
      <c r="BF18" s="13">
        <f t="shared" si="29"/>
        <v>0.7199734571997346</v>
      </c>
      <c r="BG18" s="13">
        <f>DQ18/DQ$20</f>
        <v>0.72129897850282054</v>
      </c>
      <c r="BH18" s="13">
        <f>DR18/DR$20</f>
        <v>0.7223760731099419</v>
      </c>
      <c r="BI18" s="13">
        <f>DS18/DS$20</f>
        <v>0.71539045777808463</v>
      </c>
      <c r="BJ18" s="13">
        <f>DT18/DT$20</f>
        <v>0.71094474153297682</v>
      </c>
      <c r="BK18" s="13">
        <f>DU18/DU$20</f>
        <v>0.70393315084281805</v>
      </c>
      <c r="BL18" s="9"/>
      <c r="BN18" s="2" t="s">
        <v>55</v>
      </c>
      <c r="BY18" s="2">
        <v>10140</v>
      </c>
      <c r="BZ18" s="2">
        <v>9949</v>
      </c>
      <c r="CA18" s="2">
        <v>9693</v>
      </c>
      <c r="CB18" s="2">
        <v>9733</v>
      </c>
      <c r="CG18" s="2">
        <v>10202</v>
      </c>
      <c r="CH18" s="2">
        <v>10129</v>
      </c>
      <c r="CI18" s="2">
        <f>4905+5939</f>
        <v>10844</v>
      </c>
      <c r="CJ18" s="2">
        <f>4979+6363</f>
        <v>11342</v>
      </c>
      <c r="CK18" s="2">
        <f>5311+6802</f>
        <v>12113</v>
      </c>
      <c r="CL18" s="2">
        <v>12673</v>
      </c>
      <c r="CM18" s="2">
        <v>13117</v>
      </c>
      <c r="CN18" s="2">
        <v>13086</v>
      </c>
      <c r="CO18" s="2">
        <v>12450</v>
      </c>
      <c r="CP18" s="2">
        <v>12469</v>
      </c>
      <c r="CQ18" s="2">
        <v>12105</v>
      </c>
      <c r="CR18" s="2">
        <v>12639</v>
      </c>
      <c r="CS18" s="2">
        <f>4856+7934</f>
        <v>12790</v>
      </c>
      <c r="CT18" s="2">
        <v>12407</v>
      </c>
      <c r="CU18" s="2">
        <f>4951+7544</f>
        <v>12495</v>
      </c>
      <c r="CV18" s="2">
        <v>12149</v>
      </c>
      <c r="CW18" s="2">
        <v>11741</v>
      </c>
      <c r="CX18" s="2">
        <v>11361</v>
      </c>
      <c r="CY18" s="2">
        <v>12633</v>
      </c>
      <c r="CZ18" s="2">
        <v>11895</v>
      </c>
      <c r="DA18" s="2">
        <v>11444</v>
      </c>
      <c r="DB18" s="2">
        <v>11112</v>
      </c>
      <c r="DC18" s="2">
        <v>10845</v>
      </c>
      <c r="DD18" s="2">
        <v>10342</v>
      </c>
      <c r="DE18" s="2">
        <v>10659</v>
      </c>
      <c r="DF18" s="2">
        <f>11149-13-4-1+12</f>
        <v>11143</v>
      </c>
      <c r="DG18" s="2">
        <v>11338</v>
      </c>
      <c r="DH18" s="2">
        <v>11296</v>
      </c>
      <c r="DI18" s="2">
        <v>11371</v>
      </c>
      <c r="DJ18" s="2">
        <v>11591</v>
      </c>
      <c r="DK18" s="2">
        <v>11800</v>
      </c>
      <c r="DL18" s="1">
        <v>11662</v>
      </c>
      <c r="DM18" s="1">
        <v>11612</v>
      </c>
      <c r="DN18" s="1">
        <v>11510</v>
      </c>
      <c r="DO18" s="1">
        <v>11434</v>
      </c>
      <c r="DP18" s="1">
        <v>10850</v>
      </c>
      <c r="DQ18" s="1">
        <v>9462</v>
      </c>
      <c r="DR18" s="1">
        <v>10434</v>
      </c>
      <c r="DS18" s="1">
        <v>10361</v>
      </c>
      <c r="DT18" s="1">
        <v>9971</v>
      </c>
      <c r="DU18" s="1">
        <v>9772</v>
      </c>
    </row>
    <row r="19" spans="1:125" ht="13.5" customHeight="1" x14ac:dyDescent="0.2">
      <c r="A19" s="8"/>
      <c r="D19" s="2" t="s">
        <v>66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>
        <f t="shared" si="30"/>
        <v>1.8641810918774966E-3</v>
      </c>
      <c r="AW19" s="13">
        <f t="shared" si="31"/>
        <v>5.0688848453340268E-3</v>
      </c>
      <c r="AX19" s="13">
        <f t="shared" si="32"/>
        <v>8.5721596724667344E-3</v>
      </c>
      <c r="AY19" s="13">
        <f t="shared" si="33"/>
        <v>1.0659347673453756E-2</v>
      </c>
      <c r="AZ19" s="13">
        <f t="shared" si="29"/>
        <v>1.1221787920817046E-2</v>
      </c>
      <c r="BA19" s="13">
        <f t="shared" si="29"/>
        <v>1.3146525120355511E-2</v>
      </c>
      <c r="BB19" s="13">
        <f t="shared" si="29"/>
        <v>1.7168995551099693E-2</v>
      </c>
      <c r="BC19" s="13">
        <f t="shared" si="29"/>
        <v>1.7320803390455133E-2</v>
      </c>
      <c r="BD19" s="13">
        <f t="shared" si="29"/>
        <v>1.8759379689844924E-2</v>
      </c>
      <c r="BE19" s="13">
        <f t="shared" si="29"/>
        <v>2.1043983822042468E-2</v>
      </c>
      <c r="BF19" s="13">
        <f t="shared" si="29"/>
        <v>2.0968812209688121E-2</v>
      </c>
      <c r="BG19" s="13">
        <f t="shared" si="29"/>
        <v>2.2869339838389999E-2</v>
      </c>
      <c r="BH19" s="13">
        <f t="shared" si="29"/>
        <v>2.0492938244253668E-2</v>
      </c>
      <c r="BI19" s="13">
        <f t="shared" si="29"/>
        <v>2.1335358696402677E-2</v>
      </c>
      <c r="BJ19" s="13">
        <f t="shared" si="29"/>
        <v>1.9893048128342247E-2</v>
      </c>
      <c r="BK19" s="13">
        <f t="shared" si="29"/>
        <v>2.0314075781587667E-2</v>
      </c>
      <c r="BL19" s="9"/>
      <c r="BN19" s="2" t="s">
        <v>66</v>
      </c>
      <c r="DF19" s="2">
        <f>0+7+2+13+6</f>
        <v>28</v>
      </c>
      <c r="DG19" s="2">
        <v>78</v>
      </c>
      <c r="DH19" s="2">
        <v>134</v>
      </c>
      <c r="DI19" s="2">
        <v>167</v>
      </c>
      <c r="DJ19" s="2">
        <v>178</v>
      </c>
      <c r="DK19" s="2">
        <v>213</v>
      </c>
      <c r="DL19" s="1">
        <v>274</v>
      </c>
      <c r="DM19" s="1">
        <v>282</v>
      </c>
      <c r="DN19" s="1">
        <v>300</v>
      </c>
      <c r="DO19" s="1">
        <v>333</v>
      </c>
      <c r="DP19" s="1">
        <v>316</v>
      </c>
      <c r="DQ19" s="1">
        <v>300</v>
      </c>
      <c r="DR19" s="1">
        <v>296</v>
      </c>
      <c r="DS19" s="1">
        <v>309</v>
      </c>
      <c r="DT19" s="1">
        <v>279</v>
      </c>
      <c r="DU19" s="1">
        <v>282</v>
      </c>
    </row>
    <row r="20" spans="1:125" ht="13.5" customHeight="1" x14ac:dyDescent="0.2">
      <c r="A20" s="8"/>
      <c r="C20" s="3" t="s">
        <v>57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9"/>
      <c r="BN20" s="20" t="s">
        <v>56</v>
      </c>
      <c r="BY20" s="2">
        <f t="shared" ref="BY20" si="67">SUM(BY11:BY19)</f>
        <v>11682</v>
      </c>
      <c r="BZ20" s="2">
        <f t="shared" ref="BZ20" si="68">SUM(BZ11:BZ19)</f>
        <v>11700</v>
      </c>
      <c r="CA20" s="2">
        <f t="shared" ref="CA20" si="69">SUM(CA11:CA19)</f>
        <v>11271</v>
      </c>
      <c r="CB20" s="2">
        <f t="shared" ref="CB20" si="70">SUM(CB11:CB19)</f>
        <v>11357</v>
      </c>
      <c r="CG20" s="2">
        <f t="shared" ref="CG20:CH20" si="71">SUM(CG11:CG19)</f>
        <v>11596</v>
      </c>
      <c r="CH20" s="2">
        <f t="shared" si="71"/>
        <v>11444</v>
      </c>
      <c r="CI20" s="2">
        <f t="shared" ref="CI20" si="72">SUM(CI11:CI19)</f>
        <v>12328</v>
      </c>
      <c r="CJ20" s="2">
        <f t="shared" ref="CJ20" si="73">SUM(CJ11:CJ19)</f>
        <v>13162</v>
      </c>
      <c r="CK20" s="2">
        <f t="shared" ref="CK20" si="74">SUM(CK11:CK19)</f>
        <v>13932</v>
      </c>
      <c r="CL20" s="2">
        <f t="shared" ref="CL20" si="75">SUM(CL11:CL19)</f>
        <v>14635</v>
      </c>
      <c r="CM20" s="2">
        <f t="shared" ref="CM20" si="76">SUM(CM11:CM19)</f>
        <v>15202</v>
      </c>
      <c r="CN20" s="2">
        <f t="shared" ref="CN20" si="77">SUM(CN11:CN19)</f>
        <v>15228</v>
      </c>
      <c r="CO20" s="2">
        <f t="shared" ref="CO20" si="78">SUM(CO11:CO19)</f>
        <v>14503</v>
      </c>
      <c r="CP20" s="2">
        <f t="shared" ref="CP20" si="79">SUM(CP11:CP19)</f>
        <v>14936</v>
      </c>
      <c r="CQ20" s="2">
        <f t="shared" ref="CQ20" si="80">SUM(CQ11:CQ19)</f>
        <v>14696</v>
      </c>
      <c r="CR20" s="2">
        <f t="shared" ref="CR20" si="81">SUM(CR11:CR19)</f>
        <v>15214</v>
      </c>
      <c r="CS20" s="2">
        <f t="shared" ref="CS20" si="82">SUM(CS11:CS19)</f>
        <v>15485</v>
      </c>
      <c r="CT20" s="2">
        <f t="shared" ref="CT20" si="83">SUM(CT11:CT19)</f>
        <v>15052</v>
      </c>
      <c r="CU20" s="2">
        <f t="shared" ref="CU20" si="84">SUM(CU11:CU19)</f>
        <v>15328</v>
      </c>
      <c r="CV20" s="2">
        <f t="shared" ref="CV20" si="85">SUM(CV11:CV19)</f>
        <v>14955</v>
      </c>
      <c r="CW20" s="2">
        <f t="shared" ref="CW20" si="86">SUM(CW11:CW19)</f>
        <v>14610</v>
      </c>
      <c r="CX20" s="2">
        <f t="shared" ref="CX20" si="87">SUM(CX11:CX19)</f>
        <v>14166</v>
      </c>
      <c r="CY20" s="2">
        <f t="shared" ref="CY20" si="88">SUM(CY11:CY19)</f>
        <v>15658</v>
      </c>
      <c r="CZ20" s="2">
        <f t="shared" ref="CZ20" si="89">SUM(CZ11:CZ19)</f>
        <v>14742</v>
      </c>
      <c r="DA20" s="2">
        <f t="shared" ref="DA20" si="90">SUM(DA11:DA19)</f>
        <v>14502</v>
      </c>
      <c r="DB20" s="2">
        <f t="shared" ref="DB20" si="91">SUM(DB11:DB19)</f>
        <v>14340</v>
      </c>
      <c r="DC20" s="2">
        <f t="shared" ref="DC20" si="92">SUM(DC11:DC19)</f>
        <v>14101</v>
      </c>
      <c r="DD20" s="2">
        <f t="shared" ref="DD20" si="93">SUM(DD11:DD19)</f>
        <v>13764</v>
      </c>
      <c r="DE20" s="2">
        <f t="shared" ref="DE20" si="94">SUM(DE11:DE19)</f>
        <v>14131</v>
      </c>
      <c r="DF20" s="2">
        <f t="shared" ref="DF20:DI20" si="95">SUM(DF11:DF19)</f>
        <v>15020</v>
      </c>
      <c r="DG20" s="2">
        <f t="shared" si="95"/>
        <v>15388</v>
      </c>
      <c r="DH20" s="2">
        <f t="shared" si="95"/>
        <v>15632</v>
      </c>
      <c r="DI20" s="2">
        <f t="shared" si="95"/>
        <v>15667</v>
      </c>
      <c r="DJ20" s="2">
        <f t="shared" ref="DJ20:DO20" si="96">SUM(DJ11:DJ19)</f>
        <v>15862</v>
      </c>
      <c r="DK20" s="2">
        <f t="shared" si="96"/>
        <v>16202</v>
      </c>
      <c r="DL20" s="2">
        <f t="shared" si="96"/>
        <v>15959</v>
      </c>
      <c r="DM20" s="2">
        <f t="shared" si="96"/>
        <v>16281</v>
      </c>
      <c r="DN20" s="2">
        <f t="shared" si="96"/>
        <v>15992</v>
      </c>
      <c r="DO20" s="2">
        <f t="shared" si="96"/>
        <v>15824</v>
      </c>
      <c r="DP20" s="2">
        <f t="shared" ref="DP20:DQ20" si="97">SUM(DP11:DP19)</f>
        <v>15070</v>
      </c>
      <c r="DQ20" s="2">
        <f t="shared" si="97"/>
        <v>13118</v>
      </c>
      <c r="DR20" s="2">
        <f t="shared" ref="DR20:DS20" si="98">SUM(DR11:DR19)</f>
        <v>14444</v>
      </c>
      <c r="DS20" s="2">
        <f t="shared" si="98"/>
        <v>14483</v>
      </c>
      <c r="DT20" s="2">
        <f t="shared" ref="DT20:DU20" si="99">SUM(DT11:DT19)</f>
        <v>14025</v>
      </c>
      <c r="DU20" s="2">
        <f t="shared" si="99"/>
        <v>13882</v>
      </c>
    </row>
    <row r="21" spans="1:125" ht="13.5" customHeight="1" x14ac:dyDescent="0.2">
      <c r="A21" s="8"/>
      <c r="D21" s="2" t="s">
        <v>70</v>
      </c>
      <c r="E21" s="14">
        <f t="shared" ref="E21:E22" si="100">BO21/BO$23</f>
        <v>0.59383077718421506</v>
      </c>
      <c r="F21" s="14">
        <f t="shared" ref="F21:F22" si="101">BP21/BP$23</f>
        <v>0.58630680085391884</v>
      </c>
      <c r="G21" s="14">
        <f t="shared" ref="G21:G22" si="102">BQ21/BQ$23</f>
        <v>0.55740291262135921</v>
      </c>
      <c r="H21" s="14">
        <f t="shared" ref="H21:H22" si="103">BR21/BR$23</f>
        <v>0.56147113982079599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>
        <f t="shared" ref="W21:Y22" si="104">CG21/CG$23</f>
        <v>0.47197309417040356</v>
      </c>
      <c r="X21" s="14">
        <f t="shared" si="104"/>
        <v>0.45823138762670396</v>
      </c>
      <c r="Y21" s="14">
        <f t="shared" si="104"/>
        <v>0.44386761842959116</v>
      </c>
      <c r="Z21" s="14">
        <f t="shared" ref="Z21:Z22" si="105">CJ21/CJ$23</f>
        <v>0.43070961859899709</v>
      </c>
      <c r="AA21" s="14">
        <f t="shared" ref="AA21:AA22" si="106">CK21/CK$23</f>
        <v>0.4315245478036176</v>
      </c>
      <c r="AB21" s="14">
        <f t="shared" ref="AB21:AB22" si="107">CL21/CL$23</f>
        <v>0.42227536727024256</v>
      </c>
      <c r="AC21" s="14">
        <f t="shared" ref="AC21:AC22" si="108">CM21/CM$23</f>
        <v>0.41365201013184388</v>
      </c>
      <c r="AD21" s="14">
        <f t="shared" ref="AD21:AD22" si="109">CN21/CN$23</f>
        <v>0.41011523687580026</v>
      </c>
      <c r="AE21" s="14">
        <f t="shared" ref="AE21:AE22" si="110">CO21/CO$23</f>
        <v>0.4143105989548439</v>
      </c>
      <c r="AF21" s="14">
        <f t="shared" ref="AF21:AF22" si="111">CP21/CP$23</f>
        <v>0.4123677892414509</v>
      </c>
      <c r="AG21" s="14">
        <f t="shared" ref="AG21:AG22" si="112">CQ21/CQ$23</f>
        <v>0.38529638183217862</v>
      </c>
      <c r="AH21" s="14">
        <f t="shared" ref="AH21:AH22" si="113">CR21/CR$23</f>
        <v>0.37559479088404707</v>
      </c>
      <c r="AI21" s="14">
        <f t="shared" ref="AI21:AI22" si="114">CS21/CS$23</f>
        <v>0.37051074934758293</v>
      </c>
      <c r="AJ21" s="14">
        <f t="shared" ref="AJ21:AJ22" si="115">CT21/CT$23</f>
        <v>0.37335473515248796</v>
      </c>
      <c r="AK21" s="14">
        <f t="shared" ref="AK21:AK22" si="116">CU21/CU$23</f>
        <v>0.38406801007556673</v>
      </c>
      <c r="AL21" s="14">
        <f t="shared" ref="AL21:AL22" si="117">CV21/CV$23</f>
        <v>0.38437860715659872</v>
      </c>
      <c r="AM21" s="14">
        <f t="shared" ref="AM21:AM22" si="118">CW21/CW$23</f>
        <v>0.38241215821263885</v>
      </c>
      <c r="AN21" s="14">
        <f t="shared" ref="AN21:AN22" si="119">CX21/CX$23</f>
        <v>0.38578003068098449</v>
      </c>
      <c r="AO21" s="14">
        <f t="shared" ref="AO21:AO22" si="120">CY21/CY$23</f>
        <v>0.38593690126452934</v>
      </c>
      <c r="AP21" s="14">
        <f t="shared" ref="AP21:AP22" si="121">CZ21/CZ$23</f>
        <v>0.38201166741457787</v>
      </c>
      <c r="AQ21" s="14">
        <f t="shared" ref="AQ21:AQ22" si="122">DA21/DA$23</f>
        <v>0.38114595431668602</v>
      </c>
      <c r="AR21" s="14">
        <f t="shared" ref="AR21:AR22" si="123">DB21/DB$23</f>
        <v>0.38512992024697712</v>
      </c>
      <c r="AS21" s="14">
        <f t="shared" ref="AS21:AS22" si="124">DC21/DC$23</f>
        <v>0.39116434827408553</v>
      </c>
      <c r="AT21" s="14">
        <f t="shared" ref="AT21:AT22" si="125">DD21/DD$23</f>
        <v>0.39518258517421267</v>
      </c>
      <c r="AU21" s="14">
        <f t="shared" ref="AU21:AY22" si="126">DE21/DE$23</f>
        <v>0.34629311987802552</v>
      </c>
      <c r="AV21" s="14">
        <f t="shared" si="126"/>
        <v>0.38169831861618481</v>
      </c>
      <c r="AW21" s="14">
        <f t="shared" si="126"/>
        <v>0.39217437913167769</v>
      </c>
      <c r="AX21" s="14">
        <f t="shared" si="126"/>
        <v>0.39520494972931169</v>
      </c>
      <c r="AY21" s="14">
        <f t="shared" si="126"/>
        <v>0.40401077521700091</v>
      </c>
      <c r="AZ21" s="14">
        <f t="shared" ref="AZ21:BK22" si="127">DJ21/DJ$23</f>
        <v>0.40490213576060446</v>
      </c>
      <c r="BA21" s="14">
        <f t="shared" si="127"/>
        <v>0.40241330834114342</v>
      </c>
      <c r="BB21" s="14">
        <f t="shared" si="127"/>
        <v>0.40285577727327038</v>
      </c>
      <c r="BC21" s="14">
        <f t="shared" si="127"/>
        <v>0.40955912649361353</v>
      </c>
      <c r="BD21" s="14">
        <f t="shared" si="127"/>
        <v>0.41005085252766976</v>
      </c>
      <c r="BE21" s="14">
        <f t="shared" si="127"/>
        <v>0.41457332279058451</v>
      </c>
      <c r="BF21" s="14">
        <f t="shared" si="127"/>
        <v>0.4127470602952214</v>
      </c>
      <c r="BG21" s="14">
        <f t="shared" si="127"/>
        <v>0.40730863485656627</v>
      </c>
      <c r="BH21" s="14">
        <f t="shared" si="127"/>
        <v>0.40417407334255051</v>
      </c>
      <c r="BI21" s="14">
        <f t="shared" si="127"/>
        <v>0.40458467821619132</v>
      </c>
      <c r="BJ21" s="14">
        <f t="shared" si="127"/>
        <v>0.40952702702702704</v>
      </c>
      <c r="BK21" s="14">
        <f t="shared" si="127"/>
        <v>0.40655537459283386</v>
      </c>
      <c r="BL21" s="9"/>
      <c r="BN21" s="2" t="s">
        <v>70</v>
      </c>
      <c r="BO21" s="2">
        <v>3446</v>
      </c>
      <c r="BP21" s="2">
        <v>3845</v>
      </c>
      <c r="BQ21" s="2">
        <v>4593</v>
      </c>
      <c r="BR21" s="2">
        <v>5389</v>
      </c>
      <c r="CG21" s="2">
        <v>5473</v>
      </c>
      <c r="CH21" s="2">
        <v>5244</v>
      </c>
      <c r="CI21" s="2">
        <v>5472</v>
      </c>
      <c r="CJ21" s="2">
        <v>5669</v>
      </c>
      <c r="CK21" s="2">
        <v>6012</v>
      </c>
      <c r="CL21" s="2">
        <v>6180</v>
      </c>
      <c r="CM21" s="2">
        <v>6369</v>
      </c>
      <c r="CN21" s="2">
        <v>6406</v>
      </c>
      <c r="CO21" s="2">
        <v>6184</v>
      </c>
      <c r="CP21" s="2">
        <v>6355</v>
      </c>
      <c r="CQ21" s="2">
        <v>6006</v>
      </c>
      <c r="CR21" s="2">
        <v>5999</v>
      </c>
      <c r="CS21" s="2">
        <v>5963</v>
      </c>
      <c r="CT21" s="2">
        <v>5815</v>
      </c>
      <c r="CU21" s="2">
        <v>6099</v>
      </c>
      <c r="CV21" s="2">
        <v>5994</v>
      </c>
      <c r="CW21" s="2">
        <v>5888</v>
      </c>
      <c r="CX21" s="2">
        <v>5784</v>
      </c>
      <c r="CY21" s="2">
        <v>6043</v>
      </c>
      <c r="CZ21" s="2">
        <v>5959</v>
      </c>
      <c r="DA21" s="2">
        <v>5907</v>
      </c>
      <c r="DB21" s="2">
        <v>5988</v>
      </c>
      <c r="DC21" s="2">
        <v>6074</v>
      </c>
      <c r="DD21" s="2">
        <v>6136</v>
      </c>
      <c r="DE21" s="2">
        <v>5451</v>
      </c>
      <c r="DF21" s="2">
        <v>6311</v>
      </c>
      <c r="DG21" s="2">
        <v>6585</v>
      </c>
      <c r="DH21" s="2">
        <v>6643</v>
      </c>
      <c r="DI21" s="2">
        <v>6749</v>
      </c>
      <c r="DJ21" s="2">
        <v>6806</v>
      </c>
      <c r="DK21" s="2">
        <v>6870</v>
      </c>
      <c r="DL21" s="1">
        <v>6743</v>
      </c>
      <c r="DM21" s="1">
        <v>6958</v>
      </c>
      <c r="DN21" s="1">
        <v>6854</v>
      </c>
      <c r="DO21" s="1">
        <v>6816</v>
      </c>
      <c r="DP21" s="1">
        <v>6599</v>
      </c>
      <c r="DQ21" s="1">
        <v>5651</v>
      </c>
      <c r="DR21" s="1">
        <v>6139</v>
      </c>
      <c r="DS21" s="1">
        <v>6142</v>
      </c>
      <c r="DT21" s="1">
        <v>6061</v>
      </c>
      <c r="DU21" s="1">
        <v>5991</v>
      </c>
    </row>
    <row r="22" spans="1:125" ht="13.5" customHeight="1" x14ac:dyDescent="0.2">
      <c r="A22" s="8"/>
      <c r="D22" s="2" t="s">
        <v>69</v>
      </c>
      <c r="E22" s="14">
        <f t="shared" si="100"/>
        <v>0.40616922281578494</v>
      </c>
      <c r="F22" s="14">
        <f t="shared" si="101"/>
        <v>0.4136931991460811</v>
      </c>
      <c r="G22" s="14">
        <f t="shared" si="102"/>
        <v>0.44259708737864079</v>
      </c>
      <c r="H22" s="14">
        <f t="shared" si="103"/>
        <v>0.43852886017920401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>
        <f t="shared" si="104"/>
        <v>0.52802690582959644</v>
      </c>
      <c r="X22" s="14">
        <f t="shared" si="104"/>
        <v>0.5417686123732961</v>
      </c>
      <c r="Y22" s="14">
        <f t="shared" si="104"/>
        <v>0.55613238157040878</v>
      </c>
      <c r="Z22" s="14">
        <f t="shared" si="105"/>
        <v>0.56929038140100285</v>
      </c>
      <c r="AA22" s="14">
        <f t="shared" si="106"/>
        <v>0.5684754521963824</v>
      </c>
      <c r="AB22" s="14">
        <f t="shared" si="107"/>
        <v>0.57772463272975738</v>
      </c>
      <c r="AC22" s="14">
        <f t="shared" si="108"/>
        <v>0.58634798986815617</v>
      </c>
      <c r="AD22" s="14">
        <f t="shared" si="109"/>
        <v>0.5898847631241998</v>
      </c>
      <c r="AE22" s="14">
        <f t="shared" si="110"/>
        <v>0.5856894010451561</v>
      </c>
      <c r="AF22" s="14">
        <f t="shared" si="111"/>
        <v>0.5876322107585491</v>
      </c>
      <c r="AG22" s="14">
        <f t="shared" si="112"/>
        <v>0.61470361816782138</v>
      </c>
      <c r="AH22" s="14">
        <f t="shared" si="113"/>
        <v>0.62440520911595288</v>
      </c>
      <c r="AI22" s="14">
        <f t="shared" si="114"/>
        <v>0.62948925065241701</v>
      </c>
      <c r="AJ22" s="14">
        <f t="shared" si="115"/>
        <v>0.62664526484751204</v>
      </c>
      <c r="AK22" s="14">
        <f t="shared" si="116"/>
        <v>0.61593198992443321</v>
      </c>
      <c r="AL22" s="14">
        <f t="shared" si="117"/>
        <v>0.61562139284340134</v>
      </c>
      <c r="AM22" s="14">
        <f t="shared" si="118"/>
        <v>0.61758784178736115</v>
      </c>
      <c r="AN22" s="14">
        <f t="shared" si="119"/>
        <v>0.61421996931901557</v>
      </c>
      <c r="AO22" s="14">
        <f t="shared" si="120"/>
        <v>0.61406309873547071</v>
      </c>
      <c r="AP22" s="14">
        <f t="shared" si="121"/>
        <v>0.61798833258542218</v>
      </c>
      <c r="AQ22" s="14">
        <f t="shared" si="122"/>
        <v>0.61885404568331392</v>
      </c>
      <c r="AR22" s="14">
        <f t="shared" si="123"/>
        <v>0.61487007975302288</v>
      </c>
      <c r="AS22" s="14">
        <f t="shared" si="124"/>
        <v>0.60883565172591447</v>
      </c>
      <c r="AT22" s="14">
        <f t="shared" si="125"/>
        <v>0.60481741482578733</v>
      </c>
      <c r="AU22" s="14">
        <f t="shared" si="126"/>
        <v>0.65370688012197442</v>
      </c>
      <c r="AV22" s="14">
        <f t="shared" si="126"/>
        <v>0.61830168138381514</v>
      </c>
      <c r="AW22" s="14">
        <f t="shared" si="126"/>
        <v>0.60782562086832237</v>
      </c>
      <c r="AX22" s="14">
        <f t="shared" si="126"/>
        <v>0.60479505027068836</v>
      </c>
      <c r="AY22" s="14">
        <f t="shared" si="126"/>
        <v>0.59598922478299909</v>
      </c>
      <c r="AZ22" s="14">
        <f t="shared" si="127"/>
        <v>0.59509786423939559</v>
      </c>
      <c r="BA22" s="14">
        <f t="shared" si="127"/>
        <v>0.59758669165885658</v>
      </c>
      <c r="BB22" s="14">
        <f t="shared" si="127"/>
        <v>0.59714422272672962</v>
      </c>
      <c r="BC22" s="14">
        <f t="shared" si="127"/>
        <v>0.59044087350638652</v>
      </c>
      <c r="BD22" s="14">
        <f t="shared" si="127"/>
        <v>0.58994914747233029</v>
      </c>
      <c r="BE22" s="14">
        <f t="shared" si="127"/>
        <v>0.58542667720941544</v>
      </c>
      <c r="BF22" s="14">
        <f t="shared" ref="BF22:BK22" si="128">DP22/DP$23</f>
        <v>0.58725293970477854</v>
      </c>
      <c r="BG22" s="14">
        <f t="shared" si="128"/>
        <v>0.59269136514343379</v>
      </c>
      <c r="BH22" s="14">
        <f t="shared" si="128"/>
        <v>0.59582592665744949</v>
      </c>
      <c r="BI22" s="14">
        <f t="shared" si="128"/>
        <v>0.59541532178380874</v>
      </c>
      <c r="BJ22" s="14">
        <f t="shared" si="128"/>
        <v>0.59047297297297296</v>
      </c>
      <c r="BK22" s="14">
        <f t="shared" si="128"/>
        <v>0.59344462540716614</v>
      </c>
      <c r="BL22" s="9"/>
      <c r="BN22" s="2" t="s">
        <v>69</v>
      </c>
      <c r="BO22" s="2">
        <v>2357</v>
      </c>
      <c r="BP22" s="2">
        <v>2713</v>
      </c>
      <c r="BQ22" s="2">
        <v>3647</v>
      </c>
      <c r="BR22" s="2">
        <v>4209</v>
      </c>
      <c r="CG22" s="2">
        <v>6123</v>
      </c>
      <c r="CH22" s="2">
        <v>6200</v>
      </c>
      <c r="CI22" s="2">
        <v>6856</v>
      </c>
      <c r="CJ22" s="2">
        <v>7493</v>
      </c>
      <c r="CK22" s="2">
        <v>7920</v>
      </c>
      <c r="CL22" s="2">
        <v>8455</v>
      </c>
      <c r="CM22" s="2">
        <v>9028</v>
      </c>
      <c r="CN22" s="2">
        <v>9214</v>
      </c>
      <c r="CO22" s="2">
        <v>8742</v>
      </c>
      <c r="CP22" s="2">
        <v>9056</v>
      </c>
      <c r="CQ22" s="2">
        <v>9582</v>
      </c>
      <c r="CR22" s="2">
        <v>9973</v>
      </c>
      <c r="CS22" s="2">
        <v>10131</v>
      </c>
      <c r="CT22" s="2">
        <v>9760</v>
      </c>
      <c r="CU22" s="2">
        <v>9781</v>
      </c>
      <c r="CV22" s="2">
        <v>9600</v>
      </c>
      <c r="CW22" s="2">
        <v>9509</v>
      </c>
      <c r="CX22" s="2">
        <v>9209</v>
      </c>
      <c r="CY22" s="2">
        <v>9615</v>
      </c>
      <c r="CZ22" s="2">
        <v>9640</v>
      </c>
      <c r="DA22" s="2">
        <v>9591</v>
      </c>
      <c r="DB22" s="2">
        <v>9560</v>
      </c>
      <c r="DC22" s="2">
        <v>9454</v>
      </c>
      <c r="DD22" s="2">
        <v>9391</v>
      </c>
      <c r="DE22" s="2">
        <v>10290</v>
      </c>
      <c r="DF22" s="2">
        <v>10223</v>
      </c>
      <c r="DG22" s="2">
        <v>10206</v>
      </c>
      <c r="DH22" s="2">
        <v>10166</v>
      </c>
      <c r="DI22" s="2">
        <v>9956</v>
      </c>
      <c r="DJ22" s="2">
        <v>10003</v>
      </c>
      <c r="DK22" s="2">
        <v>10202</v>
      </c>
      <c r="DL22" s="1">
        <v>9995</v>
      </c>
      <c r="DM22" s="1">
        <v>10031</v>
      </c>
      <c r="DN22" s="1">
        <v>9861</v>
      </c>
      <c r="DO22" s="1">
        <v>9625</v>
      </c>
      <c r="DP22" s="1">
        <v>9389</v>
      </c>
      <c r="DQ22" s="1">
        <v>8223</v>
      </c>
      <c r="DR22" s="1">
        <v>9050</v>
      </c>
      <c r="DS22" s="1">
        <f>8975+64</f>
        <v>9039</v>
      </c>
      <c r="DT22" s="1">
        <v>8739</v>
      </c>
      <c r="DU22" s="1">
        <v>8745</v>
      </c>
    </row>
    <row r="23" spans="1:125" ht="13.5" customHeight="1" x14ac:dyDescent="0.2">
      <c r="A23" s="8"/>
      <c r="C23" s="3" t="s">
        <v>58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9"/>
      <c r="BN23" s="20" t="s">
        <v>56</v>
      </c>
      <c r="BO23" s="2">
        <f>BO21+BO22</f>
        <v>5803</v>
      </c>
      <c r="BP23" s="2">
        <f>BP21+BP22</f>
        <v>6558</v>
      </c>
      <c r="BQ23" s="2">
        <f>BQ21+BQ22</f>
        <v>8240</v>
      </c>
      <c r="BR23" s="2">
        <f>BR21+BR22</f>
        <v>9598</v>
      </c>
      <c r="CG23" s="2">
        <f t="shared" ref="CG23:CR23" si="129">SUM(CG21:CG22)</f>
        <v>11596</v>
      </c>
      <c r="CH23" s="2">
        <f t="shared" si="129"/>
        <v>11444</v>
      </c>
      <c r="CI23" s="2">
        <f t="shared" si="129"/>
        <v>12328</v>
      </c>
      <c r="CJ23" s="2">
        <f t="shared" si="129"/>
        <v>13162</v>
      </c>
      <c r="CK23" s="2">
        <f t="shared" si="129"/>
        <v>13932</v>
      </c>
      <c r="CL23" s="2">
        <f t="shared" si="129"/>
        <v>14635</v>
      </c>
      <c r="CM23" s="2">
        <f t="shared" si="129"/>
        <v>15397</v>
      </c>
      <c r="CN23" s="2">
        <f t="shared" si="129"/>
        <v>15620</v>
      </c>
      <c r="CO23" s="2">
        <f t="shared" si="129"/>
        <v>14926</v>
      </c>
      <c r="CP23" s="2">
        <f t="shared" si="129"/>
        <v>15411</v>
      </c>
      <c r="CQ23" s="2">
        <f t="shared" si="129"/>
        <v>15588</v>
      </c>
      <c r="CR23" s="2">
        <f t="shared" si="129"/>
        <v>15972</v>
      </c>
      <c r="CS23" s="2">
        <f t="shared" ref="CS23:DD23" si="130">SUM(CS21:CS22)</f>
        <v>16094</v>
      </c>
      <c r="CT23" s="2">
        <f t="shared" si="130"/>
        <v>15575</v>
      </c>
      <c r="CU23" s="2">
        <f t="shared" si="130"/>
        <v>15880</v>
      </c>
      <c r="CV23" s="2">
        <f t="shared" si="130"/>
        <v>15594</v>
      </c>
      <c r="CW23" s="2">
        <f t="shared" si="130"/>
        <v>15397</v>
      </c>
      <c r="CX23" s="2">
        <f t="shared" si="130"/>
        <v>14993</v>
      </c>
      <c r="CY23" s="2">
        <f t="shared" si="130"/>
        <v>15658</v>
      </c>
      <c r="CZ23" s="2">
        <f t="shared" si="130"/>
        <v>15599</v>
      </c>
      <c r="DA23" s="2">
        <f t="shared" si="130"/>
        <v>15498</v>
      </c>
      <c r="DB23" s="2">
        <f t="shared" si="130"/>
        <v>15548</v>
      </c>
      <c r="DC23" s="2">
        <f t="shared" si="130"/>
        <v>15528</v>
      </c>
      <c r="DD23" s="2">
        <f t="shared" si="130"/>
        <v>15527</v>
      </c>
      <c r="DE23" s="2">
        <f t="shared" ref="DE23:DF23" si="131">SUM(DE21:DE22)</f>
        <v>15741</v>
      </c>
      <c r="DF23" s="2">
        <f t="shared" si="131"/>
        <v>16534</v>
      </c>
      <c r="DG23" s="2">
        <f t="shared" ref="DG23:DL23" si="132">SUM(DG21:DG22)</f>
        <v>16791</v>
      </c>
      <c r="DH23" s="2">
        <f t="shared" si="132"/>
        <v>16809</v>
      </c>
      <c r="DI23" s="2">
        <f t="shared" si="132"/>
        <v>16705</v>
      </c>
      <c r="DJ23" s="2">
        <f t="shared" si="132"/>
        <v>16809</v>
      </c>
      <c r="DK23" s="2">
        <f t="shared" si="132"/>
        <v>17072</v>
      </c>
      <c r="DL23" s="2">
        <f t="shared" si="132"/>
        <v>16738</v>
      </c>
      <c r="DM23" s="2">
        <f t="shared" ref="DM23:DN23" si="133">SUM(DM21:DM22)</f>
        <v>16989</v>
      </c>
      <c r="DN23" s="2">
        <f t="shared" si="133"/>
        <v>16715</v>
      </c>
      <c r="DO23" s="2">
        <f t="shared" ref="DO23:DP23" si="134">SUM(DO21:DO22)</f>
        <v>16441</v>
      </c>
      <c r="DP23" s="2">
        <f t="shared" si="134"/>
        <v>15988</v>
      </c>
      <c r="DQ23" s="2">
        <f t="shared" ref="DQ23:DR23" si="135">SUM(DQ21:DQ22)</f>
        <v>13874</v>
      </c>
      <c r="DR23" s="2">
        <f t="shared" si="135"/>
        <v>15189</v>
      </c>
      <c r="DS23" s="2">
        <f t="shared" ref="DS23" si="136">SUM(DS21:DS22)</f>
        <v>15181</v>
      </c>
      <c r="DT23" s="2">
        <f t="shared" ref="DT23:DU23" si="137">SUM(DT21:DT22)</f>
        <v>14800</v>
      </c>
      <c r="DU23" s="2">
        <f t="shared" si="137"/>
        <v>14736</v>
      </c>
    </row>
    <row r="24" spans="1:125" ht="13.5" customHeight="1" x14ac:dyDescent="0.2">
      <c r="A24" s="8"/>
      <c r="D24" s="2" t="s">
        <v>80</v>
      </c>
      <c r="E24" s="14" t="str">
        <f>IF(BO26&gt;0,+BO24/BO26," ")</f>
        <v xml:space="preserve"> </v>
      </c>
      <c r="F24" s="14" t="str">
        <f>IF(BP26&gt;0,+BP24/BP26," ")</f>
        <v xml:space="preserve"> </v>
      </c>
      <c r="G24" s="14" t="str">
        <f>IF(BQ26&gt;0,+BQ24/BQ26," ")</f>
        <v xml:space="preserve"> </v>
      </c>
      <c r="H24" s="14" t="str">
        <f>IF(BR26&gt;0,+BR24/BR26," ")</f>
        <v xml:space="preserve"> 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>
        <f t="shared" ref="Y24:AH25" si="138">CI24/CI$26</f>
        <v>0.65203822898381114</v>
      </c>
      <c r="Z24" s="14">
        <f t="shared" si="138"/>
        <v>0.64709105854415927</v>
      </c>
      <c r="AA24" s="14">
        <f t="shared" si="138"/>
        <v>0.6540080762952144</v>
      </c>
      <c r="AB24" s="14">
        <f t="shared" si="138"/>
        <v>0.64968205467008011</v>
      </c>
      <c r="AC24" s="14">
        <f t="shared" si="138"/>
        <v>0.652971616747687</v>
      </c>
      <c r="AD24" s="14">
        <f t="shared" si="138"/>
        <v>0.65572876071706931</v>
      </c>
      <c r="AE24" s="14">
        <f t="shared" si="138"/>
        <v>0.59470934030045719</v>
      </c>
      <c r="AF24" s="14">
        <f t="shared" si="138"/>
        <v>0.68802978689693417</v>
      </c>
      <c r="AG24" s="14">
        <f t="shared" si="138"/>
        <v>0.69163584861122041</v>
      </c>
      <c r="AH24" s="14">
        <f t="shared" si="138"/>
        <v>0.69274691358024687</v>
      </c>
      <c r="AI24" s="14">
        <f t="shared" ref="AI24:AR25" si="139">CS24/CS$26</f>
        <v>0.6940366278189799</v>
      </c>
      <c r="AJ24" s="14">
        <f t="shared" si="139"/>
        <v>0.70096738960836324</v>
      </c>
      <c r="AK24" s="14">
        <f t="shared" si="139"/>
        <v>0.71170895750535002</v>
      </c>
      <c r="AL24" s="14">
        <f t="shared" si="139"/>
        <v>0.70552903126443867</v>
      </c>
      <c r="AM24" s="14">
        <f t="shared" si="139"/>
        <v>0.69003690036900367</v>
      </c>
      <c r="AN24" s="14">
        <f t="shared" si="139"/>
        <v>0.70208248264597795</v>
      </c>
      <c r="AO24" s="14">
        <f t="shared" si="139"/>
        <v>0.71708352996696556</v>
      </c>
      <c r="AP24" s="14">
        <f t="shared" si="139"/>
        <v>0.72425538656527255</v>
      </c>
      <c r="AQ24" s="14">
        <f t="shared" si="139"/>
        <v>0.71778555520203624</v>
      </c>
      <c r="AR24" s="14">
        <f t="shared" si="139"/>
        <v>0.75686181183563384</v>
      </c>
      <c r="AS24" s="14">
        <f t="shared" ref="AS24:BK25" si="140">DC24/DC$26</f>
        <v>0.71931936752548353</v>
      </c>
      <c r="AT24" s="14">
        <f t="shared" si="140"/>
        <v>0.71187258687258692</v>
      </c>
      <c r="AU24" s="14">
        <f t="shared" si="140"/>
        <v>0.71977666289043529</v>
      </c>
      <c r="AV24" s="14">
        <f t="shared" si="140"/>
        <v>0.7162579052907605</v>
      </c>
      <c r="AW24" s="14">
        <f t="shared" si="140"/>
        <v>0.70305975248652341</v>
      </c>
      <c r="AX24" s="14">
        <f t="shared" si="140"/>
        <v>0.69979469241882741</v>
      </c>
      <c r="AY24" s="14">
        <f t="shared" si="140"/>
        <v>0.71713535808023998</v>
      </c>
      <c r="AZ24" s="14">
        <f t="shared" si="140"/>
        <v>0.72238189991893287</v>
      </c>
      <c r="BA24" s="14">
        <f t="shared" si="140"/>
        <v>0.72488107250973044</v>
      </c>
      <c r="BB24" s="14">
        <f t="shared" si="140"/>
        <v>0.74477667035806572</v>
      </c>
      <c r="BC24" s="14">
        <f t="shared" si="140"/>
        <v>0.77816952079435886</v>
      </c>
      <c r="BD24" s="14">
        <f t="shared" si="140"/>
        <v>0.79930369188365857</v>
      </c>
      <c r="BE24" s="14">
        <f t="shared" si="140"/>
        <v>0.80341753343239231</v>
      </c>
      <c r="BF24" s="14">
        <f t="shared" si="140"/>
        <v>0.81168432366037158</v>
      </c>
      <c r="BG24" s="14">
        <f t="shared" si="140"/>
        <v>0.78802515264740725</v>
      </c>
      <c r="BH24" s="14">
        <f t="shared" si="140"/>
        <v>0.82619259739207906</v>
      </c>
      <c r="BI24" s="14">
        <f t="shared" si="140"/>
        <v>0.83922674184454293</v>
      </c>
      <c r="BJ24" s="14">
        <f t="shared" si="140"/>
        <v>0.84847985498887701</v>
      </c>
      <c r="BK24" s="14">
        <f t="shared" si="140"/>
        <v>0.85629617601688723</v>
      </c>
      <c r="BL24" s="9"/>
      <c r="BN24" s="2" t="s">
        <v>80</v>
      </c>
      <c r="CI24" s="2">
        <f>51+672+732+607+49+795+833+461+12+139+219+562+16+210+338+592+1+176+2+1+2+212+4</f>
        <v>6686</v>
      </c>
      <c r="CJ24" s="2">
        <f>22+643+750+576+48+756+862+492+2+5+6+2+9+5+6+107+205+503+16+229+303+661+303+16+14+27+470+14+6+27</f>
        <v>7085</v>
      </c>
      <c r="CK24" s="2">
        <f>44+687+750+599+65+755+853+512+1+4+6+1+1+2+10+6+3+102+190+500+10+138+287+630+510+24+17+29+812+11+13+40</f>
        <v>7612</v>
      </c>
      <c r="CL24" s="2">
        <v>7867</v>
      </c>
      <c r="CM24" s="2">
        <f>45+628+762+660+63+808+957+638+677+124+202+515+1105+169+300+675</f>
        <v>8328</v>
      </c>
      <c r="CN24" s="2">
        <f>21+20+5+4+540+687+3+784+1028+8+5+629+656+5+7+3+6+796+1331+69+143+28+29+159+265+7+12+489+618+25+31</f>
        <v>8413</v>
      </c>
      <c r="CO24" s="2">
        <f>31+32+456+541+652+902+634+608+2+5+60+70+175+224+486+585</f>
        <v>5463</v>
      </c>
      <c r="CP24" s="2">
        <f>35+28+1+6+401+462+4+8+651+847+7+3+679+638+8+6+6+9+1095+2070+65+79+33+42+138+202+20+11+447+584+47+53</f>
        <v>8685</v>
      </c>
      <c r="CQ24" s="2">
        <f>33+52+11+18+418+569+4+5+582+902+7+8+663+725+13+13+6+13+968+2104+80+104+36+48+117+213+20+14+385+554+56+49</f>
        <v>8790</v>
      </c>
      <c r="CR24" s="2">
        <f>40+64+424+603+554+901+541+760+1058+2355+101+162+164+191+464+596</f>
        <v>8978</v>
      </c>
      <c r="CS24" s="2">
        <f>26+40+468+681+546+901+560+688+1067+2511+138+183+134+223+440+565</f>
        <v>9171</v>
      </c>
      <c r="CT24" s="2">
        <f>28+42+421+607+574+914+547+694+1097+2305+176+222+156+240+390+572</f>
        <v>8985</v>
      </c>
      <c r="CU24" s="2">
        <v>9312</v>
      </c>
      <c r="CV24" s="2">
        <f>146+188+547+730+627+1043+497+622+1008+2112+100+132+185+278+439+508</f>
        <v>9162</v>
      </c>
      <c r="CW24" s="2">
        <f>29+36+416+596+657+1087+643+804+843+1868+150+239+166+243+430+582</f>
        <v>8789</v>
      </c>
      <c r="CX24" s="2">
        <v>8597</v>
      </c>
      <c r="CY24" s="2">
        <v>9117</v>
      </c>
      <c r="CZ24" s="2">
        <v>9143</v>
      </c>
      <c r="DA24" s="2">
        <v>9024</v>
      </c>
      <c r="DB24" s="2">
        <v>9541</v>
      </c>
      <c r="DC24" s="2">
        <v>8962</v>
      </c>
      <c r="DD24" s="2">
        <v>8850</v>
      </c>
      <c r="DE24" s="2">
        <v>8895</v>
      </c>
      <c r="DF24" s="2">
        <v>9287</v>
      </c>
      <c r="DG24" s="2">
        <v>9260</v>
      </c>
      <c r="DH24" s="2">
        <v>9203</v>
      </c>
      <c r="DI24" s="2">
        <v>9563</v>
      </c>
      <c r="DJ24" s="2">
        <v>9802</v>
      </c>
      <c r="DK24" s="2">
        <v>10057</v>
      </c>
      <c r="DL24" s="1">
        <v>10088</v>
      </c>
      <c r="DM24" s="1">
        <v>10815</v>
      </c>
      <c r="DN24" s="1">
        <v>11020</v>
      </c>
      <c r="DO24" s="1">
        <v>10814</v>
      </c>
      <c r="DP24" s="1">
        <v>10573</v>
      </c>
      <c r="DQ24" s="1">
        <v>8647</v>
      </c>
      <c r="DR24" s="1">
        <v>10201</v>
      </c>
      <c r="DS24" s="1">
        <v>10419</v>
      </c>
      <c r="DT24" s="1">
        <v>10298</v>
      </c>
      <c r="DU24" s="1">
        <v>10547</v>
      </c>
    </row>
    <row r="25" spans="1:125" ht="13.5" customHeight="1" x14ac:dyDescent="0.2">
      <c r="A25" s="8"/>
      <c r="D25" s="2" t="s">
        <v>79</v>
      </c>
      <c r="E25" s="14" t="str">
        <f>IF(BO26&gt;0,+BO25/BO26," ")</f>
        <v xml:space="preserve"> </v>
      </c>
      <c r="F25" s="14" t="str">
        <f>IF(BP26&gt;0,+BP25/BP26," ")</f>
        <v xml:space="preserve"> </v>
      </c>
      <c r="G25" s="14" t="str">
        <f>IF(BQ26&gt;0,+BQ25/BQ26," ")</f>
        <v xml:space="preserve"> </v>
      </c>
      <c r="H25" s="14" t="str">
        <f>IF(BR26&gt;0,+BR25/BR26," ")</f>
        <v xml:space="preserve"> 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>
        <f t="shared" si="138"/>
        <v>0.3479617710161888</v>
      </c>
      <c r="Z25" s="14">
        <f t="shared" si="138"/>
        <v>0.35290894145584073</v>
      </c>
      <c r="AA25" s="14">
        <f t="shared" si="138"/>
        <v>0.34599192370478565</v>
      </c>
      <c r="AB25" s="14">
        <f t="shared" si="138"/>
        <v>0.35031794532991989</v>
      </c>
      <c r="AC25" s="14">
        <f t="shared" si="138"/>
        <v>0.347028383252313</v>
      </c>
      <c r="AD25" s="14">
        <f t="shared" si="138"/>
        <v>0.34427123928293063</v>
      </c>
      <c r="AE25" s="14">
        <f t="shared" si="138"/>
        <v>0.40529065969954281</v>
      </c>
      <c r="AF25" s="14">
        <f t="shared" si="138"/>
        <v>0.31197021310306583</v>
      </c>
      <c r="AG25" s="14">
        <f t="shared" si="138"/>
        <v>0.30836415138877959</v>
      </c>
      <c r="AH25" s="14">
        <f t="shared" si="138"/>
        <v>0.30725308641975307</v>
      </c>
      <c r="AI25" s="14">
        <f t="shared" si="139"/>
        <v>0.30596337218102015</v>
      </c>
      <c r="AJ25" s="14">
        <f t="shared" si="139"/>
        <v>0.29903261039163676</v>
      </c>
      <c r="AK25" s="14">
        <f t="shared" si="139"/>
        <v>0.28829104249464993</v>
      </c>
      <c r="AL25" s="14">
        <f t="shared" si="139"/>
        <v>0.29447096873556139</v>
      </c>
      <c r="AM25" s="14">
        <f t="shared" si="139"/>
        <v>0.30996309963099633</v>
      </c>
      <c r="AN25" s="14">
        <f t="shared" si="139"/>
        <v>0.29791751735402205</v>
      </c>
      <c r="AO25" s="14">
        <f t="shared" si="139"/>
        <v>0.28291647003303444</v>
      </c>
      <c r="AP25" s="14">
        <f t="shared" si="139"/>
        <v>0.2757446134347275</v>
      </c>
      <c r="AQ25" s="14">
        <f t="shared" si="139"/>
        <v>0.2822144447979637</v>
      </c>
      <c r="AR25" s="14">
        <f t="shared" si="139"/>
        <v>0.24313818816436616</v>
      </c>
      <c r="AS25" s="14">
        <f t="shared" si="140"/>
        <v>0.28068063247451641</v>
      </c>
      <c r="AT25" s="14">
        <f t="shared" si="140"/>
        <v>0.28812741312741313</v>
      </c>
      <c r="AU25" s="14">
        <f t="shared" si="140"/>
        <v>0.28022333710956465</v>
      </c>
      <c r="AV25" s="14">
        <f t="shared" si="140"/>
        <v>0.28374209470923956</v>
      </c>
      <c r="AW25" s="14">
        <f t="shared" si="140"/>
        <v>0.29694024751347659</v>
      </c>
      <c r="AX25" s="14">
        <f t="shared" si="140"/>
        <v>0.30020530758117253</v>
      </c>
      <c r="AY25" s="14">
        <f t="shared" si="140"/>
        <v>0.28286464191976002</v>
      </c>
      <c r="AZ25" s="14">
        <f t="shared" si="140"/>
        <v>0.27761810008106713</v>
      </c>
      <c r="BA25" s="14">
        <f t="shared" si="140"/>
        <v>0.27511892749026956</v>
      </c>
      <c r="BB25" s="14">
        <f t="shared" si="140"/>
        <v>0.25522332964193428</v>
      </c>
      <c r="BC25" s="14">
        <f t="shared" si="140"/>
        <v>0.22183047920564111</v>
      </c>
      <c r="BD25" s="14">
        <f t="shared" si="140"/>
        <v>0.20069630811634148</v>
      </c>
      <c r="BE25" s="14">
        <f t="shared" si="140"/>
        <v>0.19658246656760772</v>
      </c>
      <c r="BF25" s="14">
        <f t="shared" si="140"/>
        <v>0.18831567633962842</v>
      </c>
      <c r="BG25" s="14">
        <f t="shared" si="140"/>
        <v>0.21197484735259273</v>
      </c>
      <c r="BH25" s="14">
        <f t="shared" si="140"/>
        <v>0.17380740260792096</v>
      </c>
      <c r="BI25" s="14">
        <f t="shared" si="140"/>
        <v>0.16077325815545712</v>
      </c>
      <c r="BJ25" s="14">
        <f t="shared" si="140"/>
        <v>0.15152014501112301</v>
      </c>
      <c r="BK25" s="14">
        <f t="shared" si="140"/>
        <v>0.14370382398311277</v>
      </c>
      <c r="BL25" s="9"/>
      <c r="BN25" s="2" t="s">
        <v>79</v>
      </c>
      <c r="CI25" s="2">
        <f>219+67+22+16+2+156+115+75+54+6+552+338+166+82+24+2+678+398+293+211+61+4+3+2+1+7+3+6+5</f>
        <v>3568</v>
      </c>
      <c r="CJ25" s="2">
        <f>266+81+25+16+1+1+197+109+88+58+5+1+3+1+573+311+170+108+25+2+624+442+301+258+56+3+31+22+7+6+1+24+21+10+11+6</f>
        <v>3864</v>
      </c>
      <c r="CK25" s="2">
        <f>236+92+25+18+3+244+125+103+66+5+3+2+537+323+204+124+22+6+631+426+326+270+61+1+45+21+14+2+3+37+27+13+7+5</f>
        <v>4027</v>
      </c>
      <c r="CL25" s="2">
        <v>4242</v>
      </c>
      <c r="CM25" s="2">
        <f>262+96+41+33+4+1+250+132+90+76+4+662+350+223+147+27+5+757+470+397+333+62+4</f>
        <v>4426</v>
      </c>
      <c r="CN25" s="2">
        <f>263+251+2+2+102+131+1+43+92+28+76+9+5+1+575+696+26+27+374+453+15+13+220+369+8+11+156+351+10+11+20+60+4+1+4+6+1</f>
        <v>4417</v>
      </c>
      <c r="CO25" s="2">
        <f>221+232+94+112+36+80+26+86+6+5+3+4+498+563+316+392+173+302+161+309+28+61+1+5+6+3</f>
        <v>3723</v>
      </c>
      <c r="CP25" s="2">
        <f>250+254+4+1+85+118+63+95+39+78+1+6+12+493+526+51+37+289+365+28+14+211+287+11+19+160+330+13+22+20+39+5+6+4+2</f>
        <v>3938</v>
      </c>
      <c r="CQ25" s="2">
        <f>240+303+6+7+79+130+3+2+75+94+3+1+45+79+2+1+3+11+1+0+442+470+64+76+254+358+33+36+178+269+29+22+134+304+33+33+25+56+6+9+2+1</f>
        <v>3919</v>
      </c>
      <c r="CR25" s="2">
        <f>291+302+90+135+64+98+39+71+8+16+0+0+515+569+296+358+189+320+172+353+28+63+1+4</f>
        <v>3982</v>
      </c>
      <c r="CS25" s="2">
        <f>296+353+78+142+57+70+42+107+5+15+0+1+506+591+265+335+199+288+196+379+48+67+1+2</f>
        <v>4043</v>
      </c>
      <c r="CT25" s="2">
        <f>265+310+69+119+32+74+41+94+5+10+0+0+492+618+240+318+169+293+196+343+47+94+1+3</f>
        <v>3833</v>
      </c>
      <c r="CU25" s="2">
        <v>3772</v>
      </c>
      <c r="CV25" s="2">
        <f>246+305+74+101+43+84+27+78+6+12+1+3+3+463+537+244+313+173+265+200+330+40+94+3+8+65+106</f>
        <v>3824</v>
      </c>
      <c r="CW25" s="2">
        <f>327+328+90+117+41+75+34+82+8+20+8+4+470+566+252+340+185+226+205+352+63+112+3+9+13+18</f>
        <v>3948</v>
      </c>
      <c r="CX25" s="2">
        <v>3648</v>
      </c>
      <c r="CY25" s="2">
        <v>3597</v>
      </c>
      <c r="CZ25" s="2">
        <v>3481</v>
      </c>
      <c r="DA25" s="2">
        <v>3548</v>
      </c>
      <c r="DB25" s="2">
        <v>3065</v>
      </c>
      <c r="DC25" s="2">
        <v>3497</v>
      </c>
      <c r="DD25" s="2">
        <v>3582</v>
      </c>
      <c r="DE25" s="2">
        <v>3463</v>
      </c>
      <c r="DF25" s="2">
        <v>3679</v>
      </c>
      <c r="DG25" s="2">
        <v>3911</v>
      </c>
      <c r="DH25" s="2">
        <v>3948</v>
      </c>
      <c r="DI25" s="2">
        <v>3772</v>
      </c>
      <c r="DJ25" s="2">
        <v>3767</v>
      </c>
      <c r="DK25" s="2">
        <v>3817</v>
      </c>
      <c r="DL25" s="1">
        <v>3457</v>
      </c>
      <c r="DM25" s="1">
        <v>3083</v>
      </c>
      <c r="DN25" s="1">
        <v>2767</v>
      </c>
      <c r="DO25" s="1">
        <v>2646</v>
      </c>
      <c r="DP25" s="1">
        <v>2453</v>
      </c>
      <c r="DQ25" s="1">
        <v>2326</v>
      </c>
      <c r="DR25" s="1">
        <v>2146</v>
      </c>
      <c r="DS25" s="1">
        <v>1996</v>
      </c>
      <c r="DT25" s="1">
        <v>1839</v>
      </c>
      <c r="DU25" s="1">
        <v>1770</v>
      </c>
    </row>
    <row r="26" spans="1:125" ht="13.5" customHeight="1" x14ac:dyDescent="0.2">
      <c r="A26" s="8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9"/>
      <c r="BN26" s="20" t="s">
        <v>56</v>
      </c>
      <c r="CI26" s="2">
        <f t="shared" ref="CI26:DJ26" si="141">SUM(CI24:CI25)</f>
        <v>10254</v>
      </c>
      <c r="CJ26" s="2">
        <f t="shared" si="141"/>
        <v>10949</v>
      </c>
      <c r="CK26" s="2">
        <f t="shared" si="141"/>
        <v>11639</v>
      </c>
      <c r="CL26" s="2">
        <f t="shared" si="141"/>
        <v>12109</v>
      </c>
      <c r="CM26" s="2">
        <f t="shared" si="141"/>
        <v>12754</v>
      </c>
      <c r="CN26" s="2">
        <f t="shared" si="141"/>
        <v>12830</v>
      </c>
      <c r="CO26" s="2">
        <f t="shared" si="141"/>
        <v>9186</v>
      </c>
      <c r="CP26" s="2">
        <f t="shared" si="141"/>
        <v>12623</v>
      </c>
      <c r="CQ26" s="2">
        <f t="shared" si="141"/>
        <v>12709</v>
      </c>
      <c r="CR26" s="2">
        <f t="shared" si="141"/>
        <v>12960</v>
      </c>
      <c r="CS26" s="2">
        <f t="shared" si="141"/>
        <v>13214</v>
      </c>
      <c r="CT26" s="2">
        <f t="shared" si="141"/>
        <v>12818</v>
      </c>
      <c r="CU26" s="2">
        <f t="shared" si="141"/>
        <v>13084</v>
      </c>
      <c r="CV26" s="2">
        <f t="shared" si="141"/>
        <v>12986</v>
      </c>
      <c r="CW26" s="2">
        <f t="shared" si="141"/>
        <v>12737</v>
      </c>
      <c r="CX26" s="2">
        <f t="shared" si="141"/>
        <v>12245</v>
      </c>
      <c r="CY26" s="2">
        <f t="shared" si="141"/>
        <v>12714</v>
      </c>
      <c r="CZ26" s="2">
        <f t="shared" si="141"/>
        <v>12624</v>
      </c>
      <c r="DA26" s="2">
        <f t="shared" si="141"/>
        <v>12572</v>
      </c>
      <c r="DB26" s="2">
        <f t="shared" si="141"/>
        <v>12606</v>
      </c>
      <c r="DC26" s="2">
        <f t="shared" si="141"/>
        <v>12459</v>
      </c>
      <c r="DD26" s="2">
        <f t="shared" si="141"/>
        <v>12432</v>
      </c>
      <c r="DE26" s="2">
        <f t="shared" si="141"/>
        <v>12358</v>
      </c>
      <c r="DF26" s="2">
        <f t="shared" si="141"/>
        <v>12966</v>
      </c>
      <c r="DG26" s="2">
        <f t="shared" si="141"/>
        <v>13171</v>
      </c>
      <c r="DH26" s="2">
        <f t="shared" si="141"/>
        <v>13151</v>
      </c>
      <c r="DI26" s="2">
        <f t="shared" si="141"/>
        <v>13335</v>
      </c>
      <c r="DJ26" s="2">
        <f t="shared" si="141"/>
        <v>13569</v>
      </c>
      <c r="DK26" s="2">
        <f t="shared" ref="DK26:DL26" si="142">SUM(DK24:DK25)</f>
        <v>13874</v>
      </c>
      <c r="DL26" s="2">
        <f t="shared" si="142"/>
        <v>13545</v>
      </c>
      <c r="DM26" s="2">
        <f t="shared" ref="DM26:DN26" si="143">SUM(DM24:DM25)</f>
        <v>13898</v>
      </c>
      <c r="DN26" s="2">
        <f t="shared" si="143"/>
        <v>13787</v>
      </c>
      <c r="DO26" s="2">
        <f t="shared" ref="DO26:DP26" si="144">SUM(DO24:DO25)</f>
        <v>13460</v>
      </c>
      <c r="DP26" s="2">
        <f t="shared" si="144"/>
        <v>13026</v>
      </c>
      <c r="DQ26" s="2">
        <f t="shared" ref="DQ26:DR26" si="145">SUM(DQ24:DQ25)</f>
        <v>10973</v>
      </c>
      <c r="DR26" s="2">
        <f t="shared" si="145"/>
        <v>12347</v>
      </c>
      <c r="DS26" s="2">
        <f t="shared" ref="DS26" si="146">SUM(DS24:DS25)</f>
        <v>12415</v>
      </c>
      <c r="DT26" s="2">
        <f t="shared" ref="DT26:DU26" si="147">SUM(DT24:DT25)</f>
        <v>12137</v>
      </c>
      <c r="DU26" s="2">
        <f t="shared" si="147"/>
        <v>12317</v>
      </c>
    </row>
    <row r="27" spans="1:125" ht="13.5" customHeight="1" x14ac:dyDescent="0.2">
      <c r="A27" s="8"/>
      <c r="B27" s="34" t="s">
        <v>97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9"/>
    </row>
    <row r="28" spans="1:125" ht="13.5" customHeight="1" x14ac:dyDescent="0.2">
      <c r="A28" s="8"/>
      <c r="C28" s="3" t="s">
        <v>62</v>
      </c>
      <c r="BL28" s="9"/>
      <c r="BN28" s="2" t="s">
        <v>98</v>
      </c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</row>
    <row r="29" spans="1:125" ht="13.5" customHeight="1" x14ac:dyDescent="0.2">
      <c r="A29" s="8"/>
      <c r="D29" s="2" t="s">
        <v>59</v>
      </c>
      <c r="E29" s="14"/>
      <c r="F29" s="14">
        <f t="shared" ref="F29:H30" si="148">BP29/BP$31</f>
        <v>0.9961878621530954</v>
      </c>
      <c r="G29" s="14">
        <f t="shared" si="148"/>
        <v>0.98240291262135926</v>
      </c>
      <c r="H29" s="14">
        <f t="shared" si="148"/>
        <v>0.98249635340695973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>
        <f t="shared" ref="X29:AH30" si="149">CH29/CH$31</f>
        <v>0.96988014590932781</v>
      </c>
      <c r="Y29" s="14">
        <f t="shared" si="149"/>
        <v>0.97928217099503945</v>
      </c>
      <c r="Z29" s="14">
        <f t="shared" si="149"/>
        <v>0.97655964976286025</v>
      </c>
      <c r="AA29" s="14">
        <f t="shared" si="149"/>
        <v>0.98060585257015365</v>
      </c>
      <c r="AB29" s="14">
        <f t="shared" si="149"/>
        <v>0.97361042388256636</v>
      </c>
      <c r="AC29" s="14">
        <f t="shared" si="149"/>
        <v>0.97377074851237078</v>
      </c>
      <c r="AD29" s="14">
        <f t="shared" si="149"/>
        <v>0.97510696227148974</v>
      </c>
      <c r="AE29" s="14">
        <f t="shared" si="149"/>
        <v>0.97958517066797324</v>
      </c>
      <c r="AF29" s="14">
        <f t="shared" si="149"/>
        <v>0.97338493129047543</v>
      </c>
      <c r="AG29" s="14">
        <f t="shared" si="149"/>
        <v>0.95924937185929648</v>
      </c>
      <c r="AH29" s="14">
        <f t="shared" si="149"/>
        <v>0.94547759932375319</v>
      </c>
      <c r="AI29" s="14">
        <f t="shared" ref="AI29:AR30" si="150">CS29/CS$31</f>
        <v>0.9484101916192883</v>
      </c>
      <c r="AJ29" s="14">
        <f t="shared" si="150"/>
        <v>0.95803488009965743</v>
      </c>
      <c r="AK29" s="14">
        <f t="shared" si="150"/>
        <v>0.95404565101994387</v>
      </c>
      <c r="AL29" s="14">
        <f t="shared" si="150"/>
        <v>0.95741567842291697</v>
      </c>
      <c r="AM29" s="14">
        <f t="shared" si="150"/>
        <v>0.94998822328648813</v>
      </c>
      <c r="AN29" s="14">
        <f t="shared" si="150"/>
        <v>0.95208554403722145</v>
      </c>
      <c r="AO29" s="14">
        <f t="shared" si="150"/>
        <v>0.94950845458120325</v>
      </c>
      <c r="AP29" s="14">
        <f t="shared" si="150"/>
        <v>0.94106463878326996</v>
      </c>
      <c r="AQ29" s="14">
        <f t="shared" si="150"/>
        <v>0.93716194718421886</v>
      </c>
      <c r="AR29" s="14">
        <f t="shared" si="150"/>
        <v>0.92805013485641763</v>
      </c>
      <c r="AS29" s="14">
        <f t="shared" ref="AS29:BK30" si="151">DC29/DC$31</f>
        <v>0.9277630628461353</v>
      </c>
      <c r="AT29" s="14">
        <f t="shared" si="151"/>
        <v>0.92527348777348772</v>
      </c>
      <c r="AU29" s="14">
        <f t="shared" si="151"/>
        <v>0.9274963586340832</v>
      </c>
      <c r="AV29" s="14">
        <f t="shared" si="151"/>
        <v>0.92904519512571337</v>
      </c>
      <c r="AW29" s="14">
        <f t="shared" si="151"/>
        <v>0.93121251233771163</v>
      </c>
      <c r="AX29" s="14">
        <f t="shared" si="151"/>
        <v>0.9285985856588852</v>
      </c>
      <c r="AY29" s="14">
        <f t="shared" si="151"/>
        <v>0.92680914885639298</v>
      </c>
      <c r="AZ29" s="14">
        <f t="shared" si="151"/>
        <v>0.92681848330753924</v>
      </c>
      <c r="BA29" s="14">
        <f t="shared" si="151"/>
        <v>0.92756234683580796</v>
      </c>
      <c r="BB29" s="14">
        <f t="shared" si="151"/>
        <v>0.93119232188999634</v>
      </c>
      <c r="BC29" s="14">
        <f t="shared" si="151"/>
        <v>0.93668153691178591</v>
      </c>
      <c r="BD29" s="14">
        <f t="shared" si="151"/>
        <v>0.93849278305650252</v>
      </c>
      <c r="BE29" s="14">
        <f t="shared" si="151"/>
        <v>0.9361812778603269</v>
      </c>
      <c r="BF29" s="14">
        <f t="shared" si="151"/>
        <v>0.93597420543528331</v>
      </c>
      <c r="BG29" s="14">
        <f t="shared" si="151"/>
        <v>0.92928096236216162</v>
      </c>
      <c r="BH29" s="14">
        <f t="shared" si="151"/>
        <v>0.9416052482384385</v>
      </c>
      <c r="BI29" s="14">
        <f t="shared" si="151"/>
        <v>0.94538864277084167</v>
      </c>
      <c r="BJ29" s="14">
        <f t="shared" si="151"/>
        <v>0.94479690203509925</v>
      </c>
      <c r="BK29" s="14">
        <f t="shared" si="151"/>
        <v>0.94308679061459766</v>
      </c>
      <c r="BL29" s="9"/>
      <c r="BN29" s="2" t="s">
        <v>59</v>
      </c>
      <c r="BP29" s="2">
        <v>6533</v>
      </c>
      <c r="BQ29" s="2">
        <v>8095</v>
      </c>
      <c r="BR29" s="2">
        <v>9430</v>
      </c>
      <c r="CH29" s="2">
        <f>4830+4476</f>
        <v>9306</v>
      </c>
      <c r="CI29" s="2">
        <f>794+197+4043+4594+1+439</f>
        <v>10068</v>
      </c>
      <c r="CJ29" s="2">
        <f>805+195+4077+4579+33+1018</f>
        <v>10707</v>
      </c>
      <c r="CK29" s="2">
        <f>828+128+4238+4586+33+1614</f>
        <v>11427</v>
      </c>
      <c r="CL29" s="2">
        <f>808+120+4445+4768+31+1634</f>
        <v>11806</v>
      </c>
      <c r="CM29" s="2">
        <f>786+126+4555+4898+40+2032</f>
        <v>12437</v>
      </c>
      <c r="CN29" s="2">
        <v>12535</v>
      </c>
      <c r="CO29" s="2">
        <v>11996</v>
      </c>
      <c r="CP29" s="2">
        <v>12325</v>
      </c>
      <c r="CQ29" s="2">
        <v>12217</v>
      </c>
      <c r="CR29" s="2">
        <v>8948</v>
      </c>
      <c r="CS29" s="2">
        <f>600+130+4038+3780+63+397</f>
        <v>9008</v>
      </c>
      <c r="CT29" s="2">
        <v>12305</v>
      </c>
      <c r="CU29" s="2">
        <f>498+161+4191+3849+101+3781</f>
        <v>12581</v>
      </c>
      <c r="CV29" s="2">
        <v>12433</v>
      </c>
      <c r="CW29" s="2">
        <v>12100</v>
      </c>
      <c r="CX29" s="2">
        <v>11664</v>
      </c>
      <c r="CY29" s="2">
        <v>12073</v>
      </c>
      <c r="CZ29" s="2">
        <v>11880</v>
      </c>
      <c r="DA29" s="2">
        <f>342+45+4594+3181+65+3555</f>
        <v>11782</v>
      </c>
      <c r="DB29" s="2">
        <v>11699</v>
      </c>
      <c r="DC29" s="2">
        <v>11559</v>
      </c>
      <c r="DD29" s="2">
        <v>11503</v>
      </c>
      <c r="DE29" s="2">
        <v>11462</v>
      </c>
      <c r="DF29" s="2">
        <v>12046</v>
      </c>
      <c r="DG29" s="2">
        <v>12265</v>
      </c>
      <c r="DH29" s="2">
        <v>12212</v>
      </c>
      <c r="DI29" s="2">
        <v>12359</v>
      </c>
      <c r="DJ29" s="2">
        <v>12576</v>
      </c>
      <c r="DK29" s="2">
        <v>12869</v>
      </c>
      <c r="DL29" s="1">
        <v>12613</v>
      </c>
      <c r="DM29" s="1">
        <v>13018</v>
      </c>
      <c r="DN29" s="1">
        <v>12939</v>
      </c>
      <c r="DO29" s="1">
        <v>12601</v>
      </c>
      <c r="DP29" s="1">
        <v>12192</v>
      </c>
      <c r="DQ29" s="1">
        <v>10197</v>
      </c>
      <c r="DR29" s="1">
        <v>11626</v>
      </c>
      <c r="DS29" s="1">
        <v>11737</v>
      </c>
      <c r="DT29" s="1">
        <v>11467</v>
      </c>
      <c r="DU29" s="1">
        <v>11616</v>
      </c>
    </row>
    <row r="30" spans="1:125" ht="13.5" customHeight="1" x14ac:dyDescent="0.2">
      <c r="A30" s="39"/>
      <c r="D30" s="2" t="s">
        <v>60</v>
      </c>
      <c r="E30" s="14"/>
      <c r="F30" s="14">
        <f t="shared" si="148"/>
        <v>3.8121378469045441E-3</v>
      </c>
      <c r="G30" s="14">
        <f t="shared" si="148"/>
        <v>1.7597087378640776E-2</v>
      </c>
      <c r="H30" s="14">
        <f t="shared" si="148"/>
        <v>1.7503646593040215E-2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>
        <f t="shared" si="149"/>
        <v>3.0119854090672225E-2</v>
      </c>
      <c r="Y30" s="14">
        <f t="shared" si="149"/>
        <v>2.0717829004960608E-2</v>
      </c>
      <c r="Z30" s="14">
        <f t="shared" si="149"/>
        <v>2.344035023713973E-2</v>
      </c>
      <c r="AA30" s="14">
        <f t="shared" si="149"/>
        <v>1.9394147429846392E-2</v>
      </c>
      <c r="AB30" s="14">
        <f t="shared" si="149"/>
        <v>2.6389576117433613E-2</v>
      </c>
      <c r="AC30" s="14">
        <f t="shared" si="149"/>
        <v>2.6229251487629189E-2</v>
      </c>
      <c r="AD30" s="14">
        <f t="shared" si="149"/>
        <v>2.4893037728510307E-2</v>
      </c>
      <c r="AE30" s="14">
        <f t="shared" si="149"/>
        <v>2.0414829332026783E-2</v>
      </c>
      <c r="AF30" s="14">
        <f t="shared" si="149"/>
        <v>2.6615068709524563E-2</v>
      </c>
      <c r="AG30" s="14">
        <f t="shared" si="149"/>
        <v>4.0750628140703515E-2</v>
      </c>
      <c r="AH30" s="14">
        <f t="shared" si="149"/>
        <v>5.4522400676246828E-2</v>
      </c>
      <c r="AI30" s="14">
        <f t="shared" si="150"/>
        <v>5.1589808380711727E-2</v>
      </c>
      <c r="AJ30" s="14">
        <f t="shared" si="150"/>
        <v>4.1965119900342573E-2</v>
      </c>
      <c r="AK30" s="14">
        <f t="shared" si="150"/>
        <v>4.5954348980056119E-2</v>
      </c>
      <c r="AL30" s="14">
        <f t="shared" si="150"/>
        <v>4.2584321577083015E-2</v>
      </c>
      <c r="AM30" s="14">
        <f t="shared" si="150"/>
        <v>5.0011776713511813E-2</v>
      </c>
      <c r="AN30" s="14">
        <f t="shared" si="150"/>
        <v>4.7914455962778546E-2</v>
      </c>
      <c r="AO30" s="14">
        <f t="shared" si="150"/>
        <v>5.0491545418796697E-2</v>
      </c>
      <c r="AP30" s="14">
        <f t="shared" si="150"/>
        <v>5.8935361216730035E-2</v>
      </c>
      <c r="AQ30" s="14">
        <f t="shared" si="150"/>
        <v>6.2838052815781101E-2</v>
      </c>
      <c r="AR30" s="14">
        <f t="shared" si="150"/>
        <v>7.1949865143582425E-2</v>
      </c>
      <c r="AS30" s="14">
        <f t="shared" si="151"/>
        <v>7.2236937153864672E-2</v>
      </c>
      <c r="AT30" s="14">
        <f t="shared" si="151"/>
        <v>7.4726512226512221E-2</v>
      </c>
      <c r="AU30" s="14">
        <f t="shared" si="151"/>
        <v>7.2503641365916818E-2</v>
      </c>
      <c r="AV30" s="14">
        <f t="shared" si="151"/>
        <v>7.0954804874286598E-2</v>
      </c>
      <c r="AW30" s="14">
        <f t="shared" si="151"/>
        <v>6.8787487662288357E-2</v>
      </c>
      <c r="AX30" s="14">
        <f t="shared" si="151"/>
        <v>7.1401414341114744E-2</v>
      </c>
      <c r="AY30" s="14">
        <f t="shared" si="151"/>
        <v>7.3190851143607044E-2</v>
      </c>
      <c r="AZ30" s="14">
        <f t="shared" si="151"/>
        <v>7.3181516692460757E-2</v>
      </c>
      <c r="BA30" s="14">
        <f t="shared" si="151"/>
        <v>7.2437653164192012E-2</v>
      </c>
      <c r="BB30" s="14">
        <f t="shared" si="151"/>
        <v>6.8807678110003698E-2</v>
      </c>
      <c r="BC30" s="14">
        <f t="shared" si="151"/>
        <v>6.3318463088214136E-2</v>
      </c>
      <c r="BD30" s="14">
        <f t="shared" si="151"/>
        <v>6.1507216943497499E-2</v>
      </c>
      <c r="BE30" s="14">
        <f t="shared" si="151"/>
        <v>6.3818722139673101E-2</v>
      </c>
      <c r="BF30" s="14">
        <f t="shared" si="151"/>
        <v>6.4025794564716715E-2</v>
      </c>
      <c r="BG30" s="14">
        <f t="shared" si="151"/>
        <v>7.0719037637838336E-2</v>
      </c>
      <c r="BH30" s="14">
        <f t="shared" si="151"/>
        <v>5.839475176156151E-2</v>
      </c>
      <c r="BI30" s="14">
        <f t="shared" si="151"/>
        <v>5.4611357229158275E-2</v>
      </c>
      <c r="BJ30" s="14">
        <f t="shared" si="151"/>
        <v>5.5203097964900714E-2</v>
      </c>
      <c r="BK30" s="14">
        <f t="shared" si="151"/>
        <v>5.6913209385402293E-2</v>
      </c>
      <c r="BL30" s="9"/>
      <c r="BN30" s="2" t="s">
        <v>60</v>
      </c>
      <c r="BP30" s="2">
        <v>25</v>
      </c>
      <c r="BQ30" s="2">
        <v>145</v>
      </c>
      <c r="BR30" s="2">
        <v>168</v>
      </c>
      <c r="CH30" s="2">
        <f>86+203</f>
        <v>289</v>
      </c>
      <c r="CI30" s="2">
        <f>19+11+79+98+6</f>
        <v>213</v>
      </c>
      <c r="CJ30" s="2">
        <f>13+13+105+117+1+8</f>
        <v>257</v>
      </c>
      <c r="CK30" s="2">
        <f>10+12+114+67+3+20</f>
        <v>226</v>
      </c>
      <c r="CL30" s="2">
        <f>11+9+173+92+1+34</f>
        <v>320</v>
      </c>
      <c r="CM30" s="2">
        <f>16+13+159+100+1+46</f>
        <v>335</v>
      </c>
      <c r="CN30" s="2">
        <v>320</v>
      </c>
      <c r="CO30" s="2">
        <v>250</v>
      </c>
      <c r="CP30" s="2">
        <v>337</v>
      </c>
      <c r="CQ30" s="2">
        <v>519</v>
      </c>
      <c r="CR30" s="2">
        <v>516</v>
      </c>
      <c r="CS30" s="2">
        <f>32+6+318+113+4+17</f>
        <v>490</v>
      </c>
      <c r="CT30" s="2">
        <v>539</v>
      </c>
      <c r="CU30" s="2">
        <f>31+5+343+129+20+78</f>
        <v>606</v>
      </c>
      <c r="CV30" s="2">
        <v>553</v>
      </c>
      <c r="CW30" s="2">
        <v>637</v>
      </c>
      <c r="CX30" s="2">
        <v>587</v>
      </c>
      <c r="CY30" s="2">
        <v>642</v>
      </c>
      <c r="CZ30" s="2">
        <v>744</v>
      </c>
      <c r="DA30" s="2">
        <f>57+5+510+170+1+47</f>
        <v>790</v>
      </c>
      <c r="DB30" s="2">
        <v>907</v>
      </c>
      <c r="DC30" s="2">
        <v>900</v>
      </c>
      <c r="DD30" s="2">
        <v>929</v>
      </c>
      <c r="DE30" s="2">
        <v>896</v>
      </c>
      <c r="DF30" s="2">
        <v>920</v>
      </c>
      <c r="DG30" s="2">
        <v>906</v>
      </c>
      <c r="DH30" s="2">
        <v>939</v>
      </c>
      <c r="DI30" s="2">
        <v>976</v>
      </c>
      <c r="DJ30" s="2">
        <v>993</v>
      </c>
      <c r="DK30" s="2">
        <v>1005</v>
      </c>
      <c r="DL30" s="1">
        <v>932</v>
      </c>
      <c r="DM30" s="1">
        <v>880</v>
      </c>
      <c r="DN30" s="1">
        <v>848</v>
      </c>
      <c r="DO30" s="1">
        <v>859</v>
      </c>
      <c r="DP30" s="1">
        <v>834</v>
      </c>
      <c r="DQ30" s="1">
        <v>776</v>
      </c>
      <c r="DR30" s="1">
        <v>721</v>
      </c>
      <c r="DS30" s="1">
        <v>678</v>
      </c>
      <c r="DT30" s="1">
        <v>670</v>
      </c>
      <c r="DU30" s="1">
        <v>701</v>
      </c>
    </row>
    <row r="31" spans="1:125" ht="13.5" customHeight="1" x14ac:dyDescent="0.2">
      <c r="A31" s="39"/>
      <c r="C31" s="3" t="s">
        <v>63</v>
      </c>
      <c r="BL31" s="38"/>
      <c r="BN31" s="20" t="s">
        <v>56</v>
      </c>
      <c r="BP31" s="2">
        <f>SUM(BP29:BP30)</f>
        <v>6558</v>
      </c>
      <c r="BQ31" s="2">
        <f>SUM(BQ29:BQ30)</f>
        <v>8240</v>
      </c>
      <c r="BR31" s="2">
        <f>SUM(BR29:BR30)</f>
        <v>9598</v>
      </c>
      <c r="CH31" s="2">
        <f t="shared" ref="CH31:DJ31" si="152">SUM(CH29:CH30)</f>
        <v>9595</v>
      </c>
      <c r="CI31" s="2">
        <f t="shared" si="152"/>
        <v>10281</v>
      </c>
      <c r="CJ31" s="2">
        <f t="shared" si="152"/>
        <v>10964</v>
      </c>
      <c r="CK31" s="2">
        <f t="shared" si="152"/>
        <v>11653</v>
      </c>
      <c r="CL31" s="2">
        <f t="shared" si="152"/>
        <v>12126</v>
      </c>
      <c r="CM31" s="2">
        <f t="shared" si="152"/>
        <v>12772</v>
      </c>
      <c r="CN31" s="2">
        <f t="shared" si="152"/>
        <v>12855</v>
      </c>
      <c r="CO31" s="2">
        <f t="shared" si="152"/>
        <v>12246</v>
      </c>
      <c r="CP31" s="2">
        <f t="shared" si="152"/>
        <v>12662</v>
      </c>
      <c r="CQ31" s="2">
        <f t="shared" si="152"/>
        <v>12736</v>
      </c>
      <c r="CR31" s="2">
        <f t="shared" si="152"/>
        <v>9464</v>
      </c>
      <c r="CS31" s="2">
        <f t="shared" si="152"/>
        <v>9498</v>
      </c>
      <c r="CT31" s="2">
        <f t="shared" si="152"/>
        <v>12844</v>
      </c>
      <c r="CU31" s="2">
        <f t="shared" si="152"/>
        <v>13187</v>
      </c>
      <c r="CV31" s="2">
        <f t="shared" si="152"/>
        <v>12986</v>
      </c>
      <c r="CW31" s="2">
        <f t="shared" si="152"/>
        <v>12737</v>
      </c>
      <c r="CX31" s="2">
        <f t="shared" si="152"/>
        <v>12251</v>
      </c>
      <c r="CY31" s="2">
        <f t="shared" si="152"/>
        <v>12715</v>
      </c>
      <c r="CZ31" s="2">
        <f t="shared" si="152"/>
        <v>12624</v>
      </c>
      <c r="DA31" s="2">
        <f t="shared" si="152"/>
        <v>12572</v>
      </c>
      <c r="DB31" s="2">
        <f t="shared" si="152"/>
        <v>12606</v>
      </c>
      <c r="DC31" s="2">
        <f t="shared" si="152"/>
        <v>12459</v>
      </c>
      <c r="DD31" s="2">
        <f t="shared" si="152"/>
        <v>12432</v>
      </c>
      <c r="DE31" s="2">
        <f t="shared" si="152"/>
        <v>12358</v>
      </c>
      <c r="DF31" s="2">
        <f t="shared" si="152"/>
        <v>12966</v>
      </c>
      <c r="DG31" s="2">
        <f t="shared" si="152"/>
        <v>13171</v>
      </c>
      <c r="DH31" s="2">
        <f t="shared" si="152"/>
        <v>13151</v>
      </c>
      <c r="DI31" s="2">
        <f t="shared" si="152"/>
        <v>13335</v>
      </c>
      <c r="DJ31" s="2">
        <f t="shared" si="152"/>
        <v>13569</v>
      </c>
      <c r="DK31" s="2">
        <f t="shared" ref="DK31:DL31" si="153">SUM(DK29:DK30)</f>
        <v>13874</v>
      </c>
      <c r="DL31" s="2">
        <f t="shared" si="153"/>
        <v>13545</v>
      </c>
      <c r="DM31" s="2">
        <f t="shared" ref="DM31:DN31" si="154">SUM(DM29:DM30)</f>
        <v>13898</v>
      </c>
      <c r="DN31" s="2">
        <f t="shared" si="154"/>
        <v>13787</v>
      </c>
      <c r="DO31" s="2">
        <f t="shared" ref="DO31:DP31" si="155">SUM(DO29:DO30)</f>
        <v>13460</v>
      </c>
      <c r="DP31" s="2">
        <f t="shared" si="155"/>
        <v>13026</v>
      </c>
      <c r="DQ31" s="2">
        <f t="shared" ref="DQ31:DR31" si="156">SUM(DQ29:DQ30)</f>
        <v>10973</v>
      </c>
      <c r="DR31" s="2">
        <f t="shared" si="156"/>
        <v>12347</v>
      </c>
      <c r="DS31" s="2">
        <f t="shared" ref="DS31" si="157">SUM(DS29:DS30)</f>
        <v>12415</v>
      </c>
      <c r="DT31" s="2">
        <f t="shared" ref="DT31:DU31" si="158">SUM(DT29:DT30)</f>
        <v>12137</v>
      </c>
      <c r="DU31" s="2">
        <f t="shared" si="158"/>
        <v>12317</v>
      </c>
    </row>
    <row r="32" spans="1:125" ht="13.5" customHeight="1" x14ac:dyDescent="0.2">
      <c r="A32" s="39"/>
      <c r="D32" s="2" t="s">
        <v>59</v>
      </c>
      <c r="X32" s="14">
        <f t="shared" ref="X32:Y32" si="159">CH32/CH34</f>
        <v>0.92079207920792083</v>
      </c>
      <c r="Y32" s="14">
        <f t="shared" si="159"/>
        <v>0.9401888772298006</v>
      </c>
      <c r="Z32" s="14">
        <f t="shared" ref="Z32" si="160">CJ32/CJ34</f>
        <v>0.9296187683284457</v>
      </c>
      <c r="AA32" s="14">
        <f t="shared" ref="AA32" si="161">CK32/CK34</f>
        <v>0.93440302029259081</v>
      </c>
      <c r="AB32" s="14">
        <f t="shared" ref="AB32" si="162">CL32/CL34</f>
        <v>0.92860178495537615</v>
      </c>
      <c r="AC32" s="14"/>
      <c r="AD32" s="14"/>
      <c r="AE32" s="14">
        <f t="shared" ref="AE32" si="163">CO32/CO34</f>
        <v>0.92112564407451447</v>
      </c>
      <c r="AF32" s="14">
        <f t="shared" ref="AF32" si="164">CP32/CP34</f>
        <v>0.91512345679012341</v>
      </c>
      <c r="AG32" s="14">
        <f t="shared" ref="AG32" si="165">CQ32/CQ34</f>
        <v>0.90693362995921389</v>
      </c>
      <c r="AH32" s="14">
        <f t="shared" ref="AH32" si="166">CR32/CR34</f>
        <v>0.91459074733096091</v>
      </c>
      <c r="AI32" s="14">
        <f t="shared" ref="AI32" si="167">CS32/CS34</f>
        <v>0.90299888930025918</v>
      </c>
      <c r="AJ32" s="14">
        <f t="shared" ref="AJ32" si="168">CT32/CT34</f>
        <v>0.90245805696449477</v>
      </c>
      <c r="AK32" s="14">
        <f t="shared" ref="AK32" si="169">CU32/CU34</f>
        <v>0.87817460317460316</v>
      </c>
      <c r="AL32" s="14">
        <f t="shared" ref="AL32" si="170">CV32/CV34</f>
        <v>0.87392197125256676</v>
      </c>
      <c r="AM32" s="14">
        <f t="shared" ref="AM32" si="171">CW32/CW34</f>
        <v>0.84825371336812527</v>
      </c>
      <c r="AN32" s="14">
        <f t="shared" ref="AN32" si="172">CX32/CX34</f>
        <v>0.83404420317952699</v>
      </c>
      <c r="AO32" s="14">
        <f t="shared" ref="AO32" si="173">CY32/CY34</f>
        <v>0.83195691202872535</v>
      </c>
      <c r="AP32" s="14">
        <f t="shared" ref="AP32" si="174">CZ32/CZ34</f>
        <v>0.83948863636363635</v>
      </c>
      <c r="AQ32" s="14">
        <f t="shared" ref="AQ32" si="175">DA32/DA34</f>
        <v>0.84317276349148862</v>
      </c>
      <c r="AR32" s="14">
        <f t="shared" ref="AR32" si="176">DB32/DB34</f>
        <v>0.83873290136789058</v>
      </c>
      <c r="AS32" s="14">
        <f t="shared" ref="AS32" si="177">DC32/DC34</f>
        <v>0.81526243093922657</v>
      </c>
      <c r="AT32" s="14">
        <f t="shared" ref="AT32" si="178">DD32/DD34</f>
        <v>0.81155950752393979</v>
      </c>
      <c r="AU32" s="14">
        <f t="shared" ref="AU32:AW32" si="179">DE32/DE34</f>
        <v>0.81029641185647427</v>
      </c>
      <c r="AV32" s="14">
        <f t="shared" si="179"/>
        <v>0.84243139569194447</v>
      </c>
      <c r="AW32" s="14">
        <f t="shared" si="179"/>
        <v>0.82487677587706587</v>
      </c>
      <c r="AX32" s="14">
        <f t="shared" ref="AX32:BK32" si="180">DH32/DH34</f>
        <v>0.78255880665519217</v>
      </c>
      <c r="AY32" s="14">
        <f t="shared" si="180"/>
        <v>0.76514678326046226</v>
      </c>
      <c r="AZ32" s="14">
        <f t="shared" si="180"/>
        <v>0.7825945241199479</v>
      </c>
      <c r="BA32" s="14">
        <f t="shared" si="180"/>
        <v>0.79417604235605554</v>
      </c>
      <c r="BB32" s="14">
        <f t="shared" si="180"/>
        <v>0.78483945713339953</v>
      </c>
      <c r="BC32" s="14">
        <f t="shared" si="180"/>
        <v>0.79199452617174138</v>
      </c>
      <c r="BD32" s="14">
        <f t="shared" si="180"/>
        <v>0.79898403483309144</v>
      </c>
      <c r="BE32" s="14">
        <f t="shared" si="180"/>
        <v>0.79543834640057021</v>
      </c>
      <c r="BF32" s="14">
        <f t="shared" si="180"/>
        <v>0.78676734987414598</v>
      </c>
      <c r="BG32" s="14">
        <f t="shared" si="180"/>
        <v>0.79919236417033779</v>
      </c>
      <c r="BH32" s="14">
        <f t="shared" si="180"/>
        <v>0.79558217895919137</v>
      </c>
      <c r="BI32" s="14">
        <f t="shared" si="180"/>
        <v>0.78711916698804474</v>
      </c>
      <c r="BJ32" s="14">
        <f t="shared" si="180"/>
        <v>0.78841512469831054</v>
      </c>
      <c r="BK32" s="14">
        <f t="shared" si="180"/>
        <v>0.80581655480984338</v>
      </c>
      <c r="BL32" s="38"/>
      <c r="BN32" s="2" t="s">
        <v>59</v>
      </c>
      <c r="CH32" s="2">
        <f>128+1304+28+93+28</f>
        <v>1581</v>
      </c>
      <c r="CI32" s="2">
        <v>1792</v>
      </c>
      <c r="CJ32" s="2">
        <v>1902</v>
      </c>
      <c r="CK32" s="2">
        <v>1980</v>
      </c>
      <c r="CL32" s="2">
        <v>2185</v>
      </c>
      <c r="CO32" s="2">
        <v>2324</v>
      </c>
      <c r="CP32" s="2">
        <v>2372</v>
      </c>
      <c r="CQ32" s="2">
        <v>2446</v>
      </c>
      <c r="CR32" s="2">
        <v>2570</v>
      </c>
      <c r="CS32" s="2">
        <v>2439</v>
      </c>
      <c r="CT32" s="2">
        <v>2313</v>
      </c>
      <c r="CU32" s="2">
        <v>2213</v>
      </c>
      <c r="CV32" s="2">
        <v>2128</v>
      </c>
      <c r="CW32" s="2">
        <v>2113</v>
      </c>
      <c r="CX32" s="2">
        <v>2151</v>
      </c>
      <c r="CY32" s="2">
        <v>2317</v>
      </c>
      <c r="CZ32" s="2">
        <v>2364</v>
      </c>
      <c r="DA32" s="2">
        <v>2328</v>
      </c>
      <c r="DB32" s="2">
        <v>2330</v>
      </c>
      <c r="DC32" s="2">
        <v>2361</v>
      </c>
      <c r="DD32" s="2">
        <v>2373</v>
      </c>
      <c r="DE32" s="2">
        <v>2597</v>
      </c>
      <c r="DF32" s="2">
        <v>2855</v>
      </c>
      <c r="DG32" s="2">
        <v>2845</v>
      </c>
      <c r="DH32" s="2">
        <v>2728</v>
      </c>
      <c r="DI32" s="2">
        <v>2450</v>
      </c>
      <c r="DJ32" s="2">
        <v>2401</v>
      </c>
      <c r="DK32" s="2">
        <v>2400</v>
      </c>
      <c r="DL32" s="1">
        <v>2371</v>
      </c>
      <c r="DM32" s="1">
        <v>2315</v>
      </c>
      <c r="DN32" s="1">
        <v>2202</v>
      </c>
      <c r="DO32" s="1">
        <v>2232</v>
      </c>
      <c r="DP32" s="1">
        <v>2188</v>
      </c>
      <c r="DQ32" s="1">
        <v>2177</v>
      </c>
      <c r="DR32" s="1">
        <v>2125</v>
      </c>
      <c r="DS32" s="1">
        <v>2041</v>
      </c>
      <c r="DT32" s="1">
        <v>1960</v>
      </c>
      <c r="DU32" s="1">
        <v>1801</v>
      </c>
    </row>
    <row r="33" spans="1:125" ht="13.5" customHeight="1" x14ac:dyDescent="0.2">
      <c r="A33" s="39"/>
      <c r="D33" s="2" t="s">
        <v>60</v>
      </c>
      <c r="X33" s="14">
        <f t="shared" ref="X33:Y33" si="181">CH33/CH34</f>
        <v>7.9207920792079209E-2</v>
      </c>
      <c r="Y33" s="14">
        <f t="shared" si="181"/>
        <v>5.9811122770199371E-2</v>
      </c>
      <c r="Z33" s="14">
        <f t="shared" ref="Z33" si="182">CJ33/CJ34</f>
        <v>7.0381231671554259E-2</v>
      </c>
      <c r="AA33" s="14">
        <f t="shared" ref="AA33" si="183">CK33/CK34</f>
        <v>6.5596979707409159E-2</v>
      </c>
      <c r="AB33" s="14">
        <f t="shared" ref="AB33" si="184">CL33/CL34</f>
        <v>7.1398215044623889E-2</v>
      </c>
      <c r="AC33" s="14"/>
      <c r="AD33" s="14"/>
      <c r="AE33" s="14">
        <f t="shared" ref="AE33" si="185">CO33/CO34</f>
        <v>7.8874355925485529E-2</v>
      </c>
      <c r="AF33" s="14">
        <f t="shared" ref="AF33" si="186">CP33/CP34</f>
        <v>8.4876543209876545E-2</v>
      </c>
      <c r="AG33" s="14">
        <f t="shared" ref="AG33" si="187">CQ33/CQ34</f>
        <v>9.3066370040786064E-2</v>
      </c>
      <c r="AH33" s="14">
        <f t="shared" ref="AH33" si="188">CR33/CR34</f>
        <v>8.5409252669039148E-2</v>
      </c>
      <c r="AI33" s="14">
        <f t="shared" ref="AI33" si="189">CS33/CS34</f>
        <v>9.7001110699740836E-2</v>
      </c>
      <c r="AJ33" s="14">
        <f t="shared" ref="AJ33" si="190">CT33/CT34</f>
        <v>9.7541943035505271E-2</v>
      </c>
      <c r="AK33" s="14">
        <f t="shared" ref="AK33" si="191">CU33/CU34</f>
        <v>0.12182539682539682</v>
      </c>
      <c r="AL33" s="14">
        <f t="shared" ref="AL33" si="192">CV33/CV34</f>
        <v>0.12607802874743326</v>
      </c>
      <c r="AM33" s="14">
        <f t="shared" ref="AM33" si="193">CW33/CW34</f>
        <v>0.15174628663187475</v>
      </c>
      <c r="AN33" s="14">
        <f t="shared" ref="AN33" si="194">CX33/CX34</f>
        <v>0.16595579682047304</v>
      </c>
      <c r="AO33" s="14">
        <f t="shared" ref="AO33" si="195">CY33/CY34</f>
        <v>0.16804308797127468</v>
      </c>
      <c r="AP33" s="14">
        <f t="shared" ref="AP33" si="196">CZ33/CZ34</f>
        <v>0.16051136363636365</v>
      </c>
      <c r="AQ33" s="14">
        <f t="shared" ref="AQ33" si="197">DA33/DA34</f>
        <v>0.15682723650851141</v>
      </c>
      <c r="AR33" s="14">
        <f t="shared" ref="AR33" si="198">DB33/DB34</f>
        <v>0.16126709863210942</v>
      </c>
      <c r="AS33" s="14">
        <f t="shared" ref="AS33" si="199">DC33/DC34</f>
        <v>0.18473756906077349</v>
      </c>
      <c r="AT33" s="14">
        <f t="shared" ref="AT33" si="200">DD33/DD34</f>
        <v>0.18844049247606018</v>
      </c>
      <c r="AU33" s="14">
        <f t="shared" ref="AU33:AW33" si="201">DE33/DE34</f>
        <v>0.18970358814352575</v>
      </c>
      <c r="AV33" s="14">
        <f t="shared" si="201"/>
        <v>0.15756860430805547</v>
      </c>
      <c r="AW33" s="14">
        <f t="shared" si="201"/>
        <v>0.17512322412293418</v>
      </c>
      <c r="AX33" s="14">
        <f t="shared" ref="AX33:BK33" si="202">DH33/DH34</f>
        <v>0.2174411933448078</v>
      </c>
      <c r="AY33" s="14">
        <f t="shared" si="202"/>
        <v>0.2348532167395378</v>
      </c>
      <c r="AZ33" s="14">
        <f t="shared" si="202"/>
        <v>0.21740547588005216</v>
      </c>
      <c r="BA33" s="14">
        <f t="shared" si="202"/>
        <v>0.2058239576439444</v>
      </c>
      <c r="BB33" s="14">
        <f t="shared" si="202"/>
        <v>0.21516054286660047</v>
      </c>
      <c r="BC33" s="14">
        <f t="shared" si="202"/>
        <v>0.20800547382825862</v>
      </c>
      <c r="BD33" s="14">
        <f t="shared" si="202"/>
        <v>0.20101596516690856</v>
      </c>
      <c r="BE33" s="14">
        <f t="shared" si="202"/>
        <v>0.20456165359942979</v>
      </c>
      <c r="BF33" s="14">
        <f t="shared" si="202"/>
        <v>0.21323265012585402</v>
      </c>
      <c r="BG33" s="14">
        <f t="shared" si="202"/>
        <v>0.20080763582966227</v>
      </c>
      <c r="BH33" s="14">
        <f t="shared" si="202"/>
        <v>0.20441782104080869</v>
      </c>
      <c r="BI33" s="14">
        <f t="shared" si="202"/>
        <v>0.21288083301195526</v>
      </c>
      <c r="BJ33" s="14">
        <f t="shared" si="202"/>
        <v>0.21158487530168946</v>
      </c>
      <c r="BK33" s="14">
        <f t="shared" si="202"/>
        <v>0.19418344519015659</v>
      </c>
      <c r="BL33" s="38"/>
      <c r="BN33" s="2" t="s">
        <v>60</v>
      </c>
      <c r="CH33" s="2">
        <f>23+65+24+24</f>
        <v>136</v>
      </c>
      <c r="CI33" s="2">
        <v>114</v>
      </c>
      <c r="CJ33" s="2">
        <v>144</v>
      </c>
      <c r="CK33" s="2">
        <v>139</v>
      </c>
      <c r="CL33" s="2">
        <v>168</v>
      </c>
      <c r="CO33" s="2">
        <v>199</v>
      </c>
      <c r="CP33" s="2">
        <v>220</v>
      </c>
      <c r="CQ33" s="2">
        <v>251</v>
      </c>
      <c r="CR33" s="2">
        <v>240</v>
      </c>
      <c r="CS33" s="2">
        <v>262</v>
      </c>
      <c r="CT33" s="2">
        <v>250</v>
      </c>
      <c r="CU33" s="2">
        <v>307</v>
      </c>
      <c r="CV33" s="2">
        <v>307</v>
      </c>
      <c r="CW33" s="2">
        <v>378</v>
      </c>
      <c r="CX33" s="2">
        <v>428</v>
      </c>
      <c r="CY33" s="2">
        <v>468</v>
      </c>
      <c r="CZ33" s="2">
        <v>452</v>
      </c>
      <c r="DA33" s="2">
        <v>433</v>
      </c>
      <c r="DB33" s="2">
        <v>448</v>
      </c>
      <c r="DC33" s="2">
        <v>535</v>
      </c>
      <c r="DD33" s="2">
        <v>551</v>
      </c>
      <c r="DE33" s="2">
        <v>608</v>
      </c>
      <c r="DF33" s="2">
        <v>534</v>
      </c>
      <c r="DG33" s="2">
        <v>604</v>
      </c>
      <c r="DH33" s="2">
        <v>758</v>
      </c>
      <c r="DI33" s="2">
        <v>752</v>
      </c>
      <c r="DJ33" s="2">
        <v>667</v>
      </c>
      <c r="DK33" s="2">
        <v>622</v>
      </c>
      <c r="DL33" s="1">
        <v>650</v>
      </c>
      <c r="DM33" s="1">
        <v>608</v>
      </c>
      <c r="DN33" s="1">
        <v>554</v>
      </c>
      <c r="DO33" s="1">
        <v>574</v>
      </c>
      <c r="DP33" s="1">
        <v>593</v>
      </c>
      <c r="DQ33" s="1">
        <v>547</v>
      </c>
      <c r="DR33" s="1">
        <v>546</v>
      </c>
      <c r="DS33" s="1">
        <v>552</v>
      </c>
      <c r="DT33" s="1">
        <v>526</v>
      </c>
      <c r="DU33" s="1">
        <v>434</v>
      </c>
    </row>
    <row r="34" spans="1:125" ht="13.5" customHeight="1" x14ac:dyDescent="0.2">
      <c r="A34" s="39"/>
      <c r="BL34" s="38"/>
      <c r="BN34" s="20" t="s">
        <v>56</v>
      </c>
      <c r="CH34" s="2">
        <f t="shared" ref="CH34:CL34" si="203">SUM(CH32:CH33)</f>
        <v>1717</v>
      </c>
      <c r="CI34" s="2">
        <f t="shared" si="203"/>
        <v>1906</v>
      </c>
      <c r="CJ34" s="2">
        <f t="shared" si="203"/>
        <v>2046</v>
      </c>
      <c r="CK34" s="2">
        <f t="shared" si="203"/>
        <v>2119</v>
      </c>
      <c r="CL34" s="2">
        <f t="shared" si="203"/>
        <v>2353</v>
      </c>
      <c r="CO34" s="2">
        <f t="shared" ref="CO34:DD34" si="204">SUM(CO32:CO33)</f>
        <v>2523</v>
      </c>
      <c r="CP34" s="2">
        <f t="shared" si="204"/>
        <v>2592</v>
      </c>
      <c r="CQ34" s="2">
        <f t="shared" si="204"/>
        <v>2697</v>
      </c>
      <c r="CR34" s="2">
        <f t="shared" si="204"/>
        <v>2810</v>
      </c>
      <c r="CS34" s="2">
        <f t="shared" si="204"/>
        <v>2701</v>
      </c>
      <c r="CT34" s="2">
        <f t="shared" si="204"/>
        <v>2563</v>
      </c>
      <c r="CU34" s="2">
        <f t="shared" si="204"/>
        <v>2520</v>
      </c>
      <c r="CV34" s="2">
        <f t="shared" si="204"/>
        <v>2435</v>
      </c>
      <c r="CW34" s="2">
        <f t="shared" si="204"/>
        <v>2491</v>
      </c>
      <c r="CX34" s="2">
        <f t="shared" si="204"/>
        <v>2579</v>
      </c>
      <c r="CY34" s="2">
        <f t="shared" si="204"/>
        <v>2785</v>
      </c>
      <c r="CZ34" s="2">
        <f t="shared" si="204"/>
        <v>2816</v>
      </c>
      <c r="DA34" s="2">
        <f t="shared" si="204"/>
        <v>2761</v>
      </c>
      <c r="DB34" s="2">
        <f t="shared" si="204"/>
        <v>2778</v>
      </c>
      <c r="DC34" s="2">
        <f t="shared" si="204"/>
        <v>2896</v>
      </c>
      <c r="DD34" s="2">
        <f t="shared" si="204"/>
        <v>2924</v>
      </c>
      <c r="DE34" s="2">
        <f t="shared" ref="DE34:DF34" si="205">SUM(DE32:DE33)</f>
        <v>3205</v>
      </c>
      <c r="DF34" s="2">
        <f t="shared" si="205"/>
        <v>3389</v>
      </c>
      <c r="DG34" s="2">
        <f t="shared" ref="DG34:DL34" si="206">SUM(DG32:DG33)</f>
        <v>3449</v>
      </c>
      <c r="DH34" s="2">
        <f t="shared" si="206"/>
        <v>3486</v>
      </c>
      <c r="DI34" s="2">
        <f t="shared" si="206"/>
        <v>3202</v>
      </c>
      <c r="DJ34" s="2">
        <f t="shared" si="206"/>
        <v>3068</v>
      </c>
      <c r="DK34" s="2">
        <f t="shared" si="206"/>
        <v>3022</v>
      </c>
      <c r="DL34" s="2">
        <f t="shared" si="206"/>
        <v>3021</v>
      </c>
      <c r="DM34" s="2">
        <f t="shared" ref="DM34:DN34" si="207">SUM(DM32:DM33)</f>
        <v>2923</v>
      </c>
      <c r="DN34" s="2">
        <f t="shared" si="207"/>
        <v>2756</v>
      </c>
      <c r="DO34" s="2">
        <f t="shared" ref="DO34:DP34" si="208">SUM(DO32:DO33)</f>
        <v>2806</v>
      </c>
      <c r="DP34" s="2">
        <f t="shared" si="208"/>
        <v>2781</v>
      </c>
      <c r="DQ34" s="2">
        <f t="shared" ref="DQ34:DR34" si="209">SUM(DQ32:DQ33)</f>
        <v>2724</v>
      </c>
      <c r="DR34" s="2">
        <f t="shared" si="209"/>
        <v>2671</v>
      </c>
      <c r="DS34" s="2">
        <f t="shared" ref="DS34" si="210">SUM(DS32:DS33)</f>
        <v>2593</v>
      </c>
      <c r="DT34" s="2">
        <f t="shared" ref="DT34:DU34" si="211">SUM(DT32:DT33)</f>
        <v>2486</v>
      </c>
      <c r="DU34" s="2">
        <f t="shared" si="211"/>
        <v>2235</v>
      </c>
    </row>
    <row r="35" spans="1:125" ht="13.5" customHeight="1" x14ac:dyDescent="0.2">
      <c r="A35" s="8"/>
      <c r="B35" s="34" t="s">
        <v>67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9"/>
    </row>
    <row r="36" spans="1:125" ht="13.5" customHeight="1" x14ac:dyDescent="0.2">
      <c r="A36" s="8"/>
      <c r="C36" s="3" t="s">
        <v>62</v>
      </c>
      <c r="BL36" s="9"/>
      <c r="BN36" s="2" t="s">
        <v>61</v>
      </c>
    </row>
    <row r="37" spans="1:125" ht="13.5" customHeight="1" x14ac:dyDescent="0.2">
      <c r="A37" s="8"/>
      <c r="D37" s="2" t="s">
        <v>75</v>
      </c>
      <c r="E37" s="14">
        <f t="shared" ref="E37:E38" si="212">BO37/BO$39</f>
        <v>0.64087540927106668</v>
      </c>
      <c r="F37" s="14">
        <f t="shared" ref="F37:F38" si="213">BP37/BP$39</f>
        <v>0.6463860933211345</v>
      </c>
      <c r="G37" s="14">
        <f t="shared" ref="G37:G38" si="214">BQ37/BQ$39</f>
        <v>0.68982164409279867</v>
      </c>
      <c r="H37" s="14">
        <f t="shared" ref="H37:H38" si="215">BR37/BR$39</f>
        <v>0.71574139142656357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>
        <f t="shared" ref="W37:Y38" si="216">CG37/CG$39</f>
        <v>0.52250869654184573</v>
      </c>
      <c r="X37" s="14">
        <f t="shared" si="216"/>
        <v>0.51235018238665975</v>
      </c>
      <c r="Y37" s="14">
        <f t="shared" si="216"/>
        <v>0.48010893881918099</v>
      </c>
      <c r="Z37" s="14">
        <f t="shared" ref="Z37:Z38" si="217">CJ37/CJ$39</f>
        <v>0.45913900036483035</v>
      </c>
      <c r="AA37" s="14">
        <f t="shared" ref="AA37:AA38" si="218">CK37/CK$39</f>
        <v>0.44846820561228867</v>
      </c>
      <c r="AB37" s="14">
        <f t="shared" ref="AB37:AB38" si="219">CL37/CL$39</f>
        <v>0.45101434933201384</v>
      </c>
      <c r="AC37" s="14">
        <f t="shared" ref="AC37:AC38" si="220">CM37/CM$39</f>
        <v>0.43509238960225494</v>
      </c>
      <c r="AD37" s="14">
        <f t="shared" ref="AD37:AD38" si="221">CN37/CN$39</f>
        <v>0.42131466355503694</v>
      </c>
      <c r="AE37" s="14">
        <f t="shared" ref="AE37:AE38" si="222">CO37/CO$39</f>
        <v>0.39188306385758614</v>
      </c>
      <c r="AF37" s="14">
        <f t="shared" ref="AF37:AF38" si="223">CP37/CP$39</f>
        <v>0.3791660085294582</v>
      </c>
      <c r="AG37" s="14">
        <f t="shared" ref="AG37:AG38" si="224">CQ37/CQ$39</f>
        <v>0.40169597989949751</v>
      </c>
      <c r="AH37" s="14">
        <f t="shared" ref="AH37:AH38" si="225">CR37/CR$39</f>
        <v>0.38540224580833715</v>
      </c>
      <c r="AI37" s="14">
        <f t="shared" ref="AI37:AI38" si="226">CS37/CS$39</f>
        <v>0.38412698412698415</v>
      </c>
      <c r="AJ37" s="14">
        <f t="shared" ref="AJ37:AJ38" si="227">CT37/CT$39</f>
        <v>0.37784179383369665</v>
      </c>
      <c r="AK37" s="14">
        <f t="shared" ref="AK37:AK38" si="228">CU37/CU$39</f>
        <v>0.39311443087889586</v>
      </c>
      <c r="AL37" s="14">
        <f t="shared" ref="AL37:AL38" si="229">CV37/CV$39</f>
        <v>0.41452333281995996</v>
      </c>
      <c r="AM37" s="14">
        <f t="shared" ref="AM37:AM38" si="230">CW37/CW$39</f>
        <v>0.42411870927219908</v>
      </c>
      <c r="AN37" s="14">
        <f t="shared" ref="AN37:AN38" si="231">CX37/CX$39</f>
        <v>0.44780017957717738</v>
      </c>
      <c r="AO37" s="14">
        <f t="shared" ref="AO37:AO38" si="232">CY37/CY$39</f>
        <v>0.44380652772316165</v>
      </c>
      <c r="AP37" s="14">
        <f t="shared" ref="AP37:AP38" si="233">CZ37/CZ$39</f>
        <v>0.4460551330798479</v>
      </c>
      <c r="AQ37" s="14">
        <f t="shared" ref="AQ37:AQ38" si="234">DA37/DA$39</f>
        <v>0.44296850143175309</v>
      </c>
      <c r="AR37" s="14">
        <f t="shared" ref="AR37:AR38" si="235">DB37/DB$39</f>
        <v>0.46699984134539108</v>
      </c>
      <c r="AS37" s="14">
        <f t="shared" ref="AS37:AS38" si="236">DC37/DC$39</f>
        <v>0.46504534874387993</v>
      </c>
      <c r="AT37" s="14">
        <f t="shared" ref="AT37:AT38" si="237">DD37/DD$39</f>
        <v>0.47804054054054052</v>
      </c>
      <c r="AU37" s="14">
        <f>DE37/DE$39</f>
        <v>0.46925068781356205</v>
      </c>
      <c r="AV37" s="14">
        <f t="shared" ref="AV37:AY38" si="238">DF37/DF$39</f>
        <v>0.46490822150239086</v>
      </c>
      <c r="AW37" s="14">
        <f t="shared" si="238"/>
        <v>0.46215169690987778</v>
      </c>
      <c r="AX37" s="14">
        <f t="shared" si="238"/>
        <v>0.45730362710060074</v>
      </c>
      <c r="AY37" s="14">
        <f t="shared" si="238"/>
        <v>0.45511811023622045</v>
      </c>
      <c r="AZ37" s="14">
        <f t="shared" ref="AZ37:BK38" si="239">DJ37/DJ$39</f>
        <v>0.44476379983786574</v>
      </c>
      <c r="BA37" s="14">
        <f t="shared" si="239"/>
        <v>0.43758108692518377</v>
      </c>
      <c r="BB37" s="14">
        <f t="shared" si="239"/>
        <v>0.4216315983757844</v>
      </c>
      <c r="BC37" s="14">
        <f t="shared" si="239"/>
        <v>0.39099150956972228</v>
      </c>
      <c r="BD37" s="14">
        <f t="shared" si="239"/>
        <v>0.39834626822368896</v>
      </c>
      <c r="BE37" s="14">
        <f t="shared" si="239"/>
        <v>0.39992570579494802</v>
      </c>
      <c r="BF37" s="14">
        <f t="shared" si="239"/>
        <v>0.39137110394595426</v>
      </c>
      <c r="BG37" s="14">
        <f t="shared" si="239"/>
        <v>0.4455481636744737</v>
      </c>
      <c r="BH37" s="14">
        <f t="shared" si="239"/>
        <v>0.35757673928889611</v>
      </c>
      <c r="BI37" s="14">
        <f t="shared" si="239"/>
        <v>0.33789770438985101</v>
      </c>
      <c r="BJ37" s="14">
        <f t="shared" si="239"/>
        <v>0.34588448545769135</v>
      </c>
      <c r="BK37" s="14">
        <f t="shared" si="239"/>
        <v>0.34277827393034016</v>
      </c>
      <c r="BL37" s="9"/>
      <c r="BN37" s="2" t="s">
        <v>75</v>
      </c>
      <c r="BO37" s="2">
        <v>3719</v>
      </c>
      <c r="BP37" s="2">
        <v>4239</v>
      </c>
      <c r="BQ37" s="2">
        <v>5144</v>
      </c>
      <c r="BR37" s="2">
        <v>6111</v>
      </c>
      <c r="CG37" s="2">
        <v>5107</v>
      </c>
      <c r="CH37" s="2">
        <v>4916</v>
      </c>
      <c r="CI37" s="2">
        <f>2390+2545+1</f>
        <v>4936</v>
      </c>
      <c r="CJ37" s="2">
        <f>2383+2617+14+20</f>
        <v>5034</v>
      </c>
      <c r="CK37" s="2">
        <f>2457+2733+15+21</f>
        <v>5226</v>
      </c>
      <c r="CL37" s="2">
        <v>5469</v>
      </c>
      <c r="CM37" s="2">
        <f>2537+3020</f>
        <v>5557</v>
      </c>
      <c r="CN37" s="2">
        <v>5416</v>
      </c>
      <c r="CO37" s="2">
        <v>4799</v>
      </c>
      <c r="CP37" s="2">
        <v>4801</v>
      </c>
      <c r="CQ37" s="2">
        <v>5116</v>
      </c>
      <c r="CR37" s="2">
        <v>5011</v>
      </c>
      <c r="CS37" s="2">
        <f>2078+3004</f>
        <v>5082</v>
      </c>
      <c r="CT37" s="2">
        <v>4853</v>
      </c>
      <c r="CU37" s="2">
        <f>2211+2973</f>
        <v>5184</v>
      </c>
      <c r="CV37" s="2">
        <v>5383</v>
      </c>
      <c r="CW37" s="2">
        <v>5402</v>
      </c>
      <c r="CX37" s="2">
        <v>5486</v>
      </c>
      <c r="CY37" s="2">
        <f>426+5083+134</f>
        <v>5643</v>
      </c>
      <c r="CZ37" s="2">
        <v>5631</v>
      </c>
      <c r="DA37" s="2">
        <v>5569</v>
      </c>
      <c r="DB37" s="2">
        <v>5887</v>
      </c>
      <c r="DC37" s="2">
        <v>5794</v>
      </c>
      <c r="DD37" s="2">
        <v>5943</v>
      </c>
      <c r="DE37" s="2">
        <v>5799</v>
      </c>
      <c r="DF37" s="2">
        <v>6028</v>
      </c>
      <c r="DG37" s="2">
        <v>6087</v>
      </c>
      <c r="DH37" s="2">
        <v>6014</v>
      </c>
      <c r="DI37" s="2">
        <v>6069</v>
      </c>
      <c r="DJ37" s="2">
        <v>6035</v>
      </c>
      <c r="DK37" s="2">
        <v>6071</v>
      </c>
      <c r="DL37" s="1">
        <v>5711</v>
      </c>
      <c r="DM37" s="1">
        <v>5434</v>
      </c>
      <c r="DN37" s="1">
        <v>5492</v>
      </c>
      <c r="DO37" s="1">
        <v>5383</v>
      </c>
      <c r="DP37" s="1">
        <v>5098</v>
      </c>
      <c r="DQ37" s="1">
        <v>4889</v>
      </c>
      <c r="DR37" s="1">
        <f>210+61+3336+446+338+24</f>
        <v>4415</v>
      </c>
      <c r="DS37" s="1">
        <v>4195</v>
      </c>
      <c r="DT37" s="1">
        <v>4198</v>
      </c>
      <c r="DU37" s="1">
        <v>4222</v>
      </c>
    </row>
    <row r="38" spans="1:125" ht="13.5" customHeight="1" x14ac:dyDescent="0.2">
      <c r="A38" s="8"/>
      <c r="D38" s="2" t="s">
        <v>76</v>
      </c>
      <c r="E38" s="14">
        <f t="shared" si="212"/>
        <v>0.35912459072893332</v>
      </c>
      <c r="F38" s="14">
        <f t="shared" si="213"/>
        <v>0.3536139066788655</v>
      </c>
      <c r="G38" s="14">
        <f t="shared" si="214"/>
        <v>0.31017835590720128</v>
      </c>
      <c r="H38" s="14">
        <f t="shared" si="215"/>
        <v>0.28425860857343638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>
        <f t="shared" si="216"/>
        <v>0.47749130345815427</v>
      </c>
      <c r="X38" s="14">
        <f t="shared" si="216"/>
        <v>0.48764981761334031</v>
      </c>
      <c r="Y38" s="14">
        <f t="shared" si="216"/>
        <v>0.51989106118081896</v>
      </c>
      <c r="Z38" s="14">
        <f t="shared" si="217"/>
        <v>0.54086099963516965</v>
      </c>
      <c r="AA38" s="14">
        <f t="shared" si="218"/>
        <v>0.55153179438771127</v>
      </c>
      <c r="AB38" s="14">
        <f t="shared" si="219"/>
        <v>0.5489856506679861</v>
      </c>
      <c r="AC38" s="14">
        <f t="shared" si="220"/>
        <v>0.56490761039774506</v>
      </c>
      <c r="AD38" s="14">
        <f t="shared" si="221"/>
        <v>0.57868533644496301</v>
      </c>
      <c r="AE38" s="14">
        <f t="shared" si="222"/>
        <v>0.6081169361424138</v>
      </c>
      <c r="AF38" s="14">
        <f t="shared" si="223"/>
        <v>0.62083399147054175</v>
      </c>
      <c r="AG38" s="14">
        <f t="shared" si="224"/>
        <v>0.59830402010050254</v>
      </c>
      <c r="AH38" s="14">
        <f t="shared" si="225"/>
        <v>0.61459775419166285</v>
      </c>
      <c r="AI38" s="14">
        <f t="shared" si="226"/>
        <v>0.61587301587301591</v>
      </c>
      <c r="AJ38" s="14">
        <f t="shared" si="227"/>
        <v>0.62215820616630335</v>
      </c>
      <c r="AK38" s="14">
        <f t="shared" si="228"/>
        <v>0.60688556912110414</v>
      </c>
      <c r="AL38" s="14">
        <f t="shared" si="229"/>
        <v>0.58547666718003999</v>
      </c>
      <c r="AM38" s="14">
        <f t="shared" si="230"/>
        <v>0.57588129072780092</v>
      </c>
      <c r="AN38" s="14">
        <f t="shared" si="231"/>
        <v>0.55219982042282267</v>
      </c>
      <c r="AO38" s="14">
        <f t="shared" si="232"/>
        <v>0.55619347227683835</v>
      </c>
      <c r="AP38" s="14">
        <f t="shared" si="233"/>
        <v>0.5539448669201521</v>
      </c>
      <c r="AQ38" s="14">
        <f t="shared" si="234"/>
        <v>0.55703149856824685</v>
      </c>
      <c r="AR38" s="14">
        <f t="shared" si="235"/>
        <v>0.53300015865460892</v>
      </c>
      <c r="AS38" s="14">
        <f t="shared" si="236"/>
        <v>0.53495465125612007</v>
      </c>
      <c r="AT38" s="14">
        <f t="shared" si="237"/>
        <v>0.52195945945945943</v>
      </c>
      <c r="AU38" s="14">
        <f>DE38/DE$39</f>
        <v>0.53074931218643795</v>
      </c>
      <c r="AV38" s="14">
        <f t="shared" si="238"/>
        <v>0.53509177849760914</v>
      </c>
      <c r="AW38" s="14">
        <f t="shared" si="238"/>
        <v>0.53784830309012222</v>
      </c>
      <c r="AX38" s="14">
        <f t="shared" si="238"/>
        <v>0.54269637289939932</v>
      </c>
      <c r="AY38" s="14">
        <f t="shared" si="238"/>
        <v>0.54488188976377949</v>
      </c>
      <c r="AZ38" s="14">
        <f t="shared" si="239"/>
        <v>0.55523620016213426</v>
      </c>
      <c r="BA38" s="14">
        <f t="shared" si="239"/>
        <v>0.56241891307481617</v>
      </c>
      <c r="BB38" s="14">
        <f t="shared" si="239"/>
        <v>0.57836840162421554</v>
      </c>
      <c r="BC38" s="14">
        <f t="shared" si="239"/>
        <v>0.60900849043027772</v>
      </c>
      <c r="BD38" s="14">
        <f t="shared" si="239"/>
        <v>0.60165373177631098</v>
      </c>
      <c r="BE38" s="14">
        <f t="shared" si="239"/>
        <v>0.60007429420505198</v>
      </c>
      <c r="BF38" s="14">
        <f t="shared" si="239"/>
        <v>0.6086288960540458</v>
      </c>
      <c r="BG38" s="14">
        <f t="shared" si="239"/>
        <v>0.5544518363255263</v>
      </c>
      <c r="BH38" s="14">
        <f t="shared" si="239"/>
        <v>0.64242326071110389</v>
      </c>
      <c r="BI38" s="14">
        <f t="shared" si="239"/>
        <v>0.66210229561014899</v>
      </c>
      <c r="BJ38" s="14">
        <f t="shared" si="239"/>
        <v>0.65411551454230865</v>
      </c>
      <c r="BK38" s="14">
        <f t="shared" si="239"/>
        <v>0.65722172606965978</v>
      </c>
      <c r="BL38" s="9"/>
      <c r="BN38" s="2" t="s">
        <v>76</v>
      </c>
      <c r="BO38" s="2">
        <v>2084</v>
      </c>
      <c r="BP38" s="2">
        <v>2319</v>
      </c>
      <c r="BQ38" s="2">
        <v>2313</v>
      </c>
      <c r="BR38" s="2">
        <v>2427</v>
      </c>
      <c r="CG38" s="2">
        <v>4667</v>
      </c>
      <c r="CH38" s="2">
        <v>4679</v>
      </c>
      <c r="CI38" s="2">
        <f>2098+2802+194+251</f>
        <v>5345</v>
      </c>
      <c r="CJ38" s="2">
        <f>2010+2894+433+593</f>
        <v>5930</v>
      </c>
      <c r="CK38" s="2">
        <f>2013+2780+666+968</f>
        <v>6427</v>
      </c>
      <c r="CL38" s="2">
        <v>6657</v>
      </c>
      <c r="CM38" s="2">
        <f>2937+4278</f>
        <v>7215</v>
      </c>
      <c r="CN38" s="2">
        <v>7439</v>
      </c>
      <c r="CO38" s="2">
        <v>7447</v>
      </c>
      <c r="CP38" s="2">
        <v>7861</v>
      </c>
      <c r="CQ38" s="2">
        <v>7620</v>
      </c>
      <c r="CR38" s="2">
        <v>7991</v>
      </c>
      <c r="CS38" s="2">
        <f>2998+5150</f>
        <v>8148</v>
      </c>
      <c r="CT38" s="2">
        <v>7991</v>
      </c>
      <c r="CU38" s="2">
        <f>3035+4968</f>
        <v>8003</v>
      </c>
      <c r="CV38" s="2">
        <v>7603</v>
      </c>
      <c r="CW38" s="2">
        <v>7335</v>
      </c>
      <c r="CX38" s="2">
        <v>6765</v>
      </c>
      <c r="CY38" s="2">
        <f>93+3507+3472</f>
        <v>7072</v>
      </c>
      <c r="CZ38" s="2">
        <v>6993</v>
      </c>
      <c r="DA38" s="2">
        <v>7003</v>
      </c>
      <c r="DB38" s="2">
        <v>6719</v>
      </c>
      <c r="DC38" s="2">
        <v>6665</v>
      </c>
      <c r="DD38" s="2">
        <v>6489</v>
      </c>
      <c r="DE38" s="2">
        <v>6559</v>
      </c>
      <c r="DF38" s="2">
        <v>6938</v>
      </c>
      <c r="DG38" s="2">
        <v>7084</v>
      </c>
      <c r="DH38" s="2">
        <v>7137</v>
      </c>
      <c r="DI38" s="2">
        <v>7266</v>
      </c>
      <c r="DJ38" s="2">
        <v>7534</v>
      </c>
      <c r="DK38" s="2">
        <v>7803</v>
      </c>
      <c r="DL38" s="1">
        <v>7834</v>
      </c>
      <c r="DM38" s="1">
        <v>8464</v>
      </c>
      <c r="DN38" s="1">
        <v>8295</v>
      </c>
      <c r="DO38" s="1">
        <v>8077</v>
      </c>
      <c r="DP38" s="1">
        <v>7928</v>
      </c>
      <c r="DQ38" s="1">
        <v>6084</v>
      </c>
      <c r="DR38" s="1">
        <f>19+6+1512+128+6211+56</f>
        <v>7932</v>
      </c>
      <c r="DS38" s="1">
        <v>8220</v>
      </c>
      <c r="DT38" s="1">
        <v>7939</v>
      </c>
      <c r="DU38" s="1">
        <v>8095</v>
      </c>
    </row>
    <row r="39" spans="1:125" ht="13.5" customHeight="1" x14ac:dyDescent="0.2">
      <c r="A39" s="8"/>
      <c r="C39" s="3" t="s">
        <v>63</v>
      </c>
      <c r="BL39" s="9"/>
      <c r="BN39" s="20" t="s">
        <v>111</v>
      </c>
      <c r="BO39" s="2">
        <f t="shared" ref="BO39:BR39" si="240">SUM(BO37:BO38)</f>
        <v>5803</v>
      </c>
      <c r="BP39" s="2">
        <f t="shared" si="240"/>
        <v>6558</v>
      </c>
      <c r="BQ39" s="2">
        <f t="shared" si="240"/>
        <v>7457</v>
      </c>
      <c r="BR39" s="2">
        <f t="shared" si="240"/>
        <v>8538</v>
      </c>
      <c r="CG39" s="2">
        <f t="shared" ref="CG39:CR39" si="241">SUM(CG37:CG38)</f>
        <v>9774</v>
      </c>
      <c r="CH39" s="2">
        <f t="shared" si="241"/>
        <v>9595</v>
      </c>
      <c r="CI39" s="2">
        <f t="shared" si="241"/>
        <v>10281</v>
      </c>
      <c r="CJ39" s="2">
        <f t="shared" si="241"/>
        <v>10964</v>
      </c>
      <c r="CK39" s="2">
        <f t="shared" si="241"/>
        <v>11653</v>
      </c>
      <c r="CL39" s="2">
        <f t="shared" si="241"/>
        <v>12126</v>
      </c>
      <c r="CM39" s="2">
        <f t="shared" si="241"/>
        <v>12772</v>
      </c>
      <c r="CN39" s="2">
        <f t="shared" si="241"/>
        <v>12855</v>
      </c>
      <c r="CO39" s="2">
        <f t="shared" si="241"/>
        <v>12246</v>
      </c>
      <c r="CP39" s="2">
        <f t="shared" si="241"/>
        <v>12662</v>
      </c>
      <c r="CQ39" s="2">
        <f t="shared" si="241"/>
        <v>12736</v>
      </c>
      <c r="CR39" s="2">
        <f t="shared" si="241"/>
        <v>13002</v>
      </c>
      <c r="CS39" s="2">
        <f t="shared" ref="CS39:DI39" si="242">SUM(CS37:CS38)</f>
        <v>13230</v>
      </c>
      <c r="CT39" s="2">
        <f t="shared" si="242"/>
        <v>12844</v>
      </c>
      <c r="CU39" s="2">
        <f t="shared" si="242"/>
        <v>13187</v>
      </c>
      <c r="CV39" s="2">
        <f t="shared" si="242"/>
        <v>12986</v>
      </c>
      <c r="CW39" s="2">
        <f t="shared" si="242"/>
        <v>12737</v>
      </c>
      <c r="CX39" s="2">
        <f t="shared" si="242"/>
        <v>12251</v>
      </c>
      <c r="CY39" s="2">
        <f t="shared" si="242"/>
        <v>12715</v>
      </c>
      <c r="CZ39" s="2">
        <f t="shared" si="242"/>
        <v>12624</v>
      </c>
      <c r="DA39" s="2">
        <f t="shared" si="242"/>
        <v>12572</v>
      </c>
      <c r="DB39" s="2">
        <f t="shared" si="242"/>
        <v>12606</v>
      </c>
      <c r="DC39" s="2">
        <f t="shared" si="242"/>
        <v>12459</v>
      </c>
      <c r="DD39" s="2">
        <f t="shared" si="242"/>
        <v>12432</v>
      </c>
      <c r="DE39" s="2">
        <f t="shared" si="242"/>
        <v>12358</v>
      </c>
      <c r="DF39" s="2">
        <f t="shared" si="242"/>
        <v>12966</v>
      </c>
      <c r="DG39" s="2">
        <f t="shared" si="242"/>
        <v>13171</v>
      </c>
      <c r="DH39" s="2">
        <f t="shared" si="242"/>
        <v>13151</v>
      </c>
      <c r="DI39" s="2">
        <f t="shared" si="242"/>
        <v>13335</v>
      </c>
      <c r="DJ39" s="2">
        <f t="shared" ref="DJ39:DO39" si="243">SUM(DJ37:DJ38)</f>
        <v>13569</v>
      </c>
      <c r="DK39" s="2">
        <f t="shared" si="243"/>
        <v>13874</v>
      </c>
      <c r="DL39" s="2">
        <f t="shared" si="243"/>
        <v>13545</v>
      </c>
      <c r="DM39" s="2">
        <f t="shared" si="243"/>
        <v>13898</v>
      </c>
      <c r="DN39" s="2">
        <f t="shared" si="243"/>
        <v>13787</v>
      </c>
      <c r="DO39" s="2">
        <f t="shared" si="243"/>
        <v>13460</v>
      </c>
      <c r="DP39" s="2">
        <f t="shared" ref="DP39:DQ39" si="244">SUM(DP37:DP38)</f>
        <v>13026</v>
      </c>
      <c r="DQ39" s="2">
        <f t="shared" si="244"/>
        <v>10973</v>
      </c>
      <c r="DR39" s="2">
        <f t="shared" ref="DR39:DS39" si="245">SUM(DR37:DR38)</f>
        <v>12347</v>
      </c>
      <c r="DS39" s="2">
        <f t="shared" si="245"/>
        <v>12415</v>
      </c>
      <c r="DT39" s="2">
        <f t="shared" ref="DT39:DU39" si="246">SUM(DT37:DT38)</f>
        <v>12137</v>
      </c>
      <c r="DU39" s="2">
        <f t="shared" si="246"/>
        <v>12317</v>
      </c>
    </row>
    <row r="40" spans="1:125" ht="13.5" customHeight="1" x14ac:dyDescent="0.2">
      <c r="A40" s="8"/>
      <c r="D40" s="2" t="s">
        <v>75</v>
      </c>
      <c r="E40" s="14" t="str">
        <f>IF(BO42&gt;0,+BO40/BO42," ")</f>
        <v xml:space="preserve"> </v>
      </c>
      <c r="F40" s="14" t="str">
        <f>IF(BP42&gt;0,+BP40/BP42," ")</f>
        <v xml:space="preserve"> </v>
      </c>
      <c r="G40" s="14">
        <f t="shared" ref="G40:G41" si="247">BQ40/BQ$42</f>
        <v>9.1954022988505746E-2</v>
      </c>
      <c r="H40" s="14">
        <f t="shared" ref="H40:H41" si="248">BR40/BR$42</f>
        <v>9.6226415094339629E-2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>
        <f t="shared" ref="W40:Y41" si="249">CG40/CG$42</f>
        <v>0.11436950146627566</v>
      </c>
      <c r="X40" s="14">
        <f t="shared" si="249"/>
        <v>0.11822947000582411</v>
      </c>
      <c r="Y40" s="14">
        <f t="shared" si="249"/>
        <v>0.13064008394543547</v>
      </c>
      <c r="Z40" s="14">
        <f t="shared" ref="Z40:Z41" si="250">CJ40/CJ$42</f>
        <v>0.13831867057673508</v>
      </c>
      <c r="AA40" s="14">
        <f t="shared" ref="AA40:AA41" si="251">CK40/CK$42</f>
        <v>0.14818310523831996</v>
      </c>
      <c r="AB40" s="14">
        <f t="shared" ref="AB40:AB41" si="252">CL40/CL$42</f>
        <v>0.14067148321291967</v>
      </c>
      <c r="AC40" s="14">
        <f t="shared" ref="AC40:AC41" si="253">CM40/CM$42</f>
        <v>0.13209076175040518</v>
      </c>
      <c r="AD40" s="14">
        <f t="shared" ref="AD40:AD41" si="254">CN40/CN$42</f>
        <v>0.14143349942506708</v>
      </c>
      <c r="AE40" s="14">
        <f t="shared" ref="AE40:AE41" si="255">CO40/CO$42</f>
        <v>0.14427269124058661</v>
      </c>
      <c r="AF40" s="14">
        <f t="shared" ref="AF40:AF41" si="256">CP40/CP$42</f>
        <v>0.43248456790123457</v>
      </c>
      <c r="AG40" s="14">
        <f t="shared" ref="AG40:AG41" si="257">CQ40/CQ$42</f>
        <v>0.42899517982944013</v>
      </c>
      <c r="AH40" s="14">
        <f t="shared" ref="AH40:AH41" si="258">CR40/CR$42</f>
        <v>0.13131672597864769</v>
      </c>
      <c r="AI40" s="14">
        <f t="shared" ref="AI40:AI41" si="259">CS40/CS$42</f>
        <v>0.12291743798593113</v>
      </c>
      <c r="AJ40" s="14">
        <f t="shared" ref="AJ40:AJ41" si="260">CT40/CT$42</f>
        <v>0.13811939133827547</v>
      </c>
      <c r="AK40" s="14">
        <f t="shared" ref="AK40:AK41" si="261">CU40/CU$42</f>
        <v>0.15198412698412697</v>
      </c>
      <c r="AL40" s="14">
        <f t="shared" ref="AL40:AL41" si="262">CV40/CV$42</f>
        <v>0.1675564681724846</v>
      </c>
      <c r="AM40" s="14">
        <f t="shared" ref="AM40:AM41" si="263">CW40/CW$42</f>
        <v>0.17784022480931352</v>
      </c>
      <c r="AN40" s="14">
        <f t="shared" ref="AN40:AN41" si="264">CX40/CX$42</f>
        <v>0.20473051570376113</v>
      </c>
      <c r="AO40" s="14">
        <f t="shared" ref="AO40:AO41" si="265">CY40/CY$42</f>
        <v>0.2104129263913824</v>
      </c>
      <c r="AP40" s="14">
        <f t="shared" ref="AP40:AP41" si="266">CZ40/CZ$42</f>
        <v>0.21022727272727273</v>
      </c>
      <c r="AQ40" s="14">
        <f t="shared" ref="AQ40:AQ41" si="267">DA40/DA$42</f>
        <v>0.20028975009054689</v>
      </c>
      <c r="AR40" s="14">
        <f t="shared" ref="AR40:AR41" si="268">DB40/DB$42</f>
        <v>0.23758099352051837</v>
      </c>
      <c r="AS40" s="14">
        <f t="shared" ref="AS40:AS41" si="269">DC40/DC$42</f>
        <v>0.24171270718232044</v>
      </c>
      <c r="AT40" s="14">
        <f t="shared" ref="AT40:AT41" si="270">DD40/DD$42</f>
        <v>0.25675213675213676</v>
      </c>
      <c r="AU40" s="14">
        <f t="shared" ref="AU40:AY41" si="271">DE40/DE$42</f>
        <v>0.23400936037441497</v>
      </c>
      <c r="AV40" s="14">
        <f t="shared" si="271"/>
        <v>0.2339923281203895</v>
      </c>
      <c r="AW40" s="14">
        <f>DG40/DG$42</f>
        <v>0.27602203537257175</v>
      </c>
      <c r="AX40" s="14">
        <f t="shared" si="271"/>
        <v>0.25960986804360298</v>
      </c>
      <c r="AY40" s="14">
        <f t="shared" si="271"/>
        <v>0.26046221111805123</v>
      </c>
      <c r="AZ40" s="14">
        <f t="shared" ref="AZ40:BK41" si="272">DJ40/DJ$42</f>
        <v>0.25456323337679271</v>
      </c>
      <c r="BA40" s="14">
        <f t="shared" si="272"/>
        <v>0.25413633355393778</v>
      </c>
      <c r="BB40" s="14">
        <f t="shared" si="272"/>
        <v>0.27441244620986427</v>
      </c>
      <c r="BC40" s="14">
        <f t="shared" si="272"/>
        <v>0.30277112555593566</v>
      </c>
      <c r="BD40" s="14">
        <f t="shared" si="272"/>
        <v>0.30587808417997098</v>
      </c>
      <c r="BE40" s="14">
        <f t="shared" si="272"/>
        <v>0.30042765502494656</v>
      </c>
      <c r="BF40" s="14">
        <f t="shared" si="272"/>
        <v>0.29557713052858686</v>
      </c>
      <c r="BG40" s="14">
        <f t="shared" si="272"/>
        <v>0.27092511013215859</v>
      </c>
      <c r="BH40" s="14">
        <f t="shared" si="272"/>
        <v>0.26357169599400976</v>
      </c>
      <c r="BI40" s="14">
        <f t="shared" si="272"/>
        <v>0.29772464327034326</v>
      </c>
      <c r="BJ40" s="14">
        <f t="shared" si="272"/>
        <v>0.28640386162510056</v>
      </c>
      <c r="BK40" s="14">
        <f t="shared" si="272"/>
        <v>0.27785234899328859</v>
      </c>
      <c r="BL40" s="15"/>
      <c r="BN40" s="2" t="s">
        <v>75</v>
      </c>
      <c r="BQ40" s="2">
        <v>72</v>
      </c>
      <c r="BR40" s="2">
        <v>102</v>
      </c>
      <c r="CG40" s="2">
        <v>195</v>
      </c>
      <c r="CH40" s="2">
        <v>203</v>
      </c>
      <c r="CI40" s="2">
        <f>124+125</f>
        <v>249</v>
      </c>
      <c r="CJ40" s="2">
        <f>127+156</f>
        <v>283</v>
      </c>
      <c r="CK40" s="2">
        <f>144+170</f>
        <v>314</v>
      </c>
      <c r="CL40" s="2">
        <v>331</v>
      </c>
      <c r="CM40" s="2">
        <f>46+84+2+55+138+1</f>
        <v>326</v>
      </c>
      <c r="CN40" s="2">
        <v>369</v>
      </c>
      <c r="CO40" s="2">
        <v>364</v>
      </c>
      <c r="CP40" s="2">
        <v>1121</v>
      </c>
      <c r="CQ40" s="2">
        <v>1157</v>
      </c>
      <c r="CR40" s="2">
        <v>369</v>
      </c>
      <c r="CS40" s="2">
        <f>116+216</f>
        <v>332</v>
      </c>
      <c r="CT40" s="2">
        <v>354</v>
      </c>
      <c r="CU40" s="2">
        <f>235+321-17-25-58-73</f>
        <v>383</v>
      </c>
      <c r="CV40" s="2">
        <v>408</v>
      </c>
      <c r="CW40" s="2">
        <v>443</v>
      </c>
      <c r="CX40" s="2">
        <v>528</v>
      </c>
      <c r="CY40" s="2">
        <v>586</v>
      </c>
      <c r="CZ40" s="2">
        <v>592</v>
      </c>
      <c r="DA40" s="2">
        <v>553</v>
      </c>
      <c r="DB40" s="2">
        <f>8+5+378+135+3+48+83</f>
        <v>660</v>
      </c>
      <c r="DC40" s="2">
        <f>4+2+354+200+7+3+65+65</f>
        <v>700</v>
      </c>
      <c r="DD40" s="2">
        <v>751</v>
      </c>
      <c r="DE40" s="2">
        <v>750</v>
      </c>
      <c r="DF40" s="2">
        <v>793</v>
      </c>
      <c r="DG40" s="2">
        <v>952</v>
      </c>
      <c r="DH40" s="2">
        <v>905</v>
      </c>
      <c r="DI40" s="2">
        <f>4+3+19+2+371+164+18+6+125+117+5</f>
        <v>834</v>
      </c>
      <c r="DJ40" s="2">
        <v>781</v>
      </c>
      <c r="DK40" s="2">
        <v>768</v>
      </c>
      <c r="DL40" s="1">
        <v>829</v>
      </c>
      <c r="DM40" s="1">
        <f>1053-DM44</f>
        <v>885</v>
      </c>
      <c r="DN40" s="1">
        <v>843</v>
      </c>
      <c r="DO40" s="1">
        <v>843</v>
      </c>
      <c r="DP40" s="1">
        <f>4+2+28+2+366+160+20+6+125+109</f>
        <v>822</v>
      </c>
      <c r="DQ40" s="1">
        <v>738</v>
      </c>
      <c r="DR40" s="1">
        <v>704</v>
      </c>
      <c r="DS40" s="1">
        <v>772</v>
      </c>
      <c r="DT40" s="1">
        <v>712</v>
      </c>
      <c r="DU40" s="1">
        <f>2+7+2+320+129+27+4+55+75</f>
        <v>621</v>
      </c>
    </row>
    <row r="41" spans="1:125" ht="13.5" customHeight="1" x14ac:dyDescent="0.2">
      <c r="A41" s="8"/>
      <c r="D41" s="2" t="s">
        <v>76</v>
      </c>
      <c r="E41" s="14" t="str">
        <f>IF(BO42&gt;0,+BO41/BO42," ")</f>
        <v xml:space="preserve"> </v>
      </c>
      <c r="F41" s="14" t="str">
        <f>IF(BP42&gt;0,+BP41/BP42," ")</f>
        <v xml:space="preserve"> </v>
      </c>
      <c r="G41" s="14">
        <f t="shared" si="247"/>
        <v>0.90804597701149425</v>
      </c>
      <c r="H41" s="14">
        <f t="shared" si="248"/>
        <v>0.9037735849056604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>
        <f t="shared" si="249"/>
        <v>0.88563049853372433</v>
      </c>
      <c r="X41" s="14">
        <f t="shared" si="249"/>
        <v>0.88177052999417593</v>
      </c>
      <c r="Y41" s="14">
        <f t="shared" si="249"/>
        <v>0.86935991605456453</v>
      </c>
      <c r="Z41" s="14">
        <f t="shared" si="250"/>
        <v>0.86168132942326492</v>
      </c>
      <c r="AA41" s="14">
        <f t="shared" si="251"/>
        <v>0.85181689476167999</v>
      </c>
      <c r="AB41" s="14">
        <f t="shared" si="252"/>
        <v>0.85932851678708033</v>
      </c>
      <c r="AC41" s="14">
        <f t="shared" si="253"/>
        <v>0.86790923824959476</v>
      </c>
      <c r="AD41" s="14">
        <f t="shared" si="254"/>
        <v>0.85856650057493289</v>
      </c>
      <c r="AE41" s="14">
        <f t="shared" si="255"/>
        <v>0.85572730875941339</v>
      </c>
      <c r="AF41" s="14">
        <f t="shared" si="256"/>
        <v>0.56751543209876543</v>
      </c>
      <c r="AG41" s="14">
        <f t="shared" si="257"/>
        <v>0.57100482017055987</v>
      </c>
      <c r="AH41" s="14">
        <f t="shared" si="258"/>
        <v>0.86868327402135226</v>
      </c>
      <c r="AI41" s="14">
        <f t="shared" si="259"/>
        <v>0.87708256201406887</v>
      </c>
      <c r="AJ41" s="14">
        <f t="shared" si="260"/>
        <v>0.86188060866172456</v>
      </c>
      <c r="AK41" s="14">
        <f t="shared" si="261"/>
        <v>0.848015873015873</v>
      </c>
      <c r="AL41" s="14">
        <f t="shared" si="262"/>
        <v>0.8324435318275154</v>
      </c>
      <c r="AM41" s="14">
        <f t="shared" si="263"/>
        <v>0.8221597751906865</v>
      </c>
      <c r="AN41" s="14">
        <f t="shared" si="264"/>
        <v>0.79526948429623889</v>
      </c>
      <c r="AO41" s="14">
        <f t="shared" si="265"/>
        <v>0.78958707360861757</v>
      </c>
      <c r="AP41" s="14">
        <f t="shared" si="266"/>
        <v>0.78977272727272729</v>
      </c>
      <c r="AQ41" s="14">
        <f t="shared" si="267"/>
        <v>0.79971024990945305</v>
      </c>
      <c r="AR41" s="14">
        <f t="shared" si="268"/>
        <v>0.76241900647948169</v>
      </c>
      <c r="AS41" s="14">
        <f t="shared" si="269"/>
        <v>0.75828729281767959</v>
      </c>
      <c r="AT41" s="14">
        <f t="shared" si="270"/>
        <v>0.74324786324786329</v>
      </c>
      <c r="AU41" s="14">
        <f t="shared" si="271"/>
        <v>0.765990639625585</v>
      </c>
      <c r="AV41" s="14">
        <f t="shared" si="271"/>
        <v>0.7660076718796105</v>
      </c>
      <c r="AW41" s="14">
        <f t="shared" si="271"/>
        <v>0.72397796462742825</v>
      </c>
      <c r="AX41" s="14">
        <f t="shared" si="271"/>
        <v>0.74039013195639702</v>
      </c>
      <c r="AY41" s="14">
        <f t="shared" si="271"/>
        <v>0.73953778888194877</v>
      </c>
      <c r="AZ41" s="14">
        <f t="shared" si="272"/>
        <v>0.74543676662320735</v>
      </c>
      <c r="BA41" s="14">
        <f t="shared" si="272"/>
        <v>0.74586366644606217</v>
      </c>
      <c r="BB41" s="14">
        <f t="shared" si="272"/>
        <v>0.72558755379013573</v>
      </c>
      <c r="BC41" s="14">
        <f t="shared" si="272"/>
        <v>0.69722887444406434</v>
      </c>
      <c r="BD41" s="14">
        <f t="shared" si="272"/>
        <v>0.69412191582002902</v>
      </c>
      <c r="BE41" s="14">
        <f t="shared" si="272"/>
        <v>0.6995723449750535</v>
      </c>
      <c r="BF41" s="14">
        <f t="shared" si="272"/>
        <v>0.70442286947141319</v>
      </c>
      <c r="BG41" s="14">
        <f t="shared" si="272"/>
        <v>0.72907488986784141</v>
      </c>
      <c r="BH41" s="14">
        <f t="shared" si="272"/>
        <v>0.73642830400599024</v>
      </c>
      <c r="BI41" s="14">
        <f t="shared" si="272"/>
        <v>0.7022753567296568</v>
      </c>
      <c r="BJ41" s="14">
        <f t="shared" si="272"/>
        <v>0.71359613837489944</v>
      </c>
      <c r="BK41" s="14">
        <f t="shared" si="272"/>
        <v>0.72214765100671141</v>
      </c>
      <c r="BL41" s="15"/>
      <c r="BN41" s="2" t="s">
        <v>76</v>
      </c>
      <c r="BQ41" s="2">
        <v>711</v>
      </c>
      <c r="BR41" s="2">
        <v>958</v>
      </c>
      <c r="CG41" s="2">
        <v>1510</v>
      </c>
      <c r="CH41" s="2">
        <v>1514</v>
      </c>
      <c r="CI41" s="2">
        <f>573+1084</f>
        <v>1657</v>
      </c>
      <c r="CJ41" s="2">
        <f>601+1162</f>
        <v>1763</v>
      </c>
      <c r="CK41" s="2">
        <f>621+1184</f>
        <v>1805</v>
      </c>
      <c r="CL41" s="2">
        <v>2022</v>
      </c>
      <c r="CM41" s="2">
        <f>143+508+26+375+1079+11</f>
        <v>2142</v>
      </c>
      <c r="CN41" s="2">
        <v>2240</v>
      </c>
      <c r="CO41" s="2">
        <v>2159</v>
      </c>
      <c r="CP41" s="2">
        <v>1471</v>
      </c>
      <c r="CQ41" s="2">
        <v>1540</v>
      </c>
      <c r="CR41" s="2">
        <v>2441</v>
      </c>
      <c r="CS41" s="2">
        <f>696+1673</f>
        <v>2369</v>
      </c>
      <c r="CT41" s="2">
        <v>2209</v>
      </c>
      <c r="CU41" s="2">
        <f>618+1519</f>
        <v>2137</v>
      </c>
      <c r="CV41" s="2">
        <v>2027</v>
      </c>
      <c r="CW41" s="2">
        <v>2048</v>
      </c>
      <c r="CX41" s="2">
        <v>2051</v>
      </c>
      <c r="CY41" s="2">
        <v>2199</v>
      </c>
      <c r="CZ41" s="2">
        <v>2224</v>
      </c>
      <c r="DA41" s="2">
        <v>2208</v>
      </c>
      <c r="DB41" s="2">
        <f>79+7+1513+119+46+255+99</f>
        <v>2118</v>
      </c>
      <c r="DC41" s="2">
        <f>93+11+1523+128+55+1+260+125</f>
        <v>2196</v>
      </c>
      <c r="DD41" s="2">
        <v>2174</v>
      </c>
      <c r="DE41" s="2">
        <v>2455</v>
      </c>
      <c r="DF41" s="2">
        <v>2596</v>
      </c>
      <c r="DG41" s="2">
        <v>2497</v>
      </c>
      <c r="DH41" s="2">
        <v>2581</v>
      </c>
      <c r="DI41" s="2">
        <f>86+22+71+10+1435+384+35+3+274+41+7</f>
        <v>2368</v>
      </c>
      <c r="DJ41" s="2">
        <v>2287</v>
      </c>
      <c r="DK41" s="2">
        <v>2254</v>
      </c>
      <c r="DL41" s="1">
        <v>2192</v>
      </c>
      <c r="DM41" s="1">
        <v>2038</v>
      </c>
      <c r="DN41" s="1">
        <v>1913</v>
      </c>
      <c r="DO41" s="1">
        <v>1963</v>
      </c>
      <c r="DP41" s="1">
        <f>110+9+118+15+1006+199+27+5+384+86</f>
        <v>1959</v>
      </c>
      <c r="DQ41" s="1">
        <v>1986</v>
      </c>
      <c r="DR41" s="1">
        <v>1967</v>
      </c>
      <c r="DS41" s="1">
        <v>1821</v>
      </c>
      <c r="DT41" s="1">
        <v>1774</v>
      </c>
      <c r="DU41" s="1">
        <v>1614</v>
      </c>
    </row>
    <row r="42" spans="1:125" ht="13.5" customHeight="1" x14ac:dyDescent="0.2">
      <c r="A42" s="8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9"/>
      <c r="BN42" s="20" t="s">
        <v>110</v>
      </c>
      <c r="BQ42" s="2">
        <f t="shared" ref="BQ42:BR42" si="273">SUM(BQ40:BQ41)</f>
        <v>783</v>
      </c>
      <c r="BR42" s="2">
        <f t="shared" si="273"/>
        <v>1060</v>
      </c>
      <c r="CG42" s="2">
        <f t="shared" ref="CG42:CR42" si="274">SUM(CG40:CG41)</f>
        <v>1705</v>
      </c>
      <c r="CH42" s="2">
        <f t="shared" si="274"/>
        <v>1717</v>
      </c>
      <c r="CI42" s="2">
        <f t="shared" si="274"/>
        <v>1906</v>
      </c>
      <c r="CJ42" s="2">
        <f t="shared" si="274"/>
        <v>2046</v>
      </c>
      <c r="CK42" s="2">
        <f t="shared" si="274"/>
        <v>2119</v>
      </c>
      <c r="CL42" s="2">
        <f t="shared" si="274"/>
        <v>2353</v>
      </c>
      <c r="CM42" s="2">
        <f t="shared" si="274"/>
        <v>2468</v>
      </c>
      <c r="CN42" s="2">
        <f t="shared" si="274"/>
        <v>2609</v>
      </c>
      <c r="CO42" s="2">
        <f t="shared" si="274"/>
        <v>2523</v>
      </c>
      <c r="CP42" s="2">
        <f t="shared" si="274"/>
        <v>2592</v>
      </c>
      <c r="CQ42" s="2">
        <f t="shared" si="274"/>
        <v>2697</v>
      </c>
      <c r="CR42" s="2">
        <f t="shared" si="274"/>
        <v>2810</v>
      </c>
      <c r="CS42" s="2">
        <f t="shared" ref="CS42:DI42" si="275">SUM(CS40:CS41)</f>
        <v>2701</v>
      </c>
      <c r="CT42" s="2">
        <f t="shared" si="275"/>
        <v>2563</v>
      </c>
      <c r="CU42" s="2">
        <f t="shared" si="275"/>
        <v>2520</v>
      </c>
      <c r="CV42" s="2">
        <f t="shared" si="275"/>
        <v>2435</v>
      </c>
      <c r="CW42" s="2">
        <f t="shared" si="275"/>
        <v>2491</v>
      </c>
      <c r="CX42" s="2">
        <f t="shared" si="275"/>
        <v>2579</v>
      </c>
      <c r="CY42" s="2">
        <f t="shared" si="275"/>
        <v>2785</v>
      </c>
      <c r="CZ42" s="2">
        <f t="shared" si="275"/>
        <v>2816</v>
      </c>
      <c r="DA42" s="2">
        <f t="shared" si="275"/>
        <v>2761</v>
      </c>
      <c r="DB42" s="2">
        <f t="shared" si="275"/>
        <v>2778</v>
      </c>
      <c r="DC42" s="2">
        <f t="shared" si="275"/>
        <v>2896</v>
      </c>
      <c r="DD42" s="2">
        <f t="shared" si="275"/>
        <v>2925</v>
      </c>
      <c r="DE42" s="2">
        <f t="shared" si="275"/>
        <v>3205</v>
      </c>
      <c r="DF42" s="2">
        <f t="shared" si="275"/>
        <v>3389</v>
      </c>
      <c r="DG42" s="2">
        <f t="shared" si="275"/>
        <v>3449</v>
      </c>
      <c r="DH42" s="2">
        <f t="shared" si="275"/>
        <v>3486</v>
      </c>
      <c r="DI42" s="2">
        <f t="shared" si="275"/>
        <v>3202</v>
      </c>
      <c r="DJ42" s="2">
        <f t="shared" ref="DJ42:DO42" si="276">SUM(DJ40:DJ41)</f>
        <v>3068</v>
      </c>
      <c r="DK42" s="2">
        <f t="shared" si="276"/>
        <v>3022</v>
      </c>
      <c r="DL42" s="2">
        <f t="shared" si="276"/>
        <v>3021</v>
      </c>
      <c r="DM42" s="2">
        <f t="shared" si="276"/>
        <v>2923</v>
      </c>
      <c r="DN42" s="2">
        <f t="shared" si="276"/>
        <v>2756</v>
      </c>
      <c r="DO42" s="2">
        <f t="shared" si="276"/>
        <v>2806</v>
      </c>
      <c r="DP42" s="2">
        <f t="shared" ref="DP42:DQ42" si="277">SUM(DP40:DP41)</f>
        <v>2781</v>
      </c>
      <c r="DQ42" s="2">
        <f t="shared" si="277"/>
        <v>2724</v>
      </c>
      <c r="DR42" s="2">
        <f t="shared" ref="DR42:DS42" si="278">SUM(DR40:DR41)</f>
        <v>2671</v>
      </c>
      <c r="DS42" s="2">
        <f t="shared" si="278"/>
        <v>2593</v>
      </c>
      <c r="DT42" s="2">
        <f t="shared" ref="DT42" si="279">SUM(DT40:DT41)</f>
        <v>2486</v>
      </c>
      <c r="DU42" s="2">
        <v>2235</v>
      </c>
    </row>
    <row r="43" spans="1:125" ht="13.5" customHeight="1" x14ac:dyDescent="0.2">
      <c r="A43" s="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9"/>
    </row>
    <row r="44" spans="1:125" ht="13.5" customHeight="1" x14ac:dyDescent="0.2">
      <c r="A44" s="8"/>
      <c r="B44" s="2" t="s">
        <v>72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9"/>
      <c r="BN44" s="2" t="s">
        <v>75</v>
      </c>
      <c r="CG44" s="2">
        <v>117</v>
      </c>
      <c r="CH44" s="2">
        <v>132</v>
      </c>
      <c r="CI44" s="2">
        <v>141</v>
      </c>
      <c r="CJ44" s="2">
        <v>152</v>
      </c>
      <c r="CK44" s="2">
        <v>160</v>
      </c>
      <c r="CL44" s="2">
        <v>156</v>
      </c>
      <c r="CM44" s="2">
        <v>157</v>
      </c>
      <c r="CN44" s="2">
        <v>156</v>
      </c>
      <c r="CO44" s="2">
        <v>157</v>
      </c>
      <c r="CP44" s="2">
        <v>157</v>
      </c>
      <c r="CQ44" s="2">
        <v>155</v>
      </c>
      <c r="CR44" s="2">
        <v>160</v>
      </c>
      <c r="CS44" s="2">
        <v>163</v>
      </c>
      <c r="CT44" s="2">
        <v>168</v>
      </c>
      <c r="CU44" s="2">
        <f>17+25+58+73</f>
        <v>173</v>
      </c>
      <c r="CV44" s="2">
        <v>173</v>
      </c>
      <c r="CW44" s="2">
        <v>169</v>
      </c>
      <c r="CX44" s="2">
        <v>163</v>
      </c>
      <c r="CY44" s="2">
        <v>158</v>
      </c>
      <c r="CZ44" s="2">
        <v>159</v>
      </c>
      <c r="DA44" s="2">
        <v>163</v>
      </c>
      <c r="DB44" s="2">
        <v>164</v>
      </c>
      <c r="DC44" s="2">
        <v>173</v>
      </c>
      <c r="DD44" s="2">
        <v>171</v>
      </c>
      <c r="DE44" s="2">
        <f>89+89</f>
        <v>178</v>
      </c>
      <c r="DF44" s="2">
        <f>86+93</f>
        <v>179</v>
      </c>
      <c r="DG44" s="2">
        <f>74+97</f>
        <v>171</v>
      </c>
      <c r="DH44" s="1">
        <f>65+107</f>
        <v>172</v>
      </c>
      <c r="DI44" s="2">
        <f>60+108</f>
        <v>168</v>
      </c>
      <c r="DJ44" s="2">
        <f>64+108</f>
        <v>172</v>
      </c>
      <c r="DK44" s="2">
        <v>176</v>
      </c>
      <c r="DL44" s="2">
        <v>172</v>
      </c>
      <c r="DM44" s="2">
        <v>168</v>
      </c>
      <c r="DN44" s="2">
        <v>172</v>
      </c>
      <c r="DO44" s="2">
        <v>175</v>
      </c>
      <c r="DP44" s="2">
        <v>181</v>
      </c>
      <c r="DQ44" s="2">
        <v>177</v>
      </c>
      <c r="DR44" s="2">
        <v>171</v>
      </c>
      <c r="DS44" s="2">
        <v>173</v>
      </c>
      <c r="DT44" s="2">
        <v>177</v>
      </c>
      <c r="DU44" s="2">
        <v>184</v>
      </c>
    </row>
    <row r="45" spans="1:125" ht="13.5" customHeight="1" x14ac:dyDescent="0.2">
      <c r="A45" s="8"/>
      <c r="BL45" s="9"/>
      <c r="BN45" s="2" t="s">
        <v>76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f>0+0+0+0</f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1">
        <v>0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</row>
    <row r="46" spans="1:125" ht="13.5" customHeight="1" x14ac:dyDescent="0.2">
      <c r="A46" s="8"/>
      <c r="B46" s="2" t="s">
        <v>86</v>
      </c>
      <c r="BL46" s="9"/>
      <c r="BN46" s="20" t="s">
        <v>109</v>
      </c>
      <c r="CG46" s="2">
        <f t="shared" ref="CG46:CN46" si="280">SUM(CG44:CG45)</f>
        <v>117</v>
      </c>
      <c r="CH46" s="2">
        <f t="shared" si="280"/>
        <v>132</v>
      </c>
      <c r="CI46" s="2">
        <f t="shared" si="280"/>
        <v>141</v>
      </c>
      <c r="CJ46" s="2">
        <f t="shared" si="280"/>
        <v>152</v>
      </c>
      <c r="CK46" s="2">
        <f t="shared" si="280"/>
        <v>160</v>
      </c>
      <c r="CL46" s="2">
        <f t="shared" si="280"/>
        <v>156</v>
      </c>
      <c r="CM46" s="2">
        <f t="shared" si="280"/>
        <v>157</v>
      </c>
      <c r="CN46" s="2">
        <f t="shared" si="280"/>
        <v>156</v>
      </c>
      <c r="CO46" s="2">
        <f t="shared" ref="CO46:CZ46" si="281">SUM(CO44:CO45)</f>
        <v>157</v>
      </c>
      <c r="CP46" s="2">
        <f t="shared" si="281"/>
        <v>157</v>
      </c>
      <c r="CQ46" s="2">
        <f t="shared" si="281"/>
        <v>155</v>
      </c>
      <c r="CR46" s="2">
        <f t="shared" si="281"/>
        <v>160</v>
      </c>
      <c r="CS46" s="2">
        <f t="shared" si="281"/>
        <v>163</v>
      </c>
      <c r="CT46" s="2">
        <f t="shared" si="281"/>
        <v>168</v>
      </c>
      <c r="CU46" s="2">
        <f t="shared" si="281"/>
        <v>173</v>
      </c>
      <c r="CV46" s="2">
        <f t="shared" si="281"/>
        <v>173</v>
      </c>
      <c r="CW46" s="2">
        <f t="shared" si="281"/>
        <v>169</v>
      </c>
      <c r="CX46" s="2">
        <f t="shared" si="281"/>
        <v>163</v>
      </c>
      <c r="CY46" s="2">
        <f t="shared" si="281"/>
        <v>158</v>
      </c>
      <c r="CZ46" s="2">
        <f t="shared" si="281"/>
        <v>159</v>
      </c>
      <c r="DA46" s="2">
        <f t="shared" ref="DA46:DL46" si="282">SUM(DA44:DA45)</f>
        <v>163</v>
      </c>
      <c r="DB46" s="2">
        <f t="shared" si="282"/>
        <v>164</v>
      </c>
      <c r="DC46" s="2">
        <f t="shared" si="282"/>
        <v>173</v>
      </c>
      <c r="DD46" s="2">
        <f t="shared" si="282"/>
        <v>171</v>
      </c>
      <c r="DE46" s="2">
        <f t="shared" si="282"/>
        <v>178</v>
      </c>
      <c r="DF46" s="2">
        <f t="shared" si="282"/>
        <v>179</v>
      </c>
      <c r="DG46" s="2">
        <f t="shared" si="282"/>
        <v>171</v>
      </c>
      <c r="DH46" s="2">
        <f t="shared" si="282"/>
        <v>172</v>
      </c>
      <c r="DI46" s="2">
        <f t="shared" si="282"/>
        <v>168</v>
      </c>
      <c r="DJ46" s="2">
        <f t="shared" si="282"/>
        <v>172</v>
      </c>
      <c r="DK46" s="2">
        <f t="shared" si="282"/>
        <v>176</v>
      </c>
      <c r="DL46" s="2">
        <f t="shared" si="282"/>
        <v>172</v>
      </c>
      <c r="DM46" s="2">
        <f t="shared" ref="DM46:DQ46" si="283">SUM(DM44:DM45)</f>
        <v>168</v>
      </c>
      <c r="DN46" s="2">
        <f t="shared" si="283"/>
        <v>172</v>
      </c>
      <c r="DO46" s="2">
        <f t="shared" si="283"/>
        <v>175</v>
      </c>
      <c r="DP46" s="2">
        <f t="shared" si="283"/>
        <v>181</v>
      </c>
      <c r="DQ46" s="2">
        <f t="shared" si="283"/>
        <v>177</v>
      </c>
      <c r="DR46" s="2">
        <f t="shared" ref="DR46:DS46" si="284">SUM(DR44:DR45)</f>
        <v>171</v>
      </c>
      <c r="DS46" s="2">
        <f t="shared" si="284"/>
        <v>173</v>
      </c>
      <c r="DT46" s="2">
        <f t="shared" ref="DT46:DU46" si="285">SUM(DT44:DT45)</f>
        <v>177</v>
      </c>
      <c r="DU46" s="2">
        <f t="shared" si="285"/>
        <v>184</v>
      </c>
    </row>
    <row r="47" spans="1:125" ht="13.5" customHeight="1" x14ac:dyDescent="0.2">
      <c r="A47" s="8"/>
      <c r="B47" s="2" t="s">
        <v>87</v>
      </c>
      <c r="BL47" s="9"/>
      <c r="DL47" s="2"/>
      <c r="DM47" s="2"/>
      <c r="DN47" s="2"/>
      <c r="DO47" s="2"/>
      <c r="DP47" s="2"/>
      <c r="DQ47" s="2"/>
      <c r="DR47" s="2"/>
      <c r="DS47" s="2"/>
      <c r="DT47" s="2"/>
      <c r="DU47" s="2"/>
    </row>
    <row r="48" spans="1:125" ht="13.5" customHeight="1" x14ac:dyDescent="0.2">
      <c r="A48" s="8"/>
      <c r="BL48" s="9"/>
      <c r="BN48" s="3" t="s">
        <v>75</v>
      </c>
      <c r="CG48" s="3">
        <f t="shared" ref="CG48:CH48" si="286">CG37+CG40+CG44</f>
        <v>5419</v>
      </c>
      <c r="CH48" s="3">
        <f t="shared" si="286"/>
        <v>5251</v>
      </c>
      <c r="CI48" s="3">
        <f t="shared" ref="CI48:CM48" si="287">CI37+CI40+CI44</f>
        <v>5326</v>
      </c>
      <c r="CJ48" s="3">
        <f t="shared" si="287"/>
        <v>5469</v>
      </c>
      <c r="CK48" s="3">
        <f t="shared" si="287"/>
        <v>5700</v>
      </c>
      <c r="CL48" s="3">
        <f t="shared" si="287"/>
        <v>5956</v>
      </c>
      <c r="CM48" s="3">
        <f t="shared" si="287"/>
        <v>6040</v>
      </c>
      <c r="CN48" s="3">
        <f t="shared" ref="CN48" si="288">CN37+CN40+CN44</f>
        <v>5941</v>
      </c>
      <c r="CO48" s="3">
        <f t="shared" ref="CO48:CP48" si="289">CO37+CO40+CO44</f>
        <v>5320</v>
      </c>
      <c r="CP48" s="3">
        <f t="shared" si="289"/>
        <v>6079</v>
      </c>
      <c r="CQ48" s="3">
        <f t="shared" ref="CQ48:CT48" si="290">CQ37+CQ40+CQ44</f>
        <v>6428</v>
      </c>
      <c r="CR48" s="3">
        <f t="shared" si="290"/>
        <v>5540</v>
      </c>
      <c r="CS48" s="3">
        <f t="shared" si="290"/>
        <v>5577</v>
      </c>
      <c r="CT48" s="3">
        <f t="shared" si="290"/>
        <v>5375</v>
      </c>
      <c r="CU48" s="3">
        <f t="shared" ref="CU48:DI48" si="291">CU37+CU40+CU44</f>
        <v>5740</v>
      </c>
      <c r="CV48" s="3">
        <f t="shared" si="291"/>
        <v>5964</v>
      </c>
      <c r="CW48" s="3">
        <f t="shared" si="291"/>
        <v>6014</v>
      </c>
      <c r="CX48" s="3">
        <f t="shared" si="291"/>
        <v>6177</v>
      </c>
      <c r="CY48" s="3">
        <f t="shared" si="291"/>
        <v>6387</v>
      </c>
      <c r="CZ48" s="3">
        <f t="shared" si="291"/>
        <v>6382</v>
      </c>
      <c r="DA48" s="3">
        <f t="shared" si="291"/>
        <v>6285</v>
      </c>
      <c r="DB48" s="3">
        <f t="shared" si="291"/>
        <v>6711</v>
      </c>
      <c r="DC48" s="3">
        <f t="shared" si="291"/>
        <v>6667</v>
      </c>
      <c r="DD48" s="3">
        <f t="shared" si="291"/>
        <v>6865</v>
      </c>
      <c r="DE48" s="3">
        <f t="shared" si="291"/>
        <v>6727</v>
      </c>
      <c r="DF48" s="3">
        <f t="shared" si="291"/>
        <v>7000</v>
      </c>
      <c r="DG48" s="3">
        <f t="shared" si="291"/>
        <v>7210</v>
      </c>
      <c r="DH48" s="3">
        <f t="shared" si="291"/>
        <v>7091</v>
      </c>
      <c r="DI48" s="3">
        <f t="shared" si="291"/>
        <v>7071</v>
      </c>
      <c r="DJ48" s="3">
        <f t="shared" ref="DJ48:DL49" si="292">DJ37+DJ40+DJ44</f>
        <v>6988</v>
      </c>
      <c r="DK48" s="3">
        <f t="shared" si="292"/>
        <v>7015</v>
      </c>
      <c r="DL48" s="3">
        <f t="shared" si="292"/>
        <v>6712</v>
      </c>
      <c r="DM48" s="3">
        <f t="shared" ref="DM48:DN48" si="293">DM37+DM40+DM44</f>
        <v>6487</v>
      </c>
      <c r="DN48" s="3">
        <f t="shared" si="293"/>
        <v>6507</v>
      </c>
      <c r="DO48" s="3">
        <f t="shared" ref="DO48:DP48" si="294">DO37+DO40+DO44</f>
        <v>6401</v>
      </c>
      <c r="DP48" s="3">
        <f t="shared" si="294"/>
        <v>6101</v>
      </c>
      <c r="DQ48" s="3">
        <f t="shared" ref="DQ48:DR48" si="295">DQ37+DQ40+DQ44</f>
        <v>5804</v>
      </c>
      <c r="DR48" s="3">
        <f t="shared" si="295"/>
        <v>5290</v>
      </c>
      <c r="DS48" s="3">
        <f t="shared" ref="DS48" si="296">DS37+DS40+DS44</f>
        <v>5140</v>
      </c>
      <c r="DT48" s="3">
        <f t="shared" ref="DT48:DU48" si="297">DT37+DT40+DT44</f>
        <v>5087</v>
      </c>
      <c r="DU48" s="3">
        <f t="shared" si="297"/>
        <v>5027</v>
      </c>
    </row>
    <row r="49" spans="1:125" ht="13.5" customHeight="1" x14ac:dyDescent="0.25">
      <c r="A49" s="17"/>
      <c r="B49" s="44" t="s">
        <v>81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5"/>
      <c r="BG49" s="45"/>
      <c r="BH49" s="45"/>
      <c r="BI49" s="18"/>
      <c r="BJ49" s="18"/>
      <c r="BK49" s="18" t="s">
        <v>117</v>
      </c>
      <c r="BL49" s="32"/>
      <c r="BN49" s="3" t="s">
        <v>76</v>
      </c>
      <c r="CG49" s="3">
        <f t="shared" ref="CG49:CH49" si="298">CG38+CG41+CG45</f>
        <v>6177</v>
      </c>
      <c r="CH49" s="3">
        <f t="shared" si="298"/>
        <v>6193</v>
      </c>
      <c r="CI49" s="3">
        <f t="shared" ref="CI49:CM49" si="299">CI38+CI41+CI45</f>
        <v>7002</v>
      </c>
      <c r="CJ49" s="3">
        <f t="shared" si="299"/>
        <v>7693</v>
      </c>
      <c r="CK49" s="3">
        <f t="shared" si="299"/>
        <v>8232</v>
      </c>
      <c r="CL49" s="3">
        <f t="shared" si="299"/>
        <v>8679</v>
      </c>
      <c r="CM49" s="3">
        <f t="shared" si="299"/>
        <v>9357</v>
      </c>
      <c r="CN49" s="3">
        <f t="shared" ref="CN49" si="300">CN38+CN41+CN45</f>
        <v>9679</v>
      </c>
      <c r="CO49" s="3">
        <f t="shared" ref="CO49:CP49" si="301">CO38+CO41+CO45</f>
        <v>9606</v>
      </c>
      <c r="CP49" s="3">
        <f t="shared" si="301"/>
        <v>9332</v>
      </c>
      <c r="CQ49" s="3">
        <f t="shared" ref="CQ49:CT49" si="302">CQ38+CQ41+CQ45</f>
        <v>9160</v>
      </c>
      <c r="CR49" s="3">
        <f t="shared" si="302"/>
        <v>10432</v>
      </c>
      <c r="CS49" s="3">
        <f t="shared" si="302"/>
        <v>10517</v>
      </c>
      <c r="CT49" s="3">
        <f t="shared" si="302"/>
        <v>10200</v>
      </c>
      <c r="CU49" s="3">
        <f t="shared" ref="CU49:DI49" si="303">CU38+CU41+CU45</f>
        <v>10140</v>
      </c>
      <c r="CV49" s="3">
        <f t="shared" si="303"/>
        <v>9630</v>
      </c>
      <c r="CW49" s="3">
        <f t="shared" si="303"/>
        <v>9383</v>
      </c>
      <c r="CX49" s="3">
        <f t="shared" si="303"/>
        <v>8816</v>
      </c>
      <c r="CY49" s="3">
        <f t="shared" si="303"/>
        <v>9271</v>
      </c>
      <c r="CZ49" s="3">
        <f t="shared" si="303"/>
        <v>9217</v>
      </c>
      <c r="DA49" s="3">
        <f t="shared" si="303"/>
        <v>9211</v>
      </c>
      <c r="DB49" s="3">
        <f t="shared" si="303"/>
        <v>8837</v>
      </c>
      <c r="DC49" s="3">
        <f t="shared" si="303"/>
        <v>8861</v>
      </c>
      <c r="DD49" s="3">
        <f t="shared" si="303"/>
        <v>8663</v>
      </c>
      <c r="DE49" s="3">
        <f t="shared" si="303"/>
        <v>9014</v>
      </c>
      <c r="DF49" s="3">
        <f t="shared" si="303"/>
        <v>9534</v>
      </c>
      <c r="DG49" s="3">
        <f t="shared" si="303"/>
        <v>9581</v>
      </c>
      <c r="DH49" s="3">
        <f t="shared" si="303"/>
        <v>9718</v>
      </c>
      <c r="DI49" s="3">
        <f t="shared" si="303"/>
        <v>9634</v>
      </c>
      <c r="DJ49" s="3">
        <f t="shared" si="292"/>
        <v>9821</v>
      </c>
      <c r="DK49" s="3">
        <f t="shared" si="292"/>
        <v>10057</v>
      </c>
      <c r="DL49" s="3">
        <f t="shared" si="292"/>
        <v>10026</v>
      </c>
      <c r="DM49" s="3">
        <f t="shared" ref="DM49:DN49" si="304">DM38+DM41+DM45</f>
        <v>10502</v>
      </c>
      <c r="DN49" s="3">
        <f t="shared" si="304"/>
        <v>10208</v>
      </c>
      <c r="DO49" s="3">
        <f t="shared" ref="DO49:DP49" si="305">DO38+DO41+DO45</f>
        <v>10040</v>
      </c>
      <c r="DP49" s="3">
        <f t="shared" si="305"/>
        <v>9887</v>
      </c>
      <c r="DQ49" s="3">
        <f t="shared" ref="DQ49:DR49" si="306">DQ38+DQ41+DQ45</f>
        <v>8070</v>
      </c>
      <c r="DR49" s="3">
        <f t="shared" si="306"/>
        <v>9899</v>
      </c>
      <c r="DS49" s="3">
        <f t="shared" ref="DS49" si="307">DS38+DS41+DS45</f>
        <v>10041</v>
      </c>
      <c r="DT49" s="3">
        <f t="shared" ref="DT49:DU49" si="308">DT38+DT41+DT45</f>
        <v>9713</v>
      </c>
      <c r="DU49" s="3">
        <f t="shared" si="308"/>
        <v>9709</v>
      </c>
    </row>
    <row r="50" spans="1:125" ht="13.5" customHeight="1" x14ac:dyDescent="0.2">
      <c r="BN50" s="40" t="s">
        <v>112</v>
      </c>
      <c r="CG50" s="3">
        <f t="shared" ref="CG50:CH50" si="309">SUM(CG48:CG49)</f>
        <v>11596</v>
      </c>
      <c r="CH50" s="3">
        <f t="shared" si="309"/>
        <v>11444</v>
      </c>
      <c r="CI50" s="3">
        <f t="shared" ref="CI50:CM50" si="310">SUM(CI48:CI49)</f>
        <v>12328</v>
      </c>
      <c r="CJ50" s="3">
        <f t="shared" si="310"/>
        <v>13162</v>
      </c>
      <c r="CK50" s="3">
        <f t="shared" si="310"/>
        <v>13932</v>
      </c>
      <c r="CL50" s="3">
        <f t="shared" si="310"/>
        <v>14635</v>
      </c>
      <c r="CM50" s="3">
        <f t="shared" si="310"/>
        <v>15397</v>
      </c>
      <c r="CN50" s="3">
        <f t="shared" ref="CN50" si="311">SUM(CN48:CN49)</f>
        <v>15620</v>
      </c>
      <c r="CO50" s="3">
        <f t="shared" ref="CO50:CP50" si="312">SUM(CO48:CO49)</f>
        <v>14926</v>
      </c>
      <c r="CP50" s="3">
        <f t="shared" si="312"/>
        <v>15411</v>
      </c>
      <c r="CQ50" s="3">
        <f t="shared" ref="CQ50:CT50" si="313">SUM(CQ48:CQ49)</f>
        <v>15588</v>
      </c>
      <c r="CR50" s="3">
        <f t="shared" si="313"/>
        <v>15972</v>
      </c>
      <c r="CS50" s="3">
        <f t="shared" si="313"/>
        <v>16094</v>
      </c>
      <c r="CT50" s="3">
        <f t="shared" si="313"/>
        <v>15575</v>
      </c>
      <c r="CU50" s="3">
        <f t="shared" ref="CU50:DI50" si="314">SUM(CU48:CU49)</f>
        <v>15880</v>
      </c>
      <c r="CV50" s="3">
        <f t="shared" si="314"/>
        <v>15594</v>
      </c>
      <c r="CW50" s="3">
        <f t="shared" si="314"/>
        <v>15397</v>
      </c>
      <c r="CX50" s="3">
        <f t="shared" si="314"/>
        <v>14993</v>
      </c>
      <c r="CY50" s="3">
        <f t="shared" si="314"/>
        <v>15658</v>
      </c>
      <c r="CZ50" s="3">
        <f t="shared" si="314"/>
        <v>15599</v>
      </c>
      <c r="DA50" s="3">
        <f t="shared" si="314"/>
        <v>15496</v>
      </c>
      <c r="DB50" s="3">
        <f t="shared" si="314"/>
        <v>15548</v>
      </c>
      <c r="DC50" s="3">
        <f t="shared" si="314"/>
        <v>15528</v>
      </c>
      <c r="DD50" s="3">
        <f t="shared" si="314"/>
        <v>15528</v>
      </c>
      <c r="DE50" s="3">
        <f t="shared" si="314"/>
        <v>15741</v>
      </c>
      <c r="DF50" s="3">
        <f t="shared" si="314"/>
        <v>16534</v>
      </c>
      <c r="DG50" s="3">
        <f t="shared" si="314"/>
        <v>16791</v>
      </c>
      <c r="DH50" s="3">
        <f t="shared" si="314"/>
        <v>16809</v>
      </c>
      <c r="DI50" s="3">
        <f t="shared" si="314"/>
        <v>16705</v>
      </c>
      <c r="DJ50" s="3">
        <f t="shared" ref="DJ50:DO50" si="315">SUM(DJ48:DJ49)</f>
        <v>16809</v>
      </c>
      <c r="DK50" s="3">
        <f t="shared" si="315"/>
        <v>17072</v>
      </c>
      <c r="DL50" s="3">
        <f t="shared" si="315"/>
        <v>16738</v>
      </c>
      <c r="DM50" s="3">
        <f t="shared" si="315"/>
        <v>16989</v>
      </c>
      <c r="DN50" s="3">
        <f t="shared" si="315"/>
        <v>16715</v>
      </c>
      <c r="DO50" s="3">
        <f t="shared" si="315"/>
        <v>16441</v>
      </c>
      <c r="DP50" s="3">
        <f t="shared" ref="DP50:DQ50" si="316">SUM(DP48:DP49)</f>
        <v>15988</v>
      </c>
      <c r="DQ50" s="3">
        <f t="shared" si="316"/>
        <v>13874</v>
      </c>
      <c r="DR50" s="3">
        <f t="shared" ref="DR50:DS50" si="317">SUM(DR48:DR49)</f>
        <v>15189</v>
      </c>
      <c r="DS50" s="3">
        <f t="shared" si="317"/>
        <v>15181</v>
      </c>
      <c r="DT50" s="3">
        <f t="shared" ref="DT50:DU50" si="318">SUM(DT48:DT49)</f>
        <v>14800</v>
      </c>
      <c r="DU50" s="3">
        <f t="shared" si="318"/>
        <v>14736</v>
      </c>
    </row>
    <row r="93" spans="99:99" ht="13.5" customHeight="1" x14ac:dyDescent="0.2">
      <c r="CU93" s="20"/>
    </row>
  </sheetData>
  <mergeCells count="2">
    <mergeCell ref="A2:BL2"/>
    <mergeCell ref="B49:BH49"/>
  </mergeCells>
  <hyperlinks>
    <hyperlink ref="B49:BE49" r:id="rId1" display="Sources: IPEDS EF, Fall Enrollment Survey &amp; DHE 02 (Residence)" xr:uid="{9B319B6F-0BB3-460A-97AF-E146F266D910}"/>
  </hyperlinks>
  <printOptions horizontalCentered="1"/>
  <pageMargins left="0.7" right="0.45" top="0.5" bottom="0.5" header="0.3" footer="0.3"/>
  <pageSetup orientation="portrait" r:id="rId2"/>
  <ignoredErrors>
    <ignoredError sqref="CL20:DU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UM System</vt:lpstr>
      <vt:lpstr>MU</vt:lpstr>
      <vt:lpstr>UMKC</vt:lpstr>
      <vt:lpstr>S&amp;T</vt:lpstr>
      <vt:lpstr>UMSL</vt:lpstr>
      <vt:lpstr>MU!Print_Area</vt:lpstr>
      <vt:lpstr>'S&amp;T'!Print_Area</vt:lpstr>
      <vt:lpstr>'UM System'!Print_Area</vt:lpstr>
      <vt:lpstr>UMKC!Print_Area</vt:lpstr>
      <vt:lpstr>UMSL!Print_Area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sader</dc:creator>
  <cp:lastModifiedBy>Sade, Randy</cp:lastModifiedBy>
  <cp:lastPrinted>2021-09-29T14:44:06Z</cp:lastPrinted>
  <dcterms:created xsi:type="dcterms:W3CDTF">2014-05-20T20:36:10Z</dcterms:created>
  <dcterms:modified xsi:type="dcterms:W3CDTF">2024-12-13T16:15:15Z</dcterms:modified>
</cp:coreProperties>
</file>