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67D20075-E627-4209-A54E-7517F684EAFC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UM System" sheetId="6" r:id="rId1"/>
    <sheet name="MU" sheetId="2" r:id="rId2"/>
    <sheet name="UMKC" sheetId="3" r:id="rId3"/>
    <sheet name="S&amp;T" sheetId="4" r:id="rId4"/>
    <sheet name="UMSL" sheetId="5" r:id="rId5"/>
  </sheets>
  <definedNames>
    <definedName name="TABLE" localSheetId="1">MU!$A$2:$G$124</definedName>
    <definedName name="TABLE" localSheetId="3">'S&amp;T'!$A$2:$G$124</definedName>
    <definedName name="TABLE" localSheetId="2">UMKC!$A$2:$G$124</definedName>
    <definedName name="TABLE" localSheetId="4">UMSL!$A$2:$G$124</definedName>
    <definedName name="TABLE">'UM System'!$A$2:$G$124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7" i="5" l="1"/>
  <c r="AK53" i="5"/>
  <c r="AK59" i="5"/>
  <c r="AK47" i="5"/>
  <c r="AK46" i="5"/>
  <c r="AK32" i="5"/>
  <c r="AK24" i="5"/>
  <c r="AK18" i="5"/>
  <c r="AK12" i="5"/>
  <c r="AK11" i="5"/>
  <c r="AK67" i="3" l="1"/>
  <c r="AK66" i="3"/>
  <c r="AK61" i="3"/>
  <c r="AK60" i="3"/>
  <c r="AK59" i="3"/>
  <c r="AK53" i="3"/>
  <c r="AK47" i="3"/>
  <c r="AK46" i="3"/>
  <c r="AK32" i="3"/>
  <c r="AK31" i="3"/>
  <c r="AK26" i="3"/>
  <c r="AK25" i="3"/>
  <c r="AK24" i="3"/>
  <c r="AK18" i="3"/>
  <c r="AK12" i="3"/>
  <c r="AK11" i="3"/>
  <c r="AK66" i="2"/>
  <c r="AK59" i="2"/>
  <c r="AK53" i="2"/>
  <c r="AK47" i="2"/>
  <c r="AK46" i="2"/>
  <c r="AK24" i="2"/>
  <c r="AK18" i="2"/>
  <c r="AK12" i="2"/>
  <c r="AK11" i="2"/>
  <c r="AK59" i="4" l="1"/>
  <c r="AK53" i="4"/>
  <c r="AK47" i="4"/>
  <c r="AK46" i="4"/>
  <c r="AK31" i="4"/>
  <c r="AK25" i="4"/>
  <c r="AK24" i="4"/>
  <c r="AK18" i="4"/>
  <c r="AK12" i="4"/>
  <c r="AK11" i="4"/>
  <c r="AK26" i="6" l="1"/>
  <c r="AK37" i="4"/>
  <c r="AK27" i="4"/>
  <c r="AK114" i="6"/>
  <c r="AK76" i="6"/>
  <c r="AK75" i="6"/>
  <c r="AK67" i="6"/>
  <c r="AK66" i="6"/>
  <c r="AK61" i="6"/>
  <c r="AK60" i="6"/>
  <c r="AK59" i="6"/>
  <c r="AK56" i="6"/>
  <c r="AK54" i="6"/>
  <c r="AK92" i="6" s="1"/>
  <c r="AK53" i="6"/>
  <c r="AK55" i="6" s="1"/>
  <c r="AK57" i="6" s="1"/>
  <c r="AK50" i="6"/>
  <c r="AK48" i="6"/>
  <c r="AK47" i="6"/>
  <c r="AK46" i="6"/>
  <c r="AK41" i="6"/>
  <c r="AK40" i="6"/>
  <c r="AK32" i="6"/>
  <c r="AK31" i="6"/>
  <c r="AK25" i="6"/>
  <c r="AK24" i="6"/>
  <c r="AK21" i="6"/>
  <c r="AK19" i="6"/>
  <c r="AK18" i="6"/>
  <c r="AK15" i="6"/>
  <c r="AK13" i="6"/>
  <c r="AK12" i="6"/>
  <c r="AK11" i="6"/>
  <c r="AK115" i="5"/>
  <c r="AK99" i="5"/>
  <c r="AK98" i="5"/>
  <c r="AK94" i="5"/>
  <c r="AK92" i="5"/>
  <c r="AK91" i="5"/>
  <c r="AK93" i="5" s="1"/>
  <c r="AK95" i="5" s="1"/>
  <c r="AK88" i="5"/>
  <c r="AK86" i="5"/>
  <c r="AK77" i="5"/>
  <c r="AK72" i="5"/>
  <c r="AK71" i="5"/>
  <c r="AK63" i="5"/>
  <c r="AK70" i="5"/>
  <c r="AK55" i="5"/>
  <c r="AK57" i="5" s="1"/>
  <c r="AK49" i="5"/>
  <c r="AK51" i="5" s="1"/>
  <c r="AK42" i="5"/>
  <c r="AK37" i="5"/>
  <c r="AK105" i="5"/>
  <c r="AK104" i="5"/>
  <c r="AK28" i="5"/>
  <c r="AK27" i="5"/>
  <c r="AK20" i="5"/>
  <c r="AK22" i="5" s="1"/>
  <c r="AK14" i="5"/>
  <c r="AK16" i="5" s="1"/>
  <c r="AK85" i="5"/>
  <c r="AK84" i="5"/>
  <c r="AK115" i="4"/>
  <c r="AK94" i="4"/>
  <c r="AK92" i="4"/>
  <c r="AK88" i="4"/>
  <c r="AK86" i="4"/>
  <c r="AK77" i="4"/>
  <c r="AK72" i="4"/>
  <c r="AK68" i="4"/>
  <c r="AK63" i="4"/>
  <c r="AK62" i="4"/>
  <c r="AK55" i="4"/>
  <c r="AK57" i="4" s="1"/>
  <c r="AK49" i="4"/>
  <c r="AK51" i="4" s="1"/>
  <c r="AK71" i="4"/>
  <c r="AK84" i="4"/>
  <c r="AK42" i="4"/>
  <c r="AK105" i="4"/>
  <c r="AK104" i="4"/>
  <c r="AK28" i="4"/>
  <c r="AK101" i="4" s="1"/>
  <c r="AK98" i="4"/>
  <c r="AK35" i="4"/>
  <c r="AK14" i="4"/>
  <c r="AK16" i="4" s="1"/>
  <c r="AK115" i="3"/>
  <c r="AK98" i="3"/>
  <c r="AK97" i="3"/>
  <c r="AK94" i="3"/>
  <c r="AK92" i="3"/>
  <c r="AK88" i="3"/>
  <c r="AK86" i="3"/>
  <c r="AK84" i="3"/>
  <c r="AK77" i="3"/>
  <c r="AK68" i="3"/>
  <c r="AK63" i="3"/>
  <c r="AK72" i="3"/>
  <c r="AK55" i="3"/>
  <c r="AK57" i="3" s="1"/>
  <c r="AK71" i="3"/>
  <c r="AK42" i="3"/>
  <c r="AK37" i="3"/>
  <c r="AK105" i="3"/>
  <c r="AK104" i="3"/>
  <c r="AK28" i="3"/>
  <c r="AK27" i="3"/>
  <c r="AK36" i="3"/>
  <c r="AK20" i="3"/>
  <c r="AK22" i="3" s="1"/>
  <c r="AK14" i="3"/>
  <c r="AK16" i="3" s="1"/>
  <c r="AK115" i="2"/>
  <c r="AK105" i="2"/>
  <c r="AK94" i="2"/>
  <c r="AK92" i="2"/>
  <c r="AK91" i="2"/>
  <c r="AK93" i="2" s="1"/>
  <c r="AK95" i="2" s="1"/>
  <c r="AK88" i="2"/>
  <c r="AK86" i="2"/>
  <c r="AK77" i="2"/>
  <c r="AK68" i="2"/>
  <c r="AK63" i="2"/>
  <c r="AK72" i="2"/>
  <c r="AK71" i="2"/>
  <c r="AK62" i="2"/>
  <c r="AK64" i="2" s="1"/>
  <c r="AK55" i="2"/>
  <c r="AK57" i="2" s="1"/>
  <c r="AK49" i="2"/>
  <c r="AK51" i="2" s="1"/>
  <c r="AK42" i="2"/>
  <c r="AK104" i="2"/>
  <c r="AK28" i="2"/>
  <c r="AK37" i="2"/>
  <c r="AK36" i="2"/>
  <c r="AK97" i="2"/>
  <c r="AK20" i="2"/>
  <c r="AK22" i="2" s="1"/>
  <c r="AK85" i="2"/>
  <c r="AK14" i="2"/>
  <c r="AK16" i="2" s="1"/>
  <c r="AJ67" i="3"/>
  <c r="AJ67" i="6" s="1"/>
  <c r="AJ66" i="3"/>
  <c r="AJ61" i="3"/>
  <c r="AJ61" i="6" s="1"/>
  <c r="AJ60" i="3"/>
  <c r="AJ60" i="6" s="1"/>
  <c r="AJ59" i="3"/>
  <c r="AJ53" i="3"/>
  <c r="AJ55" i="3" s="1"/>
  <c r="AJ57" i="3" s="1"/>
  <c r="AJ47" i="3"/>
  <c r="AJ46" i="3"/>
  <c r="AJ49" i="3" s="1"/>
  <c r="AJ51" i="3" s="1"/>
  <c r="AJ32" i="3"/>
  <c r="AJ105" i="3" s="1"/>
  <c r="AJ31" i="3"/>
  <c r="AJ104" i="3" s="1"/>
  <c r="AJ26" i="3"/>
  <c r="AJ99" i="3" s="1"/>
  <c r="AJ25" i="3"/>
  <c r="AJ24" i="3"/>
  <c r="AJ18" i="3"/>
  <c r="AJ20" i="3" s="1"/>
  <c r="AJ22" i="3" s="1"/>
  <c r="AJ12" i="3"/>
  <c r="AJ85" i="3" s="1"/>
  <c r="AJ11" i="3"/>
  <c r="AJ14" i="3" s="1"/>
  <c r="AJ16" i="3" s="1"/>
  <c r="AJ114" i="6"/>
  <c r="AJ76" i="6"/>
  <c r="AJ75" i="6"/>
  <c r="AJ56" i="6"/>
  <c r="AJ54" i="6"/>
  <c r="AJ50" i="6"/>
  <c r="AJ48" i="6"/>
  <c r="AJ41" i="6"/>
  <c r="AJ40" i="6"/>
  <c r="AJ21" i="6"/>
  <c r="AJ19" i="6"/>
  <c r="AJ15" i="6"/>
  <c r="AJ13" i="6"/>
  <c r="AJ115" i="3"/>
  <c r="AJ94" i="3"/>
  <c r="AJ92" i="3"/>
  <c r="AJ88" i="3"/>
  <c r="AJ86" i="3"/>
  <c r="AJ77" i="3"/>
  <c r="AJ68" i="3"/>
  <c r="AJ63" i="3"/>
  <c r="AJ72" i="3"/>
  <c r="AJ71" i="3"/>
  <c r="AJ42" i="3"/>
  <c r="AJ28" i="3"/>
  <c r="AJ72" i="5"/>
  <c r="AJ67" i="5"/>
  <c r="AJ59" i="5"/>
  <c r="AJ47" i="5"/>
  <c r="AJ71" i="5" s="1"/>
  <c r="AJ46" i="5"/>
  <c r="AJ70" i="5" s="1"/>
  <c r="AJ31" i="5"/>
  <c r="AJ104" i="5" s="1"/>
  <c r="AJ32" i="5"/>
  <c r="AJ105" i="5" s="1"/>
  <c r="AJ24" i="5"/>
  <c r="AJ97" i="5" s="1"/>
  <c r="AJ18" i="5"/>
  <c r="AJ12" i="5"/>
  <c r="AJ36" i="5" s="1"/>
  <c r="AJ11" i="5"/>
  <c r="AJ84" i="5" s="1"/>
  <c r="AJ113" i="5"/>
  <c r="AJ115" i="5" s="1"/>
  <c r="AJ99" i="5"/>
  <c r="AJ98" i="5"/>
  <c r="AJ94" i="5"/>
  <c r="AJ92" i="5"/>
  <c r="AJ88" i="5"/>
  <c r="AJ86" i="5"/>
  <c r="AJ110" i="5" s="1"/>
  <c r="AJ77" i="5"/>
  <c r="AJ68" i="5"/>
  <c r="AJ63" i="5"/>
  <c r="AJ55" i="5"/>
  <c r="AJ57" i="5" s="1"/>
  <c r="AJ49" i="5"/>
  <c r="AJ51" i="5" s="1"/>
  <c r="AJ42" i="5"/>
  <c r="AJ37" i="5"/>
  <c r="AJ28" i="5"/>
  <c r="AJ27" i="5"/>
  <c r="AJ91" i="5"/>
  <c r="AJ35" i="5"/>
  <c r="AJ66" i="2"/>
  <c r="AJ61" i="2"/>
  <c r="AJ72" i="2" s="1"/>
  <c r="AJ60" i="2"/>
  <c r="AJ59" i="2"/>
  <c r="AJ53" i="2"/>
  <c r="AJ47" i="2"/>
  <c r="AJ71" i="2" s="1"/>
  <c r="AJ46" i="2"/>
  <c r="AJ31" i="2"/>
  <c r="AJ26" i="2"/>
  <c r="AJ37" i="2" s="1"/>
  <c r="AJ25" i="2"/>
  <c r="AJ24" i="2"/>
  <c r="AJ18" i="2"/>
  <c r="AJ12" i="2"/>
  <c r="AJ36" i="2" s="1"/>
  <c r="AJ11" i="2"/>
  <c r="AJ115" i="2"/>
  <c r="AJ105" i="2"/>
  <c r="AJ99" i="2"/>
  <c r="AJ98" i="2"/>
  <c r="AJ94" i="2"/>
  <c r="AJ92" i="2"/>
  <c r="AJ88" i="2"/>
  <c r="AJ86" i="2"/>
  <c r="AJ77" i="2"/>
  <c r="AJ63" i="2"/>
  <c r="AJ49" i="2"/>
  <c r="AJ51" i="2" s="1"/>
  <c r="AJ42" i="2"/>
  <c r="AJ33" i="2"/>
  <c r="AJ28" i="2"/>
  <c r="AJ97" i="2"/>
  <c r="AJ20" i="2"/>
  <c r="AJ22" i="2" s="1"/>
  <c r="AJ14" i="2"/>
  <c r="AJ16" i="2" s="1"/>
  <c r="AJ18" i="4"/>
  <c r="AJ59" i="4"/>
  <c r="AJ53" i="4"/>
  <c r="AJ47" i="4"/>
  <c r="AJ47" i="6" s="1"/>
  <c r="AJ46" i="4"/>
  <c r="AJ32" i="4"/>
  <c r="AJ32" i="6" s="1"/>
  <c r="AJ31" i="4"/>
  <c r="AJ31" i="6" s="1"/>
  <c r="AJ26" i="4"/>
  <c r="AJ26" i="6" s="1"/>
  <c r="AJ25" i="4"/>
  <c r="AJ24" i="4"/>
  <c r="AJ12" i="4"/>
  <c r="AJ11" i="4"/>
  <c r="AK64" i="4" l="1"/>
  <c r="AK29" i="5"/>
  <c r="AK106" i="5"/>
  <c r="AK106" i="3"/>
  <c r="AJ36" i="3"/>
  <c r="AJ101" i="3"/>
  <c r="AK94" i="6"/>
  <c r="AK72" i="6"/>
  <c r="AK29" i="3"/>
  <c r="AK63" i="6"/>
  <c r="AK68" i="6"/>
  <c r="AK106" i="4"/>
  <c r="AK62" i="6"/>
  <c r="AK98" i="6"/>
  <c r="AK42" i="6"/>
  <c r="AK73" i="5"/>
  <c r="AK113" i="6"/>
  <c r="AK115" i="6" s="1"/>
  <c r="AK110" i="5"/>
  <c r="AK28" i="6"/>
  <c r="AK101" i="6" s="1"/>
  <c r="AK64" i="6"/>
  <c r="AK101" i="3"/>
  <c r="AK88" i="6"/>
  <c r="AK33" i="6"/>
  <c r="AK86" i="6"/>
  <c r="AK77" i="6"/>
  <c r="AK71" i="6"/>
  <c r="AK99" i="6"/>
  <c r="AK91" i="6"/>
  <c r="AK93" i="6" s="1"/>
  <c r="AK70" i="6"/>
  <c r="AK105" i="6"/>
  <c r="AK27" i="6"/>
  <c r="AK35" i="6"/>
  <c r="AK97" i="6"/>
  <c r="AK14" i="6"/>
  <c r="AK16" i="6" s="1"/>
  <c r="AK37" i="6"/>
  <c r="AK36" i="6"/>
  <c r="AK49" i="6"/>
  <c r="AK51" i="6" s="1"/>
  <c r="AK20" i="6"/>
  <c r="AK22" i="6" s="1"/>
  <c r="AK104" i="6"/>
  <c r="AK84" i="6"/>
  <c r="AK85" i="6"/>
  <c r="AK101" i="2"/>
  <c r="AK106" i="2"/>
  <c r="AK29" i="4"/>
  <c r="AJ93" i="5"/>
  <c r="AJ95" i="5" s="1"/>
  <c r="AJ33" i="6"/>
  <c r="AJ29" i="5"/>
  <c r="AK101" i="5"/>
  <c r="AK87" i="5"/>
  <c r="AK89" i="5" s="1"/>
  <c r="AK109" i="5"/>
  <c r="AK62" i="5"/>
  <c r="AK64" i="5" s="1"/>
  <c r="AK97" i="5"/>
  <c r="AK100" i="5" s="1"/>
  <c r="AK102" i="5" s="1"/>
  <c r="AK68" i="5"/>
  <c r="AK33" i="5"/>
  <c r="AK35" i="5"/>
  <c r="AK36" i="5"/>
  <c r="AJ106" i="5"/>
  <c r="AJ113" i="6"/>
  <c r="AJ115" i="6" s="1"/>
  <c r="AJ92" i="6"/>
  <c r="AJ42" i="6"/>
  <c r="AJ11" i="6"/>
  <c r="AJ85" i="5"/>
  <c r="AJ109" i="5" s="1"/>
  <c r="AJ18" i="6"/>
  <c r="AJ20" i="6" s="1"/>
  <c r="AJ22" i="6" s="1"/>
  <c r="AK20" i="4"/>
  <c r="AK22" i="4" s="1"/>
  <c r="AK91" i="4"/>
  <c r="AK93" i="4" s="1"/>
  <c r="AK95" i="4" s="1"/>
  <c r="AK97" i="4"/>
  <c r="AK99" i="4"/>
  <c r="AK110" i="4" s="1"/>
  <c r="AK70" i="4"/>
  <c r="AK73" i="4" s="1"/>
  <c r="AK33" i="4"/>
  <c r="AK36" i="4"/>
  <c r="AK38" i="4" s="1"/>
  <c r="AK85" i="4"/>
  <c r="AK109" i="4" s="1"/>
  <c r="AJ24" i="6"/>
  <c r="AJ94" i="6"/>
  <c r="AK49" i="3"/>
  <c r="AK51" i="3" s="1"/>
  <c r="AK85" i="3"/>
  <c r="AK109" i="3" s="1"/>
  <c r="AK91" i="3"/>
  <c r="AK93" i="3" s="1"/>
  <c r="AK95" i="3" s="1"/>
  <c r="AK70" i="3"/>
  <c r="AK73" i="3" s="1"/>
  <c r="AK33" i="3"/>
  <c r="AK99" i="3"/>
  <c r="AK110" i="3" s="1"/>
  <c r="AK35" i="3"/>
  <c r="AK38" i="3" s="1"/>
  <c r="AK62" i="3"/>
  <c r="AK64" i="3" s="1"/>
  <c r="AJ53" i="6"/>
  <c r="AJ55" i="6" s="1"/>
  <c r="AJ57" i="6" s="1"/>
  <c r="AJ59" i="6"/>
  <c r="AJ62" i="6" s="1"/>
  <c r="AJ12" i="6"/>
  <c r="AJ46" i="6"/>
  <c r="AJ49" i="6" s="1"/>
  <c r="AJ51" i="6" s="1"/>
  <c r="AJ91" i="3"/>
  <c r="AJ93" i="3" s="1"/>
  <c r="AJ86" i="6"/>
  <c r="AJ66" i="6"/>
  <c r="AJ68" i="6" s="1"/>
  <c r="AJ88" i="6"/>
  <c r="AK35" i="2"/>
  <c r="AK38" i="2" s="1"/>
  <c r="AK27" i="2"/>
  <c r="AK29" i="2" s="1"/>
  <c r="AK98" i="2"/>
  <c r="AK109" i="2" s="1"/>
  <c r="AK99" i="2"/>
  <c r="AK110" i="2" s="1"/>
  <c r="AK33" i="2"/>
  <c r="AK70" i="2"/>
  <c r="AK73" i="2" s="1"/>
  <c r="AK84" i="2"/>
  <c r="AJ70" i="2"/>
  <c r="AJ73" i="2" s="1"/>
  <c r="AJ68" i="2"/>
  <c r="AJ62" i="2"/>
  <c r="AJ64" i="2" s="1"/>
  <c r="AJ84" i="2"/>
  <c r="AJ87" i="2" s="1"/>
  <c r="AJ89" i="2" s="1"/>
  <c r="AJ85" i="2"/>
  <c r="AJ109" i="2" s="1"/>
  <c r="AJ105" i="6"/>
  <c r="AJ77" i="6"/>
  <c r="AJ106" i="3"/>
  <c r="AJ72" i="6"/>
  <c r="AJ99" i="6"/>
  <c r="AJ70" i="3"/>
  <c r="AJ73" i="3" s="1"/>
  <c r="AJ95" i="3"/>
  <c r="AJ25" i="6"/>
  <c r="AJ98" i="6" s="1"/>
  <c r="AJ37" i="6"/>
  <c r="AJ71" i="6"/>
  <c r="AJ110" i="3"/>
  <c r="AJ27" i="3"/>
  <c r="AJ29" i="3" s="1"/>
  <c r="AJ62" i="3"/>
  <c r="AJ64" i="3" s="1"/>
  <c r="AJ97" i="3"/>
  <c r="AJ98" i="3"/>
  <c r="AJ109" i="3" s="1"/>
  <c r="AJ33" i="3"/>
  <c r="AJ35" i="3"/>
  <c r="AJ84" i="3"/>
  <c r="AJ37" i="3"/>
  <c r="AJ108" i="5"/>
  <c r="AJ100" i="5"/>
  <c r="AJ101" i="5"/>
  <c r="AJ38" i="5"/>
  <c r="AJ14" i="5"/>
  <c r="AJ16" i="5" s="1"/>
  <c r="AJ20" i="5"/>
  <c r="AJ22" i="5" s="1"/>
  <c r="AJ73" i="5"/>
  <c r="AJ33" i="5"/>
  <c r="AJ62" i="5"/>
  <c r="AJ64" i="5" s="1"/>
  <c r="AJ110" i="2"/>
  <c r="AJ100" i="2"/>
  <c r="AJ101" i="2"/>
  <c r="AJ102" i="2" s="1"/>
  <c r="AJ91" i="2"/>
  <c r="AJ93" i="2" s="1"/>
  <c r="AJ95" i="2" s="1"/>
  <c r="AJ55" i="2"/>
  <c r="AJ57" i="2" s="1"/>
  <c r="AJ27" i="2"/>
  <c r="AJ29" i="2" s="1"/>
  <c r="AJ35" i="2"/>
  <c r="AJ38" i="2" s="1"/>
  <c r="AJ104" i="2"/>
  <c r="AJ106" i="2" s="1"/>
  <c r="AJ115" i="4"/>
  <c r="AJ105" i="4"/>
  <c r="AJ94" i="4"/>
  <c r="AJ92" i="4"/>
  <c r="AJ91" i="4"/>
  <c r="AJ93" i="4" s="1"/>
  <c r="AJ95" i="4" s="1"/>
  <c r="AJ88" i="4"/>
  <c r="AJ86" i="4"/>
  <c r="AJ85" i="4"/>
  <c r="AJ84" i="4"/>
  <c r="AJ77" i="4"/>
  <c r="AJ72" i="4"/>
  <c r="AJ71" i="4"/>
  <c r="AJ68" i="4"/>
  <c r="AJ63" i="4"/>
  <c r="AJ63" i="6" s="1"/>
  <c r="AJ62" i="4"/>
  <c r="AJ70" i="4"/>
  <c r="AJ49" i="4"/>
  <c r="AJ51" i="4" s="1"/>
  <c r="AJ42" i="4"/>
  <c r="AJ104" i="4"/>
  <c r="AJ28" i="4"/>
  <c r="AJ28" i="6" s="1"/>
  <c r="AJ37" i="4"/>
  <c r="AJ36" i="4"/>
  <c r="AJ27" i="4"/>
  <c r="AJ35" i="4"/>
  <c r="AJ14" i="4"/>
  <c r="AJ16" i="4" s="1"/>
  <c r="AI66" i="2"/>
  <c r="AI53" i="2"/>
  <c r="AI59" i="2"/>
  <c r="AI47" i="2"/>
  <c r="AI46" i="2"/>
  <c r="AI31" i="2"/>
  <c r="AI18" i="2"/>
  <c r="AI24" i="2"/>
  <c r="AI12" i="2"/>
  <c r="AI11" i="2"/>
  <c r="AI53" i="4"/>
  <c r="AI59" i="4"/>
  <c r="AI47" i="4"/>
  <c r="AI46" i="4"/>
  <c r="AI31" i="4"/>
  <c r="AI26" i="4"/>
  <c r="AI25" i="4"/>
  <c r="AI24" i="4"/>
  <c r="AI18" i="4"/>
  <c r="AI12" i="4"/>
  <c r="AI11" i="4"/>
  <c r="AI67" i="3"/>
  <c r="AI66" i="3"/>
  <c r="AI61" i="3"/>
  <c r="AI60" i="3"/>
  <c r="AI59" i="3"/>
  <c r="AI53" i="3"/>
  <c r="AI47" i="3"/>
  <c r="AI46" i="3"/>
  <c r="AI32" i="3"/>
  <c r="AI31" i="3"/>
  <c r="AK95" i="6" l="1"/>
  <c r="AK110" i="6"/>
  <c r="AK29" i="6"/>
  <c r="AK38" i="6"/>
  <c r="AK106" i="6"/>
  <c r="AK109" i="6"/>
  <c r="AK73" i="6"/>
  <c r="AK100" i="6"/>
  <c r="AK102" i="6" s="1"/>
  <c r="AK87" i="6"/>
  <c r="AK89" i="6" s="1"/>
  <c r="AK108" i="6"/>
  <c r="AJ14" i="6"/>
  <c r="AJ16" i="6" s="1"/>
  <c r="AK108" i="3"/>
  <c r="AK111" i="3" s="1"/>
  <c r="AK126" i="3" s="1"/>
  <c r="AJ110" i="6"/>
  <c r="AJ35" i="6"/>
  <c r="AJ91" i="6"/>
  <c r="AJ93" i="6" s="1"/>
  <c r="AJ87" i="5"/>
  <c r="AJ89" i="5" s="1"/>
  <c r="AK38" i="5"/>
  <c r="AK108" i="5"/>
  <c r="AK111" i="5" s="1"/>
  <c r="AK126" i="5" s="1"/>
  <c r="AJ95" i="6"/>
  <c r="AJ111" i="5"/>
  <c r="AJ126" i="5" s="1"/>
  <c r="AJ97" i="6"/>
  <c r="AJ100" i="6" s="1"/>
  <c r="AK100" i="4"/>
  <c r="AK102" i="4" s="1"/>
  <c r="AK108" i="4"/>
  <c r="AK111" i="4" s="1"/>
  <c r="AK126" i="4" s="1"/>
  <c r="AK87" i="4"/>
  <c r="AK89" i="4" s="1"/>
  <c r="AJ104" i="6"/>
  <c r="AJ106" i="6" s="1"/>
  <c r="AJ84" i="6"/>
  <c r="AJ73" i="4"/>
  <c r="AJ85" i="6"/>
  <c r="AJ109" i="6" s="1"/>
  <c r="AJ64" i="4"/>
  <c r="AK100" i="3"/>
  <c r="AK102" i="3" s="1"/>
  <c r="AK87" i="3"/>
  <c r="AK89" i="3" s="1"/>
  <c r="AJ70" i="6"/>
  <c r="AJ73" i="6" s="1"/>
  <c r="AJ64" i="6"/>
  <c r="AK87" i="2"/>
  <c r="AK89" i="2" s="1"/>
  <c r="AK108" i="2"/>
  <c r="AK111" i="2" s="1"/>
  <c r="AK126" i="2" s="1"/>
  <c r="AK100" i="2"/>
  <c r="AK102" i="2" s="1"/>
  <c r="AJ27" i="6"/>
  <c r="AJ29" i="6" s="1"/>
  <c r="AJ36" i="6"/>
  <c r="AJ38" i="6" s="1"/>
  <c r="AJ101" i="6"/>
  <c r="AJ38" i="3"/>
  <c r="AJ108" i="3"/>
  <c r="AJ111" i="3" s="1"/>
  <c r="AJ126" i="3" s="1"/>
  <c r="AJ87" i="3"/>
  <c r="AJ89" i="3" s="1"/>
  <c r="AJ100" i="3"/>
  <c r="AJ102" i="3" s="1"/>
  <c r="AJ102" i="5"/>
  <c r="AJ108" i="2"/>
  <c r="AJ111" i="2" s="1"/>
  <c r="AJ126" i="2" s="1"/>
  <c r="AJ101" i="4"/>
  <c r="AJ106" i="4"/>
  <c r="AJ38" i="4"/>
  <c r="AJ29" i="4"/>
  <c r="AJ97" i="4"/>
  <c r="AJ98" i="4"/>
  <c r="AJ109" i="4" s="1"/>
  <c r="AJ99" i="4"/>
  <c r="AJ110" i="4" s="1"/>
  <c r="AJ33" i="4"/>
  <c r="AJ20" i="4"/>
  <c r="AJ22" i="4" s="1"/>
  <c r="AJ87" i="4"/>
  <c r="AJ89" i="4" s="1"/>
  <c r="AJ55" i="4"/>
  <c r="AJ57" i="4" s="1"/>
  <c r="AI26" i="3"/>
  <c r="AI25" i="3"/>
  <c r="AI18" i="3"/>
  <c r="AI24" i="3"/>
  <c r="AI13" i="3"/>
  <c r="AI12" i="3"/>
  <c r="AI11" i="3"/>
  <c r="AI28" i="5"/>
  <c r="AK111" i="6" l="1"/>
  <c r="AK126" i="6" s="1"/>
  <c r="AJ87" i="6"/>
  <c r="AJ89" i="6" s="1"/>
  <c r="AJ102" i="6"/>
  <c r="AJ108" i="6"/>
  <c r="AJ111" i="6" s="1"/>
  <c r="AJ126" i="6" s="1"/>
  <c r="AJ100" i="4"/>
  <c r="AJ102" i="4" s="1"/>
  <c r="AJ108" i="4"/>
  <c r="AJ111" i="4" s="1"/>
  <c r="AJ126" i="4" s="1"/>
  <c r="AI113" i="5"/>
  <c r="AI115" i="5" s="1"/>
  <c r="AI67" i="5"/>
  <c r="AI68" i="5" s="1"/>
  <c r="AI59" i="5"/>
  <c r="AI59" i="6" s="1"/>
  <c r="AI47" i="5"/>
  <c r="AI47" i="6" s="1"/>
  <c r="AI46" i="5"/>
  <c r="AI32" i="5"/>
  <c r="AI33" i="5" s="1"/>
  <c r="AI18" i="5"/>
  <c r="AI24" i="5"/>
  <c r="AI91" i="5"/>
  <c r="AI11" i="5"/>
  <c r="AI12" i="5"/>
  <c r="AI85" i="5" s="1"/>
  <c r="AI12" i="6"/>
  <c r="AI76" i="6"/>
  <c r="AI75" i="6"/>
  <c r="AI66" i="6"/>
  <c r="AI61" i="6"/>
  <c r="AI60" i="6"/>
  <c r="AI56" i="6"/>
  <c r="AI54" i="6"/>
  <c r="AI53" i="6"/>
  <c r="AI50" i="6"/>
  <c r="AI48" i="6"/>
  <c r="AI41" i="6"/>
  <c r="AI40" i="6"/>
  <c r="AI31" i="6"/>
  <c r="AI26" i="6"/>
  <c r="AI25" i="6"/>
  <c r="AI24" i="6"/>
  <c r="AI21" i="6"/>
  <c r="AI19" i="6"/>
  <c r="AI18" i="6"/>
  <c r="AI15" i="6"/>
  <c r="AI13" i="6"/>
  <c r="AI104" i="5"/>
  <c r="AI99" i="5"/>
  <c r="AI98" i="5"/>
  <c r="AI94" i="5"/>
  <c r="AI92" i="5"/>
  <c r="AI88" i="5"/>
  <c r="AI86" i="5"/>
  <c r="AI77" i="5"/>
  <c r="AI72" i="5"/>
  <c r="AI63" i="5"/>
  <c r="AI62" i="5"/>
  <c r="AI64" i="5" s="1"/>
  <c r="AI55" i="5"/>
  <c r="AI57" i="5" s="1"/>
  <c r="AI42" i="5"/>
  <c r="AI37" i="5"/>
  <c r="AI27" i="5"/>
  <c r="AI20" i="5"/>
  <c r="AI22" i="5" s="1"/>
  <c r="AI115" i="4"/>
  <c r="AI105" i="4"/>
  <c r="AI98" i="4"/>
  <c r="AI94" i="4"/>
  <c r="AI92" i="4"/>
  <c r="AI88" i="4"/>
  <c r="AI86" i="4"/>
  <c r="AI84" i="4"/>
  <c r="AI77" i="4"/>
  <c r="AI72" i="4"/>
  <c r="AI68" i="4"/>
  <c r="AI63" i="4"/>
  <c r="AI62" i="4"/>
  <c r="AI55" i="4"/>
  <c r="AI57" i="4" s="1"/>
  <c r="AI49" i="4"/>
  <c r="AI51" i="4" s="1"/>
  <c r="AI70" i="4"/>
  <c r="AI42" i="4"/>
  <c r="AI36" i="4"/>
  <c r="AI35" i="4"/>
  <c r="AI33" i="4"/>
  <c r="AI28" i="4"/>
  <c r="AI99" i="4"/>
  <c r="AI97" i="4"/>
  <c r="AI91" i="4"/>
  <c r="AI85" i="4"/>
  <c r="AI114" i="6"/>
  <c r="AI113" i="6"/>
  <c r="AI94" i="3"/>
  <c r="AI92" i="3"/>
  <c r="AI91" i="3"/>
  <c r="AI93" i="3" s="1"/>
  <c r="AI88" i="3"/>
  <c r="AI86" i="3"/>
  <c r="AI85" i="3"/>
  <c r="AI84" i="3"/>
  <c r="AI77" i="3"/>
  <c r="AI72" i="3"/>
  <c r="AI68" i="3"/>
  <c r="AI63" i="3"/>
  <c r="AI62" i="3"/>
  <c r="AI55" i="3"/>
  <c r="AI57" i="3" s="1"/>
  <c r="AI49" i="3"/>
  <c r="AI51" i="3" s="1"/>
  <c r="AI71" i="3"/>
  <c r="AI70" i="3"/>
  <c r="AI42" i="3"/>
  <c r="AI105" i="3"/>
  <c r="AI104" i="3"/>
  <c r="AI28" i="3"/>
  <c r="AI99" i="3"/>
  <c r="AI98" i="3"/>
  <c r="AI97" i="3"/>
  <c r="AI20" i="3"/>
  <c r="AI22" i="3" s="1"/>
  <c r="AI14" i="3"/>
  <c r="AI16" i="3" s="1"/>
  <c r="AI35" i="3"/>
  <c r="AI35" i="2"/>
  <c r="AI115" i="2"/>
  <c r="AI105" i="2"/>
  <c r="AI99" i="2"/>
  <c r="AI98" i="2"/>
  <c r="AI97" i="2"/>
  <c r="AI94" i="2"/>
  <c r="AI92" i="2"/>
  <c r="AI88" i="2"/>
  <c r="AI86" i="2"/>
  <c r="AI77" i="2"/>
  <c r="AI72" i="2"/>
  <c r="AI71" i="2"/>
  <c r="AI68" i="2"/>
  <c r="AI63" i="2"/>
  <c r="AI62" i="2"/>
  <c r="AI55" i="2"/>
  <c r="AI57" i="2" s="1"/>
  <c r="AI49" i="2"/>
  <c r="AI51" i="2" s="1"/>
  <c r="AI70" i="2"/>
  <c r="AI42" i="2"/>
  <c r="AI37" i="2"/>
  <c r="AI36" i="2"/>
  <c r="AI33" i="2"/>
  <c r="AI28" i="2"/>
  <c r="AI27" i="2"/>
  <c r="AI91" i="2"/>
  <c r="AI14" i="2"/>
  <c r="AI16" i="2" s="1"/>
  <c r="AI85" i="2"/>
  <c r="AH67" i="3"/>
  <c r="AH66" i="3"/>
  <c r="AH31" i="3"/>
  <c r="AH24" i="3"/>
  <c r="AH59" i="3"/>
  <c r="AH60" i="3"/>
  <c r="AH63" i="3"/>
  <c r="AG63" i="3"/>
  <c r="AH53" i="3"/>
  <c r="AH47" i="3"/>
  <c r="AH46" i="3"/>
  <c r="AH32" i="3"/>
  <c r="AH28" i="3"/>
  <c r="AG28" i="3"/>
  <c r="AH18" i="3"/>
  <c r="AH26" i="3"/>
  <c r="AH25" i="3"/>
  <c r="AH12" i="3"/>
  <c r="AH11" i="3"/>
  <c r="AI101" i="3" l="1"/>
  <c r="AI14" i="5"/>
  <c r="AI16" i="5" s="1"/>
  <c r="AI64" i="3"/>
  <c r="AI70" i="5"/>
  <c r="AI64" i="2"/>
  <c r="AI92" i="6"/>
  <c r="AI29" i="2"/>
  <c r="AI32" i="6"/>
  <c r="AI36" i="6" s="1"/>
  <c r="AI71" i="5"/>
  <c r="AI67" i="6"/>
  <c r="AI71" i="6" s="1"/>
  <c r="AI46" i="6"/>
  <c r="AI70" i="6" s="1"/>
  <c r="AI101" i="4"/>
  <c r="AI64" i="4"/>
  <c r="AI95" i="3"/>
  <c r="AI87" i="3"/>
  <c r="AI89" i="3" s="1"/>
  <c r="AI97" i="5"/>
  <c r="AI100" i="5" s="1"/>
  <c r="AI101" i="5"/>
  <c r="AI11" i="6"/>
  <c r="AI63" i="6"/>
  <c r="AI100" i="3"/>
  <c r="AI102" i="3" s="1"/>
  <c r="AI29" i="5"/>
  <c r="AI110" i="5"/>
  <c r="AI93" i="5"/>
  <c r="AI95" i="5" s="1"/>
  <c r="AI27" i="6"/>
  <c r="AI104" i="6"/>
  <c r="AI94" i="6"/>
  <c r="AI115" i="3"/>
  <c r="AI85" i="6"/>
  <c r="AI97" i="6"/>
  <c r="AI73" i="3"/>
  <c r="AI115" i="6"/>
  <c r="AI110" i="3"/>
  <c r="AI93" i="2"/>
  <c r="AI95" i="2" s="1"/>
  <c r="AI86" i="6"/>
  <c r="AI73" i="2"/>
  <c r="AI88" i="6"/>
  <c r="AI99" i="6"/>
  <c r="AI68" i="6"/>
  <c r="AI101" i="2"/>
  <c r="AI20" i="6"/>
  <c r="AI22" i="6" s="1"/>
  <c r="AI28" i="6"/>
  <c r="AI62" i="6"/>
  <c r="AI77" i="6"/>
  <c r="AI72" i="6"/>
  <c r="AI42" i="6"/>
  <c r="AI55" i="6"/>
  <c r="AI57" i="6" s="1"/>
  <c r="AI37" i="6"/>
  <c r="AI91" i="6"/>
  <c r="AI98" i="6"/>
  <c r="AI84" i="5"/>
  <c r="AI105" i="5"/>
  <c r="AI106" i="5" s="1"/>
  <c r="AI35" i="5"/>
  <c r="AI49" i="5"/>
  <c r="AI51" i="5" s="1"/>
  <c r="AI36" i="5"/>
  <c r="AI109" i="4"/>
  <c r="AI87" i="4"/>
  <c r="AI89" i="4" s="1"/>
  <c r="AI93" i="4"/>
  <c r="AI95" i="4" s="1"/>
  <c r="AI100" i="4"/>
  <c r="AI102" i="4" s="1"/>
  <c r="AI110" i="4"/>
  <c r="AI71" i="4"/>
  <c r="AI73" i="4" s="1"/>
  <c r="AI20" i="4"/>
  <c r="AI22" i="4" s="1"/>
  <c r="AI37" i="4"/>
  <c r="AI38" i="4" s="1"/>
  <c r="AI27" i="4"/>
  <c r="AI29" i="4" s="1"/>
  <c r="AI104" i="4"/>
  <c r="AI106" i="4" s="1"/>
  <c r="AI14" i="4"/>
  <c r="AI16" i="4" s="1"/>
  <c r="AI109" i="3"/>
  <c r="AI108" i="3"/>
  <c r="AI106" i="3"/>
  <c r="AI33" i="3"/>
  <c r="AI27" i="3"/>
  <c r="AI29" i="3" s="1"/>
  <c r="AI36" i="3"/>
  <c r="AI37" i="3"/>
  <c r="AI110" i="2"/>
  <c r="AI100" i="2"/>
  <c r="AI109" i="2"/>
  <c r="AI38" i="2"/>
  <c r="AI20" i="2"/>
  <c r="AI22" i="2" s="1"/>
  <c r="AI104" i="2"/>
  <c r="AI106" i="2" s="1"/>
  <c r="AI84" i="2"/>
  <c r="AH66" i="2"/>
  <c r="AH59" i="2"/>
  <c r="AH53" i="2"/>
  <c r="AH47" i="2"/>
  <c r="AH46" i="2"/>
  <c r="AH31" i="2"/>
  <c r="AH24" i="2"/>
  <c r="AH18" i="2"/>
  <c r="AH12" i="2"/>
  <c r="AH11" i="2"/>
  <c r="AH67" i="5"/>
  <c r="AH59" i="5"/>
  <c r="AH53" i="5"/>
  <c r="AH47" i="5"/>
  <c r="AH46" i="5"/>
  <c r="AH32" i="5"/>
  <c r="AH18" i="5"/>
  <c r="AH24" i="5"/>
  <c r="AH12" i="5"/>
  <c r="AH11" i="5"/>
  <c r="AI93" i="6" l="1"/>
  <c r="AI73" i="5"/>
  <c r="AI105" i="6"/>
  <c r="AI109" i="6" s="1"/>
  <c r="AI49" i="6"/>
  <c r="AI51" i="6" s="1"/>
  <c r="AI84" i="6"/>
  <c r="AI108" i="6" s="1"/>
  <c r="AI33" i="6"/>
  <c r="AI108" i="4"/>
  <c r="AI111" i="4" s="1"/>
  <c r="AI102" i="5"/>
  <c r="AI95" i="6"/>
  <c r="AI35" i="6"/>
  <c r="AI38" i="6" s="1"/>
  <c r="AI14" i="6"/>
  <c r="AI16" i="6" s="1"/>
  <c r="AI101" i="6"/>
  <c r="AI64" i="6"/>
  <c r="AI38" i="5"/>
  <c r="AI102" i="2"/>
  <c r="AI109" i="5"/>
  <c r="AI29" i="6"/>
  <c r="AI110" i="6"/>
  <c r="AI100" i="6"/>
  <c r="AI111" i="3"/>
  <c r="AI38" i="3"/>
  <c r="AI73" i="6"/>
  <c r="AI87" i="5"/>
  <c r="AI89" i="5" s="1"/>
  <c r="AI108" i="5"/>
  <c r="AI87" i="2"/>
  <c r="AI89" i="2" s="1"/>
  <c r="AI108" i="2"/>
  <c r="AI111" i="2" s="1"/>
  <c r="AH59" i="4"/>
  <c r="AH53" i="4"/>
  <c r="AH47" i="4"/>
  <c r="AH46" i="4"/>
  <c r="AH31" i="4"/>
  <c r="AH26" i="4"/>
  <c r="AH25" i="4"/>
  <c r="AH24" i="4"/>
  <c r="AH18" i="4"/>
  <c r="AH12" i="4"/>
  <c r="AH11" i="4"/>
  <c r="AI87" i="6" l="1"/>
  <c r="AI89" i="6" s="1"/>
  <c r="AI106" i="6"/>
  <c r="AI111" i="5"/>
  <c r="AI102" i="6"/>
  <c r="AI111" i="6"/>
  <c r="AH76" i="6"/>
  <c r="AH75" i="6"/>
  <c r="AH67" i="6"/>
  <c r="AH66" i="6"/>
  <c r="AH61" i="6"/>
  <c r="AH60" i="6"/>
  <c r="AH59" i="6"/>
  <c r="AH56" i="6"/>
  <c r="AH54" i="6"/>
  <c r="AH53" i="6"/>
  <c r="AH50" i="6"/>
  <c r="AH48" i="6"/>
  <c r="AH47" i="6"/>
  <c r="AH46" i="6"/>
  <c r="AH41" i="6"/>
  <c r="AH40" i="6"/>
  <c r="AH32" i="6"/>
  <c r="AH31" i="6"/>
  <c r="AH26" i="6"/>
  <c r="AH25" i="6"/>
  <c r="AH24" i="6"/>
  <c r="AH21" i="6"/>
  <c r="AH19" i="6"/>
  <c r="AH18" i="6"/>
  <c r="AH15" i="6"/>
  <c r="AH13" i="6"/>
  <c r="AH12" i="6"/>
  <c r="AH11" i="6"/>
  <c r="AH115" i="2"/>
  <c r="AH104" i="2"/>
  <c r="AH99" i="2"/>
  <c r="AH98" i="2"/>
  <c r="AH94" i="2"/>
  <c r="AH92" i="2"/>
  <c r="AH91" i="2"/>
  <c r="AH88" i="2"/>
  <c r="AH86" i="2"/>
  <c r="AH77" i="2"/>
  <c r="AH72" i="2"/>
  <c r="AH105" i="2"/>
  <c r="AH63" i="2"/>
  <c r="AH62" i="2"/>
  <c r="AH55" i="2"/>
  <c r="AH57" i="2" s="1"/>
  <c r="AH71" i="2"/>
  <c r="AH84" i="2"/>
  <c r="AH42" i="2"/>
  <c r="AH37" i="2"/>
  <c r="AH33" i="2"/>
  <c r="AH28" i="2"/>
  <c r="AH97" i="2"/>
  <c r="AH20" i="2"/>
  <c r="AH22" i="2" s="1"/>
  <c r="AH14" i="2"/>
  <c r="AH16" i="2" s="1"/>
  <c r="AH114" i="3"/>
  <c r="AH114" i="6" s="1"/>
  <c r="AH113" i="3"/>
  <c r="AH104" i="3"/>
  <c r="AH101" i="3"/>
  <c r="AH94" i="3"/>
  <c r="AH92" i="3"/>
  <c r="AH88" i="3"/>
  <c r="AH84" i="3"/>
  <c r="AH77" i="3"/>
  <c r="AH72" i="3"/>
  <c r="AH68" i="3"/>
  <c r="AH98" i="3"/>
  <c r="AH62" i="3"/>
  <c r="AH64" i="3" s="1"/>
  <c r="AH55" i="3"/>
  <c r="AH57" i="3" s="1"/>
  <c r="AH71" i="3"/>
  <c r="AH70" i="3"/>
  <c r="AH42" i="3"/>
  <c r="AH105" i="3"/>
  <c r="AH99" i="3"/>
  <c r="AH27" i="3"/>
  <c r="AH29" i="3" s="1"/>
  <c r="AH20" i="3"/>
  <c r="AH22" i="3" s="1"/>
  <c r="AH86" i="3"/>
  <c r="AH85" i="3"/>
  <c r="AH115" i="5"/>
  <c r="AH99" i="5"/>
  <c r="AH98" i="5"/>
  <c r="AH94" i="5"/>
  <c r="AH92" i="5"/>
  <c r="AH91" i="5"/>
  <c r="AH88" i="5"/>
  <c r="AH86" i="5"/>
  <c r="AH77" i="5"/>
  <c r="AH72" i="5"/>
  <c r="AH68" i="5"/>
  <c r="AH63" i="5"/>
  <c r="AH62" i="5"/>
  <c r="AH55" i="5"/>
  <c r="AH57" i="5" s="1"/>
  <c r="AH71" i="5"/>
  <c r="AH70" i="5"/>
  <c r="AH42" i="5"/>
  <c r="AH37" i="5"/>
  <c r="AH105" i="5"/>
  <c r="AH28" i="5"/>
  <c r="AH97" i="5"/>
  <c r="AH20" i="5"/>
  <c r="AH22" i="5" s="1"/>
  <c r="AH85" i="5"/>
  <c r="AH14" i="5"/>
  <c r="AH16" i="5" s="1"/>
  <c r="AH115" i="4"/>
  <c r="AH94" i="4"/>
  <c r="AH92" i="4"/>
  <c r="AH91" i="4"/>
  <c r="AH88" i="4"/>
  <c r="AH86" i="4"/>
  <c r="AH77" i="4"/>
  <c r="AH72" i="4"/>
  <c r="AH68" i="4"/>
  <c r="AH63" i="4"/>
  <c r="AH62" i="4"/>
  <c r="AH55" i="4"/>
  <c r="AH57" i="4" s="1"/>
  <c r="AH71" i="4"/>
  <c r="AH49" i="4"/>
  <c r="AH51" i="4" s="1"/>
  <c r="AH42" i="4"/>
  <c r="AH37" i="4"/>
  <c r="AH105" i="4"/>
  <c r="AH104" i="4"/>
  <c r="AH28" i="4"/>
  <c r="AH99" i="4"/>
  <c r="AH98" i="4"/>
  <c r="AH97" i="4"/>
  <c r="AH20" i="4"/>
  <c r="AH22" i="4" s="1"/>
  <c r="AH36" i="4"/>
  <c r="AH35" i="4"/>
  <c r="AG67" i="3"/>
  <c r="AG66" i="3"/>
  <c r="AG61" i="3"/>
  <c r="AG60" i="3"/>
  <c r="AG59" i="3"/>
  <c r="AG53" i="3"/>
  <c r="AG47" i="3"/>
  <c r="AG46" i="3"/>
  <c r="AG32" i="3"/>
  <c r="AG31" i="3"/>
  <c r="AG26" i="3"/>
  <c r="AG25" i="3"/>
  <c r="AG24" i="3"/>
  <c r="AG18" i="3"/>
  <c r="AG13" i="3"/>
  <c r="AG12" i="3"/>
  <c r="AG11" i="3"/>
  <c r="AH115" i="3" l="1"/>
  <c r="AH93" i="4"/>
  <c r="AH95" i="4" s="1"/>
  <c r="AH110" i="3"/>
  <c r="AH101" i="5"/>
  <c r="AH94" i="6"/>
  <c r="AH55" i="6"/>
  <c r="AH57" i="6" s="1"/>
  <c r="AH93" i="5"/>
  <c r="AH95" i="5" s="1"/>
  <c r="AH64" i="5"/>
  <c r="AH73" i="5"/>
  <c r="AH109" i="5"/>
  <c r="AH100" i="5"/>
  <c r="AH110" i="5"/>
  <c r="AH113" i="6"/>
  <c r="AH115" i="6" s="1"/>
  <c r="AH110" i="2"/>
  <c r="AH100" i="2"/>
  <c r="AH101" i="2"/>
  <c r="AH63" i="6"/>
  <c r="AH64" i="2"/>
  <c r="AH106" i="2"/>
  <c r="AH104" i="6"/>
  <c r="AH93" i="2"/>
  <c r="AH95" i="2" s="1"/>
  <c r="AH92" i="6"/>
  <c r="AH64" i="4"/>
  <c r="AH101" i="4"/>
  <c r="AH77" i="6"/>
  <c r="AH72" i="6"/>
  <c r="AH42" i="6"/>
  <c r="AH27" i="6"/>
  <c r="AH106" i="4"/>
  <c r="AH98" i="6"/>
  <c r="AH86" i="6"/>
  <c r="AH85" i="6"/>
  <c r="AH71" i="6"/>
  <c r="AH49" i="6"/>
  <c r="AH51" i="6" s="1"/>
  <c r="AH38" i="4"/>
  <c r="AH62" i="6"/>
  <c r="AH110" i="4"/>
  <c r="AH35" i="6"/>
  <c r="AH33" i="6"/>
  <c r="AH70" i="6"/>
  <c r="AH88" i="6"/>
  <c r="AH99" i="6"/>
  <c r="AH20" i="6"/>
  <c r="AH22" i="6" s="1"/>
  <c r="AH28" i="6"/>
  <c r="AH68" i="6"/>
  <c r="AH14" i="6"/>
  <c r="AH16" i="6" s="1"/>
  <c r="AH36" i="6"/>
  <c r="AH37" i="6"/>
  <c r="AH97" i="6"/>
  <c r="AH84" i="6"/>
  <c r="AH91" i="6"/>
  <c r="AH105" i="6"/>
  <c r="AH108" i="2"/>
  <c r="AH35" i="2"/>
  <c r="AH68" i="2"/>
  <c r="AH49" i="2"/>
  <c r="AH51" i="2" s="1"/>
  <c r="AH27" i="2"/>
  <c r="AH29" i="2" s="1"/>
  <c r="AH36" i="2"/>
  <c r="AH70" i="2"/>
  <c r="AH73" i="2" s="1"/>
  <c r="AH85" i="2"/>
  <c r="AH109" i="2" s="1"/>
  <c r="AH109" i="3"/>
  <c r="AH87" i="3"/>
  <c r="AH89" i="3" s="1"/>
  <c r="AH106" i="3"/>
  <c r="AH73" i="3"/>
  <c r="AH14" i="3"/>
  <c r="AH16" i="3" s="1"/>
  <c r="AH33" i="3"/>
  <c r="AH97" i="3"/>
  <c r="AH100" i="3" s="1"/>
  <c r="AH102" i="3" s="1"/>
  <c r="AH35" i="3"/>
  <c r="AH36" i="3"/>
  <c r="AH91" i="3"/>
  <c r="AH93" i="3" s="1"/>
  <c r="AH95" i="3" s="1"/>
  <c r="AH37" i="3"/>
  <c r="AH49" i="3"/>
  <c r="AH51" i="3" s="1"/>
  <c r="AH27" i="5"/>
  <c r="AH29" i="5" s="1"/>
  <c r="AH35" i="5"/>
  <c r="AH84" i="5"/>
  <c r="AH49" i="5"/>
  <c r="AH51" i="5" s="1"/>
  <c r="AH33" i="5"/>
  <c r="AH104" i="5"/>
  <c r="AH106" i="5" s="1"/>
  <c r="AH36" i="5"/>
  <c r="AH100" i="4"/>
  <c r="AH14" i="4"/>
  <c r="AH16" i="4" s="1"/>
  <c r="AH84" i="4"/>
  <c r="AH33" i="4"/>
  <c r="AH27" i="4"/>
  <c r="AH29" i="4" s="1"/>
  <c r="AH70" i="4"/>
  <c r="AH73" i="4" s="1"/>
  <c r="AH85" i="4"/>
  <c r="AH109" i="4" s="1"/>
  <c r="AG67" i="2"/>
  <c r="AG66" i="2"/>
  <c r="AG63" i="2"/>
  <c r="AG59" i="2"/>
  <c r="AG53" i="2"/>
  <c r="AG47" i="2"/>
  <c r="AG46" i="2"/>
  <c r="AH102" i="2" l="1"/>
  <c r="AH102" i="5"/>
  <c r="AH101" i="6"/>
  <c r="AH38" i="5"/>
  <c r="AH64" i="6"/>
  <c r="AH93" i="6"/>
  <c r="AH95" i="6" s="1"/>
  <c r="AH38" i="2"/>
  <c r="AH102" i="4"/>
  <c r="AH110" i="6"/>
  <c r="AH109" i="6"/>
  <c r="AH73" i="6"/>
  <c r="AH100" i="6"/>
  <c r="AH38" i="6"/>
  <c r="AH29" i="6"/>
  <c r="AH108" i="6"/>
  <c r="AH87" i="6"/>
  <c r="AH89" i="6" s="1"/>
  <c r="AH106" i="6"/>
  <c r="AH111" i="2"/>
  <c r="AH87" i="2"/>
  <c r="AH89" i="2" s="1"/>
  <c r="AH108" i="3"/>
  <c r="AH111" i="3" s="1"/>
  <c r="AH38" i="3"/>
  <c r="AH87" i="5"/>
  <c r="AH89" i="5" s="1"/>
  <c r="AH108" i="5"/>
  <c r="AH111" i="5" s="1"/>
  <c r="AH87" i="4"/>
  <c r="AH89" i="4" s="1"/>
  <c r="AH108" i="4"/>
  <c r="AH111" i="4" s="1"/>
  <c r="AG32" i="2"/>
  <c r="AG31" i="2"/>
  <c r="AG24" i="2"/>
  <c r="AG28" i="2"/>
  <c r="AG18" i="2"/>
  <c r="AG12" i="2"/>
  <c r="AG11" i="2"/>
  <c r="AH102" i="6" l="1"/>
  <c r="AH111" i="6"/>
  <c r="AG67" i="5"/>
  <c r="AG66" i="5"/>
  <c r="AG63" i="5"/>
  <c r="AG59" i="5"/>
  <c r="AG53" i="5"/>
  <c r="AG47" i="5"/>
  <c r="AG46" i="5"/>
  <c r="AG32" i="5"/>
  <c r="AG31" i="5"/>
  <c r="AG24" i="5"/>
  <c r="AG28" i="5"/>
  <c r="AG18" i="5"/>
  <c r="AG12" i="5"/>
  <c r="AG11" i="5"/>
  <c r="AG60" i="4" l="1"/>
  <c r="AG59" i="4"/>
  <c r="AG59" i="6" s="1"/>
  <c r="AG63" i="4"/>
  <c r="AG63" i="6" s="1"/>
  <c r="AG47" i="4"/>
  <c r="AG47" i="6" s="1"/>
  <c r="AG46" i="4"/>
  <c r="AG46" i="6" s="1"/>
  <c r="AG32" i="6"/>
  <c r="AG31" i="4"/>
  <c r="AG31" i="6" s="1"/>
  <c r="AG76" i="6"/>
  <c r="AG75" i="6"/>
  <c r="AG67" i="6"/>
  <c r="AG66" i="6"/>
  <c r="AG61" i="6"/>
  <c r="AG60" i="6"/>
  <c r="AG56" i="6"/>
  <c r="AG54" i="6"/>
  <c r="AG53" i="6"/>
  <c r="AG50" i="6"/>
  <c r="AG48" i="6"/>
  <c r="AG41" i="6"/>
  <c r="AG40" i="6"/>
  <c r="AG21" i="6"/>
  <c r="AG19" i="6"/>
  <c r="AG15" i="6"/>
  <c r="AG13" i="6"/>
  <c r="AG26" i="4"/>
  <c r="AG26" i="6" s="1"/>
  <c r="AG25" i="4"/>
  <c r="AG25" i="6" s="1"/>
  <c r="AG24" i="4"/>
  <c r="AG24" i="6" s="1"/>
  <c r="AG28" i="4"/>
  <c r="AG28" i="6" s="1"/>
  <c r="AG18" i="4"/>
  <c r="AG18" i="6" s="1"/>
  <c r="AG77" i="6" l="1"/>
  <c r="AG104" i="6"/>
  <c r="AG72" i="6"/>
  <c r="AG99" i="6"/>
  <c r="AG88" i="6"/>
  <c r="AG86" i="6"/>
  <c r="AG42" i="6"/>
  <c r="AG27" i="6"/>
  <c r="AG29" i="6" s="1"/>
  <c r="AG20" i="6"/>
  <c r="AG22" i="6" s="1"/>
  <c r="AG105" i="6"/>
  <c r="AG68" i="6"/>
  <c r="AG62" i="6"/>
  <c r="AG64" i="6" s="1"/>
  <c r="AG98" i="6"/>
  <c r="AG101" i="6"/>
  <c r="AG94" i="6"/>
  <c r="AG71" i="6"/>
  <c r="AG92" i="6"/>
  <c r="AG55" i="6"/>
  <c r="AG57" i="6" s="1"/>
  <c r="AG70" i="6"/>
  <c r="AG49" i="6"/>
  <c r="AG51" i="6" s="1"/>
  <c r="AG33" i="6"/>
  <c r="AG37" i="6"/>
  <c r="AG91" i="6"/>
  <c r="AG97" i="6"/>
  <c r="AG110" i="6" l="1"/>
  <c r="AG106" i="6"/>
  <c r="AG100" i="6"/>
  <c r="AG102" i="6" s="1"/>
  <c r="AG73" i="6"/>
  <c r="AG93" i="6"/>
  <c r="AG95" i="6" s="1"/>
  <c r="AG12" i="4" l="1"/>
  <c r="AG12" i="6" s="1"/>
  <c r="AG11" i="4"/>
  <c r="AG11" i="6" s="1"/>
  <c r="AG14" i="6" l="1"/>
  <c r="AG16" i="6" s="1"/>
  <c r="AG35" i="6"/>
  <c r="AG84" i="6"/>
  <c r="AG36" i="6"/>
  <c r="AG85" i="6"/>
  <c r="AG109" i="6" s="1"/>
  <c r="AG115" i="5"/>
  <c r="AG104" i="5"/>
  <c r="AG99" i="5"/>
  <c r="AG98" i="5"/>
  <c r="AG94" i="5"/>
  <c r="AG92" i="5"/>
  <c r="AG88" i="5"/>
  <c r="AG86" i="5"/>
  <c r="AG77" i="5"/>
  <c r="AG72" i="5"/>
  <c r="AG68" i="5"/>
  <c r="AG62" i="5"/>
  <c r="AG55" i="5"/>
  <c r="AG57" i="5" s="1"/>
  <c r="AG71" i="5"/>
  <c r="AG42" i="5"/>
  <c r="AG37" i="5"/>
  <c r="AG105" i="5"/>
  <c r="AG101" i="5"/>
  <c r="AG97" i="5"/>
  <c r="AG91" i="5"/>
  <c r="AG36" i="5"/>
  <c r="AG84" i="5"/>
  <c r="AG115" i="4"/>
  <c r="AG105" i="4"/>
  <c r="AG94" i="4"/>
  <c r="AG92" i="4"/>
  <c r="AG88" i="4"/>
  <c r="AG86" i="4"/>
  <c r="AG77" i="4"/>
  <c r="AG72" i="4"/>
  <c r="AG70" i="4"/>
  <c r="AG68" i="4"/>
  <c r="AG62" i="4"/>
  <c r="AG55" i="4"/>
  <c r="AG57" i="4" s="1"/>
  <c r="AG71" i="4"/>
  <c r="AG42" i="4"/>
  <c r="AG36" i="4"/>
  <c r="AG35" i="4"/>
  <c r="AG104" i="4"/>
  <c r="AG101" i="4"/>
  <c r="AG37" i="4"/>
  <c r="AG98" i="4"/>
  <c r="AG97" i="4"/>
  <c r="AG91" i="4"/>
  <c r="AG14" i="4"/>
  <c r="AG16" i="4" s="1"/>
  <c r="AG84" i="4"/>
  <c r="AG114" i="3"/>
  <c r="AG114" i="6" s="1"/>
  <c r="AG113" i="3"/>
  <c r="AG94" i="3"/>
  <c r="AG92" i="3"/>
  <c r="AG88" i="3"/>
  <c r="AG86" i="3"/>
  <c r="AG77" i="3"/>
  <c r="AG72" i="3"/>
  <c r="AG68" i="3"/>
  <c r="AG62" i="3"/>
  <c r="AG55" i="3"/>
  <c r="AG57" i="3" s="1"/>
  <c r="AG71" i="3"/>
  <c r="AG70" i="3"/>
  <c r="AG42" i="3"/>
  <c r="AG33" i="3"/>
  <c r="AG105" i="3"/>
  <c r="AG104" i="3"/>
  <c r="AG101" i="3"/>
  <c r="AG99" i="3"/>
  <c r="AG98" i="3"/>
  <c r="AG97" i="3"/>
  <c r="AG20" i="3"/>
  <c r="AG22" i="3" s="1"/>
  <c r="AG91" i="3"/>
  <c r="AG85" i="3"/>
  <c r="AG14" i="3"/>
  <c r="AG16" i="3" s="1"/>
  <c r="AG115" i="2"/>
  <c r="AG105" i="2"/>
  <c r="AG99" i="2"/>
  <c r="AG98" i="2"/>
  <c r="AG94" i="2"/>
  <c r="AG92" i="2"/>
  <c r="AG91" i="2"/>
  <c r="AG88" i="2"/>
  <c r="AG86" i="2"/>
  <c r="AG84" i="2"/>
  <c r="AG77" i="2"/>
  <c r="AG72" i="2"/>
  <c r="AG70" i="2"/>
  <c r="AG68" i="2"/>
  <c r="AG62" i="2"/>
  <c r="AG55" i="2"/>
  <c r="AG57" i="2" s="1"/>
  <c r="AG49" i="2"/>
  <c r="AG51" i="2" s="1"/>
  <c r="AG42" i="2"/>
  <c r="AG37" i="2"/>
  <c r="AG36" i="2"/>
  <c r="AG104" i="2"/>
  <c r="AG97" i="2"/>
  <c r="AG20" i="2"/>
  <c r="AG22" i="2" s="1"/>
  <c r="AG14" i="2"/>
  <c r="AG16" i="2" s="1"/>
  <c r="AG38" i="6" l="1"/>
  <c r="AG108" i="6"/>
  <c r="AG111" i="6" s="1"/>
  <c r="AG87" i="6"/>
  <c r="AG89" i="6" s="1"/>
  <c r="AG115" i="3"/>
  <c r="AG113" i="6"/>
  <c r="AG115" i="6" s="1"/>
  <c r="AG110" i="2"/>
  <c r="AG93" i="5"/>
  <c r="AG95" i="5" s="1"/>
  <c r="AG100" i="5"/>
  <c r="AG102" i="5" s="1"/>
  <c r="AG110" i="5"/>
  <c r="AG106" i="5"/>
  <c r="AG64" i="5"/>
  <c r="AG108" i="5"/>
  <c r="AG35" i="5"/>
  <c r="AG38" i="5" s="1"/>
  <c r="AG85" i="5"/>
  <c r="AG109" i="5" s="1"/>
  <c r="AG14" i="5"/>
  <c r="AG16" i="5" s="1"/>
  <c r="AG27" i="5"/>
  <c r="AG29" i="5" s="1"/>
  <c r="AG49" i="5"/>
  <c r="AG51" i="5" s="1"/>
  <c r="AG70" i="5"/>
  <c r="AG73" i="5" s="1"/>
  <c r="AG20" i="5"/>
  <c r="AG22" i="5" s="1"/>
  <c r="AG33" i="5"/>
  <c r="AG106" i="4"/>
  <c r="AG73" i="4"/>
  <c r="AG93" i="4"/>
  <c r="AG95" i="4" s="1"/>
  <c r="AG64" i="4"/>
  <c r="AG108" i="4"/>
  <c r="AG38" i="4"/>
  <c r="AG27" i="4"/>
  <c r="AG29" i="4" s="1"/>
  <c r="AG49" i="4"/>
  <c r="AG51" i="4" s="1"/>
  <c r="AG85" i="4"/>
  <c r="AG109" i="4" s="1"/>
  <c r="AG99" i="4"/>
  <c r="AG110" i="4" s="1"/>
  <c r="AG33" i="4"/>
  <c r="AG20" i="4"/>
  <c r="AG22" i="4" s="1"/>
  <c r="AG106" i="3"/>
  <c r="AG73" i="3"/>
  <c r="AG93" i="3"/>
  <c r="AG95" i="3" s="1"/>
  <c r="AG64" i="3"/>
  <c r="AG110" i="3"/>
  <c r="AG109" i="3"/>
  <c r="AG100" i="3"/>
  <c r="AG102" i="3" s="1"/>
  <c r="AG27" i="3"/>
  <c r="AG29" i="3" s="1"/>
  <c r="AG35" i="3"/>
  <c r="AG36" i="3"/>
  <c r="AG49" i="3"/>
  <c r="AG51" i="3" s="1"/>
  <c r="AG37" i="3"/>
  <c r="AG84" i="3"/>
  <c r="AG64" i="2"/>
  <c r="AG106" i="2"/>
  <c r="AG100" i="2"/>
  <c r="AG101" i="2"/>
  <c r="AG93" i="2"/>
  <c r="AG95" i="2" s="1"/>
  <c r="AG85" i="2"/>
  <c r="AG109" i="2" s="1"/>
  <c r="AG71" i="2"/>
  <c r="AG73" i="2" s="1"/>
  <c r="AG108" i="2"/>
  <c r="AG27" i="2"/>
  <c r="AG29" i="2" s="1"/>
  <c r="AG35" i="2"/>
  <c r="AG38" i="2" s="1"/>
  <c r="AG33" i="2"/>
  <c r="AF67" i="2"/>
  <c r="AF53" i="2"/>
  <c r="AF59" i="2"/>
  <c r="AF47" i="2"/>
  <c r="AF46" i="2"/>
  <c r="AF31" i="2"/>
  <c r="AF18" i="2"/>
  <c r="AF24" i="2"/>
  <c r="AF12" i="2"/>
  <c r="AF11" i="2"/>
  <c r="AG111" i="5" l="1"/>
  <c r="AG87" i="5"/>
  <c r="AG89" i="5" s="1"/>
  <c r="AG100" i="4"/>
  <c r="AG102" i="4" s="1"/>
  <c r="AG111" i="4"/>
  <c r="AG87" i="4"/>
  <c r="AG89" i="4" s="1"/>
  <c r="AG38" i="3"/>
  <c r="AG108" i="3"/>
  <c r="AG111" i="3" s="1"/>
  <c r="AG87" i="3"/>
  <c r="AG89" i="3" s="1"/>
  <c r="AG102" i="2"/>
  <c r="AG87" i="2"/>
  <c r="AG89" i="2" s="1"/>
  <c r="AG111" i="2"/>
  <c r="AF67" i="5"/>
  <c r="AF53" i="5"/>
  <c r="AF59" i="5"/>
  <c r="AF47" i="5"/>
  <c r="AF46" i="5"/>
  <c r="AF32" i="5"/>
  <c r="AF18" i="5"/>
  <c r="AF24" i="5"/>
  <c r="AF12" i="5"/>
  <c r="AF11" i="5"/>
  <c r="AF67" i="3" l="1"/>
  <c r="AF66" i="3"/>
  <c r="AF59" i="3"/>
  <c r="AF61" i="3"/>
  <c r="AF60" i="3"/>
  <c r="AF53" i="3"/>
  <c r="AF47" i="3"/>
  <c r="AF46" i="3"/>
  <c r="AF32" i="3"/>
  <c r="AF31" i="3"/>
  <c r="AF26" i="3"/>
  <c r="AF25" i="3"/>
  <c r="AF24" i="3"/>
  <c r="AF18" i="3"/>
  <c r="AF12" i="3"/>
  <c r="AF11" i="3"/>
  <c r="AF59" i="4" l="1"/>
  <c r="AF47" i="4"/>
  <c r="AF46" i="4"/>
  <c r="AF31" i="4"/>
  <c r="AF26" i="4"/>
  <c r="AF25" i="4"/>
  <c r="AF24" i="4"/>
  <c r="AF18" i="4"/>
  <c r="AF12" i="4"/>
  <c r="AF11" i="4"/>
  <c r="AF76" i="6" l="1"/>
  <c r="AF75" i="6"/>
  <c r="AF67" i="6"/>
  <c r="AF66" i="6"/>
  <c r="AF61" i="6"/>
  <c r="AF60" i="6"/>
  <c r="AF59" i="6"/>
  <c r="AF56" i="6"/>
  <c r="AF53" i="6"/>
  <c r="AF50" i="6"/>
  <c r="AF48" i="6"/>
  <c r="AF47" i="6"/>
  <c r="AF46" i="6"/>
  <c r="AF41" i="6"/>
  <c r="AF40" i="6"/>
  <c r="AF32" i="6"/>
  <c r="AF31" i="6"/>
  <c r="AF26" i="6"/>
  <c r="AF25" i="6"/>
  <c r="AF24" i="6"/>
  <c r="AF21" i="6"/>
  <c r="AF18" i="6"/>
  <c r="AF15" i="6"/>
  <c r="AF13" i="6"/>
  <c r="AF12" i="6"/>
  <c r="AF11" i="6"/>
  <c r="AF94" i="2"/>
  <c r="AF88" i="2"/>
  <c r="AF86" i="2"/>
  <c r="AF77" i="2"/>
  <c r="AF72" i="2"/>
  <c r="AF68" i="2"/>
  <c r="AF63" i="2"/>
  <c r="AF62" i="2"/>
  <c r="AF97" i="2"/>
  <c r="AF54" i="2"/>
  <c r="AF54" i="6" s="1"/>
  <c r="AF91" i="2"/>
  <c r="AF49" i="2"/>
  <c r="AF51" i="2" s="1"/>
  <c r="AF42" i="2"/>
  <c r="AF35" i="2"/>
  <c r="AF105" i="2"/>
  <c r="AF104" i="2"/>
  <c r="AF28" i="2"/>
  <c r="AF99" i="2"/>
  <c r="AF98" i="2"/>
  <c r="AF19" i="2"/>
  <c r="AF19" i="6" s="1"/>
  <c r="AF84" i="2"/>
  <c r="AF114" i="3"/>
  <c r="AF113" i="3"/>
  <c r="AF104" i="3"/>
  <c r="AF99" i="3"/>
  <c r="AF94" i="3"/>
  <c r="AF92" i="3"/>
  <c r="AF88" i="3"/>
  <c r="AF86" i="3"/>
  <c r="AF85" i="3"/>
  <c r="AF77" i="3"/>
  <c r="AF72" i="3"/>
  <c r="AF105" i="3"/>
  <c r="AF63" i="3"/>
  <c r="AF62" i="3"/>
  <c r="AF55" i="3"/>
  <c r="AF57" i="3" s="1"/>
  <c r="AF49" i="3"/>
  <c r="AF51" i="3" s="1"/>
  <c r="AF71" i="3"/>
  <c r="AF70" i="3"/>
  <c r="AF42" i="3"/>
  <c r="AF33" i="3"/>
  <c r="AF28" i="3"/>
  <c r="AF37" i="3"/>
  <c r="AF98" i="3"/>
  <c r="AF27" i="3"/>
  <c r="AF20" i="3"/>
  <c r="AF22" i="3" s="1"/>
  <c r="AF91" i="3"/>
  <c r="AF36" i="3"/>
  <c r="AF35" i="3"/>
  <c r="AF115" i="4"/>
  <c r="AF105" i="4"/>
  <c r="AF94" i="4"/>
  <c r="AF92" i="4"/>
  <c r="AF91" i="4"/>
  <c r="AF93" i="4" s="1"/>
  <c r="AF88" i="4"/>
  <c r="AF86" i="4"/>
  <c r="AF77" i="4"/>
  <c r="AF70" i="4"/>
  <c r="AF68" i="4"/>
  <c r="AF63" i="4"/>
  <c r="AF62" i="4"/>
  <c r="AF55" i="4"/>
  <c r="AF57" i="4" s="1"/>
  <c r="AF71" i="4"/>
  <c r="AF42" i="4"/>
  <c r="AF104" i="4"/>
  <c r="AF28" i="4"/>
  <c r="AF99" i="4"/>
  <c r="AF36" i="4"/>
  <c r="AF35" i="4"/>
  <c r="AF20" i="4"/>
  <c r="AF22" i="4" s="1"/>
  <c r="AF85" i="4"/>
  <c r="AF84" i="4"/>
  <c r="AF115" i="5"/>
  <c r="AF105" i="5"/>
  <c r="AF104" i="5"/>
  <c r="AF99" i="5"/>
  <c r="AF98" i="5"/>
  <c r="AF94" i="5"/>
  <c r="AF92" i="5"/>
  <c r="AF88" i="5"/>
  <c r="AF86" i="5"/>
  <c r="AF77" i="5"/>
  <c r="AF72" i="5"/>
  <c r="AF68" i="5"/>
  <c r="AF63" i="5"/>
  <c r="AF62" i="5"/>
  <c r="AF55" i="5"/>
  <c r="AF57" i="5" s="1"/>
  <c r="AF71" i="5"/>
  <c r="AF49" i="5"/>
  <c r="AF51" i="5" s="1"/>
  <c r="AF42" i="5"/>
  <c r="AF37" i="5"/>
  <c r="AF36" i="5"/>
  <c r="AF33" i="5"/>
  <c r="AF28" i="5"/>
  <c r="AF27" i="5"/>
  <c r="AF20" i="5"/>
  <c r="AF22" i="5" s="1"/>
  <c r="AF14" i="5"/>
  <c r="AF16" i="5" s="1"/>
  <c r="AF85" i="5"/>
  <c r="AF84" i="5"/>
  <c r="AF36" i="2" l="1"/>
  <c r="AF101" i="4"/>
  <c r="AF110" i="3"/>
  <c r="AF92" i="2"/>
  <c r="AF93" i="2" s="1"/>
  <c r="AF95" i="2" s="1"/>
  <c r="AF71" i="2"/>
  <c r="AF55" i="6"/>
  <c r="AF57" i="6" s="1"/>
  <c r="AF94" i="6"/>
  <c r="AF64" i="2"/>
  <c r="AF114" i="6"/>
  <c r="AF106" i="2"/>
  <c r="AF64" i="5"/>
  <c r="AF63" i="6"/>
  <c r="AF110" i="5"/>
  <c r="AF29" i="5"/>
  <c r="AF99" i="6"/>
  <c r="AF98" i="6"/>
  <c r="AF64" i="3"/>
  <c r="AF101" i="3"/>
  <c r="AF28" i="6"/>
  <c r="AF106" i="4"/>
  <c r="AF77" i="6"/>
  <c r="AF115" i="2"/>
  <c r="AF113" i="6"/>
  <c r="AF104" i="6"/>
  <c r="AF110" i="2"/>
  <c r="AF88" i="6"/>
  <c r="AF42" i="6"/>
  <c r="AF100" i="2"/>
  <c r="AF101" i="2"/>
  <c r="AF27" i="6"/>
  <c r="AF110" i="4"/>
  <c r="AF68" i="6"/>
  <c r="AF105" i="6"/>
  <c r="AF71" i="6"/>
  <c r="AF62" i="6"/>
  <c r="AF72" i="6"/>
  <c r="AF91" i="6"/>
  <c r="AF86" i="6"/>
  <c r="AF49" i="6"/>
  <c r="AF51" i="6" s="1"/>
  <c r="AF36" i="6"/>
  <c r="AF33" i="6"/>
  <c r="AF35" i="6"/>
  <c r="AF20" i="6"/>
  <c r="AF22" i="6" s="1"/>
  <c r="AF14" i="6"/>
  <c r="AF16" i="6" s="1"/>
  <c r="AF85" i="6"/>
  <c r="AF92" i="6"/>
  <c r="AF97" i="6"/>
  <c r="AF70" i="6"/>
  <c r="AF37" i="6"/>
  <c r="AF84" i="6"/>
  <c r="AF108" i="2"/>
  <c r="AF20" i="2"/>
  <c r="AF22" i="2" s="1"/>
  <c r="AF27" i="2"/>
  <c r="AF29" i="2" s="1"/>
  <c r="AF37" i="2"/>
  <c r="AF38" i="2" s="1"/>
  <c r="AF70" i="2"/>
  <c r="AF33" i="2"/>
  <c r="AF55" i="2"/>
  <c r="AF57" i="2" s="1"/>
  <c r="AF85" i="2"/>
  <c r="AF14" i="2"/>
  <c r="AF16" i="2" s="1"/>
  <c r="AF29" i="3"/>
  <c r="AF93" i="3"/>
  <c r="AF95" i="3" s="1"/>
  <c r="AF115" i="3"/>
  <c r="AF109" i="3"/>
  <c r="AF106" i="3"/>
  <c r="AF38" i="3"/>
  <c r="AF73" i="3"/>
  <c r="AF97" i="3"/>
  <c r="AF100" i="3" s="1"/>
  <c r="AF14" i="3"/>
  <c r="AF16" i="3" s="1"/>
  <c r="AF84" i="3"/>
  <c r="AF68" i="3"/>
  <c r="AF95" i="4"/>
  <c r="AF64" i="4"/>
  <c r="AF87" i="4"/>
  <c r="AF89" i="4" s="1"/>
  <c r="AF97" i="4"/>
  <c r="AF37" i="4"/>
  <c r="AF38" i="4" s="1"/>
  <c r="AF49" i="4"/>
  <c r="AF51" i="4" s="1"/>
  <c r="AF98" i="4"/>
  <c r="AF109" i="4" s="1"/>
  <c r="AF14" i="4"/>
  <c r="AF16" i="4" s="1"/>
  <c r="AF27" i="4"/>
  <c r="AF29" i="4" s="1"/>
  <c r="AF33" i="4"/>
  <c r="AF72" i="4"/>
  <c r="AF73" i="4" s="1"/>
  <c r="AF106" i="5"/>
  <c r="AF109" i="5"/>
  <c r="AF101" i="5"/>
  <c r="AF87" i="5"/>
  <c r="AF89" i="5" s="1"/>
  <c r="AF35" i="5"/>
  <c r="AF38" i="5" s="1"/>
  <c r="AF91" i="5"/>
  <c r="AF93" i="5" s="1"/>
  <c r="AF95" i="5" s="1"/>
  <c r="AF70" i="5"/>
  <c r="AF73" i="5" s="1"/>
  <c r="AF97" i="5"/>
  <c r="AF100" i="5" s="1"/>
  <c r="AE67" i="3"/>
  <c r="AE66" i="3"/>
  <c r="AE61" i="3"/>
  <c r="AE60" i="3"/>
  <c r="AE59" i="3"/>
  <c r="AE53" i="3"/>
  <c r="AE47" i="3"/>
  <c r="AE46" i="3"/>
  <c r="AE32" i="3"/>
  <c r="AE31" i="3"/>
  <c r="AE18" i="3"/>
  <c r="AE26" i="3"/>
  <c r="AE25" i="3"/>
  <c r="AE24" i="3"/>
  <c r="AE12" i="3"/>
  <c r="AE11" i="3"/>
  <c r="AF73" i="2" l="1"/>
  <c r="AF93" i="6"/>
  <c r="AF95" i="6" s="1"/>
  <c r="AF109" i="2"/>
  <c r="AF111" i="2" s="1"/>
  <c r="AF110" i="6"/>
  <c r="AF102" i="2"/>
  <c r="AF102" i="3"/>
  <c r="AF29" i="6"/>
  <c r="AF64" i="6"/>
  <c r="AF115" i="6"/>
  <c r="AF101" i="6"/>
  <c r="AF100" i="6"/>
  <c r="AF106" i="6"/>
  <c r="AF109" i="6"/>
  <c r="AF100" i="4"/>
  <c r="AF102" i="4" s="1"/>
  <c r="AF73" i="6"/>
  <c r="AF38" i="6"/>
  <c r="AF108" i="6"/>
  <c r="AF87" i="6"/>
  <c r="AF89" i="6" s="1"/>
  <c r="AF87" i="2"/>
  <c r="AF89" i="2" s="1"/>
  <c r="AF108" i="3"/>
  <c r="AF111" i="3" s="1"/>
  <c r="AF87" i="3"/>
  <c r="AF89" i="3" s="1"/>
  <c r="AF108" i="4"/>
  <c r="AF111" i="4" s="1"/>
  <c r="AF102" i="5"/>
  <c r="AF108" i="5"/>
  <c r="AF111" i="5" s="1"/>
  <c r="AE67" i="2"/>
  <c r="AE66" i="2"/>
  <c r="AE61" i="2"/>
  <c r="AE60" i="2"/>
  <c r="AE59" i="2"/>
  <c r="AE53" i="2"/>
  <c r="AE47" i="2"/>
  <c r="AE46" i="2"/>
  <c r="AE32" i="2"/>
  <c r="AE31" i="2"/>
  <c r="AE18" i="2"/>
  <c r="AE26" i="2"/>
  <c r="AE25" i="2"/>
  <c r="AE24" i="2"/>
  <c r="AE12" i="2"/>
  <c r="AE11" i="2"/>
  <c r="AF102" i="6" l="1"/>
  <c r="AF111" i="6"/>
  <c r="AE61" i="4"/>
  <c r="AE60" i="4"/>
  <c r="AE59" i="4"/>
  <c r="AE47" i="4"/>
  <c r="AE31" i="4"/>
  <c r="AE18" i="4"/>
  <c r="AE26" i="4"/>
  <c r="AE25" i="4"/>
  <c r="AE24" i="4"/>
  <c r="AE12" i="4"/>
  <c r="AE11" i="4"/>
  <c r="AE76" i="6" l="1"/>
  <c r="AE75" i="6"/>
  <c r="AE66" i="6"/>
  <c r="AE61" i="6"/>
  <c r="AE60" i="6"/>
  <c r="AE56" i="6"/>
  <c r="AE50" i="6"/>
  <c r="AE48" i="6"/>
  <c r="AE41" i="6"/>
  <c r="AE40" i="6"/>
  <c r="AE31" i="6"/>
  <c r="AE26" i="6"/>
  <c r="AE25" i="6"/>
  <c r="AE21" i="6"/>
  <c r="AE15" i="6"/>
  <c r="AE13" i="6"/>
  <c r="AE114" i="2"/>
  <c r="AE113" i="2"/>
  <c r="AE97" i="2"/>
  <c r="AE94" i="2"/>
  <c r="AE88" i="2"/>
  <c r="AE86" i="2"/>
  <c r="AE77" i="2"/>
  <c r="AE72" i="2"/>
  <c r="AE70" i="2"/>
  <c r="AE68" i="2"/>
  <c r="AE63" i="2"/>
  <c r="AE62" i="2"/>
  <c r="AE54" i="2"/>
  <c r="AE54" i="6" s="1"/>
  <c r="AE49" i="2"/>
  <c r="AE51" i="2" s="1"/>
  <c r="AE42" i="2"/>
  <c r="AE37" i="2"/>
  <c r="AE35" i="2"/>
  <c r="AE105" i="2"/>
  <c r="AE104" i="2"/>
  <c r="AE28" i="2"/>
  <c r="AE27" i="2"/>
  <c r="AE99" i="2"/>
  <c r="AE98" i="2"/>
  <c r="AE19" i="2"/>
  <c r="AE20" i="2" s="1"/>
  <c r="AE22" i="2" s="1"/>
  <c r="AE91" i="2"/>
  <c r="AE84" i="2"/>
  <c r="AE114" i="3"/>
  <c r="AE113" i="3"/>
  <c r="AE104" i="3"/>
  <c r="AE99" i="3"/>
  <c r="AE94" i="3"/>
  <c r="AE92" i="3"/>
  <c r="AE88" i="3"/>
  <c r="AE86" i="3"/>
  <c r="AE85" i="3"/>
  <c r="AE77" i="3"/>
  <c r="AE72" i="3"/>
  <c r="AE105" i="3"/>
  <c r="AE63" i="3"/>
  <c r="AE62" i="3"/>
  <c r="AE55" i="3"/>
  <c r="AE57" i="3" s="1"/>
  <c r="AE49" i="3"/>
  <c r="AE51" i="3" s="1"/>
  <c r="AE71" i="3"/>
  <c r="AE70" i="3"/>
  <c r="AE42" i="3"/>
  <c r="AE33" i="3"/>
  <c r="AE28" i="3"/>
  <c r="AE37" i="3"/>
  <c r="AE98" i="3"/>
  <c r="AE27" i="3"/>
  <c r="AE91" i="3"/>
  <c r="AE36" i="3"/>
  <c r="AE35" i="3"/>
  <c r="AE115" i="4"/>
  <c r="AE105" i="4"/>
  <c r="AE94" i="4"/>
  <c r="AE92" i="4"/>
  <c r="AE88" i="4"/>
  <c r="AE86" i="4"/>
  <c r="AE77" i="4"/>
  <c r="AE72" i="4"/>
  <c r="AE68" i="4"/>
  <c r="AE63" i="4"/>
  <c r="AE62" i="4"/>
  <c r="AE70" i="4"/>
  <c r="AE71" i="4"/>
  <c r="AE42" i="4"/>
  <c r="AE104" i="4"/>
  <c r="AE28" i="4"/>
  <c r="AE99" i="4"/>
  <c r="AE36" i="4"/>
  <c r="AE97" i="4"/>
  <c r="AE20" i="4"/>
  <c r="AE22" i="4" s="1"/>
  <c r="AE85" i="4"/>
  <c r="AE14" i="4"/>
  <c r="AE16" i="4" s="1"/>
  <c r="AE71" i="2" l="1"/>
  <c r="AE55" i="2"/>
  <c r="AE57" i="2" s="1"/>
  <c r="AE113" i="6"/>
  <c r="AE110" i="3"/>
  <c r="AE19" i="6"/>
  <c r="AE92" i="6" s="1"/>
  <c r="AE93" i="3"/>
  <c r="AE95" i="3" s="1"/>
  <c r="AE36" i="2"/>
  <c r="AE38" i="2" s="1"/>
  <c r="AE94" i="6"/>
  <c r="AE114" i="6"/>
  <c r="AE77" i="6"/>
  <c r="AE29" i="2"/>
  <c r="AE64" i="4"/>
  <c r="AE101" i="4"/>
  <c r="AE99" i="6"/>
  <c r="AE72" i="6"/>
  <c r="AE98" i="6"/>
  <c r="AE86" i="6"/>
  <c r="AE42" i="6"/>
  <c r="AE104" i="6"/>
  <c r="AE88" i="6"/>
  <c r="AE37" i="6"/>
  <c r="AE101" i="2"/>
  <c r="AE64" i="2"/>
  <c r="AE106" i="2"/>
  <c r="AE73" i="2"/>
  <c r="AE115" i="2"/>
  <c r="AE100" i="2"/>
  <c r="AE108" i="2"/>
  <c r="AE110" i="2"/>
  <c r="AE92" i="2"/>
  <c r="AE93" i="2" s="1"/>
  <c r="AE95" i="2" s="1"/>
  <c r="AE33" i="2"/>
  <c r="AE85" i="2"/>
  <c r="AE14" i="2"/>
  <c r="AE16" i="2" s="1"/>
  <c r="AE101" i="3"/>
  <c r="AE64" i="3"/>
  <c r="AE115" i="3"/>
  <c r="AE29" i="3"/>
  <c r="AE73" i="3"/>
  <c r="AE38" i="3"/>
  <c r="AE109" i="3"/>
  <c r="AE106" i="3"/>
  <c r="AE20" i="3"/>
  <c r="AE22" i="3" s="1"/>
  <c r="AE97" i="3"/>
  <c r="AE100" i="3" s="1"/>
  <c r="AE14" i="3"/>
  <c r="AE16" i="3" s="1"/>
  <c r="AE84" i="3"/>
  <c r="AE68" i="3"/>
  <c r="AE106" i="4"/>
  <c r="AE110" i="4"/>
  <c r="AE73" i="4"/>
  <c r="AE37" i="4"/>
  <c r="AE49" i="4"/>
  <c r="AE51" i="4" s="1"/>
  <c r="AE84" i="4"/>
  <c r="AE98" i="4"/>
  <c r="AE100" i="4" s="1"/>
  <c r="AE27" i="4"/>
  <c r="AE29" i="4" s="1"/>
  <c r="AE33" i="4"/>
  <c r="AE35" i="4"/>
  <c r="AE91" i="4"/>
  <c r="AE93" i="4" s="1"/>
  <c r="AE95" i="4" s="1"/>
  <c r="AE55" i="4"/>
  <c r="AE57" i="4" s="1"/>
  <c r="AE67" i="5"/>
  <c r="AE67" i="6" s="1"/>
  <c r="AE68" i="6" s="1"/>
  <c r="AE53" i="5"/>
  <c r="AE53" i="6" s="1"/>
  <c r="AE55" i="6" s="1"/>
  <c r="AE57" i="6" s="1"/>
  <c r="AE59" i="5"/>
  <c r="AE59" i="6" s="1"/>
  <c r="AE62" i="6" s="1"/>
  <c r="AE47" i="5"/>
  <c r="AE47" i="6" s="1"/>
  <c r="AE46" i="5"/>
  <c r="AE46" i="6" s="1"/>
  <c r="AE32" i="5"/>
  <c r="AE32" i="6" s="1"/>
  <c r="AE18" i="5"/>
  <c r="AE18" i="6" s="1"/>
  <c r="AE24" i="5"/>
  <c r="AE24" i="6" s="1"/>
  <c r="AE27" i="6" s="1"/>
  <c r="AE12" i="5"/>
  <c r="AE12" i="6" s="1"/>
  <c r="AE11" i="5"/>
  <c r="AE11" i="6" s="1"/>
  <c r="AE115" i="6" l="1"/>
  <c r="AE20" i="6"/>
  <c r="AE22" i="6" s="1"/>
  <c r="AE71" i="6"/>
  <c r="AE36" i="6"/>
  <c r="AE35" i="6"/>
  <c r="AE110" i="6"/>
  <c r="AE105" i="6"/>
  <c r="AE106" i="6" s="1"/>
  <c r="AE70" i="6"/>
  <c r="AE97" i="6"/>
  <c r="AE100" i="6" s="1"/>
  <c r="AE84" i="6"/>
  <c r="AE14" i="6"/>
  <c r="AE16" i="6" s="1"/>
  <c r="AE33" i="6"/>
  <c r="AE91" i="6"/>
  <c r="AE93" i="6" s="1"/>
  <c r="AE95" i="6" s="1"/>
  <c r="AE49" i="6"/>
  <c r="AE51" i="6" s="1"/>
  <c r="AE85" i="6"/>
  <c r="AE102" i="4"/>
  <c r="AE102" i="3"/>
  <c r="AE109" i="4"/>
  <c r="AE102" i="2"/>
  <c r="AE109" i="2"/>
  <c r="AE111" i="2" s="1"/>
  <c r="AE87" i="2"/>
  <c r="AE89" i="2" s="1"/>
  <c r="AE108" i="3"/>
  <c r="AE111" i="3" s="1"/>
  <c r="AE87" i="3"/>
  <c r="AE89" i="3" s="1"/>
  <c r="AE38" i="4"/>
  <c r="AE108" i="4"/>
  <c r="AE87" i="4"/>
  <c r="AE89" i="4" s="1"/>
  <c r="AE115" i="5"/>
  <c r="AE104" i="5"/>
  <c r="AE99" i="5"/>
  <c r="AE98" i="5"/>
  <c r="AE94" i="5"/>
  <c r="AE92" i="5"/>
  <c r="AE88" i="5"/>
  <c r="AE86" i="5"/>
  <c r="AE77" i="5"/>
  <c r="AE72" i="5"/>
  <c r="AE68" i="5"/>
  <c r="AE63" i="5"/>
  <c r="AE63" i="6" s="1"/>
  <c r="AE64" i="6" s="1"/>
  <c r="AE70" i="5"/>
  <c r="AE55" i="5"/>
  <c r="AE57" i="5" s="1"/>
  <c r="AE71" i="5"/>
  <c r="AE42" i="5"/>
  <c r="AE37" i="5"/>
  <c r="AE35" i="5"/>
  <c r="AE33" i="5"/>
  <c r="AE28" i="5"/>
  <c r="AE27" i="5"/>
  <c r="AE20" i="5"/>
  <c r="AE22" i="5" s="1"/>
  <c r="AE91" i="5"/>
  <c r="AE36" i="5"/>
  <c r="AE84" i="5"/>
  <c r="AE93" i="5" l="1"/>
  <c r="AE95" i="5" s="1"/>
  <c r="AE38" i="6"/>
  <c r="AE108" i="6"/>
  <c r="AE73" i="6"/>
  <c r="AE109" i="6"/>
  <c r="AE87" i="6"/>
  <c r="AE89" i="6" s="1"/>
  <c r="AE111" i="4"/>
  <c r="AE29" i="5"/>
  <c r="AE101" i="5"/>
  <c r="AE28" i="6"/>
  <c r="AE110" i="5"/>
  <c r="AE38" i="5"/>
  <c r="AE73" i="5"/>
  <c r="AE85" i="5"/>
  <c r="AE14" i="5"/>
  <c r="AE16" i="5" s="1"/>
  <c r="AE62" i="5"/>
  <c r="AE64" i="5" s="1"/>
  <c r="AE105" i="5"/>
  <c r="AE106" i="5" s="1"/>
  <c r="AE97" i="5"/>
  <c r="AE100" i="5" s="1"/>
  <c r="AE49" i="5"/>
  <c r="AE51" i="5" s="1"/>
  <c r="AD67" i="3"/>
  <c r="AD66" i="3"/>
  <c r="AD59" i="3"/>
  <c r="AD61" i="3"/>
  <c r="AD60" i="3"/>
  <c r="AD53" i="3"/>
  <c r="AD47" i="3"/>
  <c r="AD46" i="3"/>
  <c r="AD32" i="3"/>
  <c r="AD31" i="3"/>
  <c r="AD26" i="3"/>
  <c r="AD25" i="3"/>
  <c r="AD24" i="3"/>
  <c r="AD18" i="3"/>
  <c r="AD12" i="3"/>
  <c r="AD11" i="3"/>
  <c r="AE111" i="6" l="1"/>
  <c r="AE102" i="5"/>
  <c r="AE101" i="6"/>
  <c r="AE102" i="6" s="1"/>
  <c r="AE29" i="6"/>
  <c r="AE109" i="5"/>
  <c r="AE87" i="5"/>
  <c r="AE89" i="5" s="1"/>
  <c r="AE108" i="5"/>
  <c r="AD67" i="2"/>
  <c r="AD66" i="2"/>
  <c r="AD61" i="2"/>
  <c r="AD60" i="2"/>
  <c r="AD59" i="2"/>
  <c r="AD53" i="2"/>
  <c r="AD47" i="2"/>
  <c r="AD46" i="2"/>
  <c r="AD32" i="2"/>
  <c r="AD31" i="2"/>
  <c r="AD26" i="2"/>
  <c r="AD25" i="2"/>
  <c r="AD24" i="2"/>
  <c r="AD18" i="2"/>
  <c r="AD12" i="2"/>
  <c r="AD11" i="2"/>
  <c r="AE111" i="5" l="1"/>
  <c r="AD46" i="5"/>
  <c r="AD24" i="5"/>
  <c r="AD26" i="4" l="1"/>
  <c r="AD60" i="4" l="1"/>
  <c r="AD59" i="4"/>
  <c r="AD53" i="4"/>
  <c r="AD47" i="4"/>
  <c r="AD31" i="4"/>
  <c r="AD24" i="4"/>
  <c r="AD25" i="4"/>
  <c r="AD18" i="4"/>
  <c r="AD12" i="4"/>
  <c r="AD11" i="4"/>
  <c r="AD67" i="5" l="1"/>
  <c r="AD59" i="5"/>
  <c r="AD53" i="5"/>
  <c r="AD47" i="5"/>
  <c r="AD32" i="5"/>
  <c r="AD18" i="5" l="1"/>
  <c r="AD12" i="5"/>
  <c r="AD11" i="5"/>
  <c r="AD63" i="5" l="1"/>
  <c r="AD76" i="6" l="1"/>
  <c r="AD75" i="6"/>
  <c r="AD67" i="6"/>
  <c r="AD66" i="6"/>
  <c r="AD61" i="6"/>
  <c r="AD60" i="6"/>
  <c r="AD59" i="6"/>
  <c r="AD56" i="6"/>
  <c r="AD53" i="6"/>
  <c r="AD50" i="6"/>
  <c r="AD48" i="6"/>
  <c r="AD47" i="6"/>
  <c r="AD46" i="6"/>
  <c r="AD41" i="6"/>
  <c r="AD40" i="6"/>
  <c r="AD32" i="6"/>
  <c r="AD31" i="6"/>
  <c r="AD26" i="6"/>
  <c r="AD25" i="6"/>
  <c r="AD24" i="6"/>
  <c r="AD21" i="6"/>
  <c r="AD18" i="6"/>
  <c r="AD15" i="6"/>
  <c r="AD13" i="6"/>
  <c r="AD12" i="6"/>
  <c r="AD11" i="6"/>
  <c r="AD115" i="5"/>
  <c r="AD104" i="5"/>
  <c r="AD99" i="5"/>
  <c r="AD98" i="5"/>
  <c r="AD94" i="5"/>
  <c r="AD92" i="5"/>
  <c r="AD88" i="5"/>
  <c r="AD86" i="5"/>
  <c r="AD77" i="5"/>
  <c r="AD72" i="5"/>
  <c r="AD105" i="5"/>
  <c r="AD62" i="5"/>
  <c r="AD64" i="5" s="1"/>
  <c r="AD55" i="5"/>
  <c r="AD57" i="5" s="1"/>
  <c r="AD71" i="5"/>
  <c r="AD49" i="5"/>
  <c r="AD51" i="5" s="1"/>
  <c r="AD42" i="5"/>
  <c r="AD37" i="5"/>
  <c r="AD35" i="5"/>
  <c r="AD33" i="5"/>
  <c r="AD28" i="5"/>
  <c r="AD101" i="5" s="1"/>
  <c r="AD27" i="5"/>
  <c r="AD20" i="5"/>
  <c r="AD22" i="5" s="1"/>
  <c r="AD36" i="5"/>
  <c r="AD84" i="5"/>
  <c r="AD115" i="4"/>
  <c r="AD105" i="4"/>
  <c r="AD94" i="4"/>
  <c r="AD92" i="4"/>
  <c r="AD88" i="4"/>
  <c r="AD86" i="4"/>
  <c r="AD77" i="4"/>
  <c r="AD72" i="4"/>
  <c r="AD70" i="4"/>
  <c r="AD68" i="4"/>
  <c r="AD63" i="4"/>
  <c r="AD62" i="4"/>
  <c r="AD55" i="4"/>
  <c r="AD57" i="4" s="1"/>
  <c r="AD71" i="4"/>
  <c r="AD42" i="4"/>
  <c r="AD33" i="4"/>
  <c r="AD28" i="4"/>
  <c r="AD99" i="4"/>
  <c r="AD98" i="4"/>
  <c r="AD97" i="4"/>
  <c r="AD91" i="4"/>
  <c r="AD85" i="4"/>
  <c r="AD84" i="4"/>
  <c r="AD114" i="3"/>
  <c r="AD113" i="3"/>
  <c r="AD97" i="3"/>
  <c r="AD94" i="3"/>
  <c r="AD92" i="3"/>
  <c r="AD88" i="3"/>
  <c r="AD86" i="3"/>
  <c r="AD77" i="3"/>
  <c r="AD68" i="3"/>
  <c r="AD63" i="3"/>
  <c r="AD72" i="3"/>
  <c r="AD62" i="3"/>
  <c r="AD55" i="3"/>
  <c r="AD57" i="3" s="1"/>
  <c r="AD71" i="3"/>
  <c r="AD49" i="3"/>
  <c r="AD51" i="3" s="1"/>
  <c r="AD42" i="3"/>
  <c r="AD105" i="3"/>
  <c r="AD104" i="3"/>
  <c r="AD28" i="3"/>
  <c r="AD99" i="3"/>
  <c r="AD98" i="3"/>
  <c r="AD20" i="3"/>
  <c r="AD22" i="3" s="1"/>
  <c r="AD91" i="3"/>
  <c r="AD85" i="3"/>
  <c r="AD35" i="3"/>
  <c r="AD114" i="2"/>
  <c r="AD113" i="2"/>
  <c r="AD105" i="2"/>
  <c r="AD94" i="2"/>
  <c r="AD88" i="2"/>
  <c r="AD86" i="2"/>
  <c r="AD77" i="2"/>
  <c r="AD72" i="2"/>
  <c r="AD68" i="2"/>
  <c r="AD63" i="2"/>
  <c r="AD62" i="2"/>
  <c r="AD54" i="2"/>
  <c r="AD54" i="6" s="1"/>
  <c r="AD49" i="2"/>
  <c r="AD51" i="2" s="1"/>
  <c r="AD42" i="2"/>
  <c r="AD104" i="2"/>
  <c r="AD28" i="2"/>
  <c r="AD99" i="2"/>
  <c r="AD98" i="2"/>
  <c r="AD19" i="2"/>
  <c r="AD20" i="2" s="1"/>
  <c r="AD22" i="2" s="1"/>
  <c r="AD14" i="2"/>
  <c r="AD16" i="2" s="1"/>
  <c r="AD85" i="2"/>
  <c r="AD84" i="2"/>
  <c r="AD71" i="2" l="1"/>
  <c r="AD55" i="2"/>
  <c r="AD57" i="2" s="1"/>
  <c r="AD19" i="6"/>
  <c r="AD36" i="6" s="1"/>
  <c r="AD36" i="2"/>
  <c r="AD92" i="2"/>
  <c r="AD109" i="2" s="1"/>
  <c r="AD93" i="4"/>
  <c r="AD95" i="4" s="1"/>
  <c r="AD93" i="3"/>
  <c r="AD95" i="3" s="1"/>
  <c r="AD55" i="6"/>
  <c r="AD57" i="6" s="1"/>
  <c r="AD91" i="6"/>
  <c r="AD110" i="3"/>
  <c r="AD94" i="6"/>
  <c r="AD28" i="6"/>
  <c r="AD63" i="6"/>
  <c r="AD101" i="4"/>
  <c r="AD64" i="4"/>
  <c r="AD98" i="6"/>
  <c r="AD29" i="5"/>
  <c r="AD68" i="6"/>
  <c r="AD105" i="6"/>
  <c r="AD71" i="6"/>
  <c r="AD110" i="5"/>
  <c r="AD106" i="5"/>
  <c r="AD99" i="6"/>
  <c r="AD72" i="6"/>
  <c r="AD73" i="4"/>
  <c r="AD100" i="4"/>
  <c r="AD110" i="4"/>
  <c r="AD113" i="6"/>
  <c r="AD114" i="6"/>
  <c r="AD115" i="3"/>
  <c r="AD106" i="3"/>
  <c r="AD104" i="6"/>
  <c r="AD70" i="6"/>
  <c r="AD62" i="6"/>
  <c r="AD64" i="3"/>
  <c r="AD101" i="3"/>
  <c r="AD109" i="3"/>
  <c r="AD35" i="6"/>
  <c r="AD77" i="6"/>
  <c r="AD88" i="6"/>
  <c r="AD64" i="2"/>
  <c r="AD85" i="6"/>
  <c r="AD86" i="6"/>
  <c r="AD115" i="2"/>
  <c r="AD42" i="6"/>
  <c r="AD106" i="2"/>
  <c r="AD33" i="6"/>
  <c r="AD27" i="6"/>
  <c r="AD101" i="2"/>
  <c r="AD14" i="6"/>
  <c r="AD16" i="6" s="1"/>
  <c r="AD97" i="6"/>
  <c r="AD37" i="6"/>
  <c r="AD49" i="6"/>
  <c r="AD51" i="6" s="1"/>
  <c r="AD84" i="6"/>
  <c r="AD38" i="5"/>
  <c r="AD85" i="5"/>
  <c r="AD109" i="5" s="1"/>
  <c r="AD14" i="5"/>
  <c r="AD16" i="5" s="1"/>
  <c r="AD68" i="5"/>
  <c r="AD91" i="5"/>
  <c r="AD93" i="5" s="1"/>
  <c r="AD95" i="5" s="1"/>
  <c r="AD70" i="5"/>
  <c r="AD73" i="5" s="1"/>
  <c r="AD97" i="5"/>
  <c r="AD100" i="5" s="1"/>
  <c r="AD102" i="5" s="1"/>
  <c r="AD87" i="4"/>
  <c r="AD89" i="4" s="1"/>
  <c r="AD109" i="4"/>
  <c r="AD36" i="4"/>
  <c r="AD20" i="4"/>
  <c r="AD22" i="4" s="1"/>
  <c r="AD37" i="4"/>
  <c r="AD49" i="4"/>
  <c r="AD51" i="4" s="1"/>
  <c r="AD104" i="4"/>
  <c r="AD106" i="4" s="1"/>
  <c r="AD14" i="4"/>
  <c r="AD16" i="4" s="1"/>
  <c r="AD27" i="4"/>
  <c r="AD29" i="4" s="1"/>
  <c r="AD35" i="4"/>
  <c r="AD100" i="3"/>
  <c r="AD36" i="3"/>
  <c r="AD70" i="3"/>
  <c r="AD73" i="3" s="1"/>
  <c r="AD14" i="3"/>
  <c r="AD16" i="3" s="1"/>
  <c r="AD27" i="3"/>
  <c r="AD29" i="3" s="1"/>
  <c r="AD37" i="3"/>
  <c r="AD84" i="3"/>
  <c r="AD33" i="3"/>
  <c r="AD87" i="2"/>
  <c r="AD89" i="2" s="1"/>
  <c r="AD110" i="2"/>
  <c r="AD91" i="2"/>
  <c r="AD27" i="2"/>
  <c r="AD29" i="2" s="1"/>
  <c r="AD70" i="2"/>
  <c r="AD97" i="2"/>
  <c r="AD100" i="2" s="1"/>
  <c r="AD33" i="2"/>
  <c r="AD37" i="2"/>
  <c r="AD35" i="2"/>
  <c r="AC76" i="6"/>
  <c r="AC75" i="6"/>
  <c r="AC56" i="6"/>
  <c r="AC50" i="6"/>
  <c r="AC48" i="6"/>
  <c r="AC41" i="6"/>
  <c r="AC40" i="6"/>
  <c r="AC21" i="6"/>
  <c r="AC15" i="6"/>
  <c r="AC13" i="6"/>
  <c r="AD73" i="2" l="1"/>
  <c r="AD93" i="2"/>
  <c r="AD95" i="2" s="1"/>
  <c r="AD20" i="6"/>
  <c r="AD22" i="6" s="1"/>
  <c r="AD92" i="6"/>
  <c r="AD109" i="6" s="1"/>
  <c r="AD38" i="3"/>
  <c r="AD106" i="6"/>
  <c r="AD101" i="6"/>
  <c r="AD102" i="4"/>
  <c r="AD29" i="6"/>
  <c r="AD64" i="6"/>
  <c r="AD115" i="6"/>
  <c r="AD73" i="6"/>
  <c r="AD100" i="6"/>
  <c r="AD110" i="6"/>
  <c r="AD108" i="4"/>
  <c r="AD111" i="4" s="1"/>
  <c r="AD102" i="3"/>
  <c r="AD38" i="6"/>
  <c r="AD102" i="2"/>
  <c r="AD108" i="6"/>
  <c r="AD87" i="6"/>
  <c r="AD89" i="6" s="1"/>
  <c r="AD87" i="5"/>
  <c r="AD89" i="5" s="1"/>
  <c r="AD108" i="5"/>
  <c r="AD111" i="5" s="1"/>
  <c r="AD38" i="4"/>
  <c r="AD87" i="3"/>
  <c r="AD89" i="3" s="1"/>
  <c r="AD108" i="3"/>
  <c r="AD111" i="3" s="1"/>
  <c r="AD108" i="2"/>
  <c r="AD111" i="2" s="1"/>
  <c r="AD38" i="2"/>
  <c r="AC42" i="6"/>
  <c r="AC86" i="6"/>
  <c r="AC77" i="6"/>
  <c r="AC94" i="6"/>
  <c r="AC88" i="6"/>
  <c r="AC67" i="2"/>
  <c r="AC66" i="2"/>
  <c r="AC61" i="2"/>
  <c r="AC72" i="2" s="1"/>
  <c r="AC60" i="2"/>
  <c r="AC59" i="2"/>
  <c r="AC54" i="2"/>
  <c r="AC54" i="6" s="1"/>
  <c r="AC53" i="2"/>
  <c r="AC47" i="2"/>
  <c r="AC46" i="2"/>
  <c r="AC32" i="2"/>
  <c r="AC31" i="2"/>
  <c r="AC26" i="2"/>
  <c r="AC37" i="2" s="1"/>
  <c r="AC25" i="2"/>
  <c r="AC24" i="2"/>
  <c r="AC18" i="2"/>
  <c r="AC12" i="2"/>
  <c r="AC11" i="2"/>
  <c r="AD93" i="6" l="1"/>
  <c r="AD95" i="6" s="1"/>
  <c r="AD102" i="6"/>
  <c r="AD111" i="6"/>
  <c r="AC114" i="2"/>
  <c r="AC113" i="2"/>
  <c r="AC94" i="2"/>
  <c r="AC88" i="2"/>
  <c r="AC85" i="2"/>
  <c r="AC77" i="2"/>
  <c r="AC68" i="2"/>
  <c r="AC63" i="2"/>
  <c r="AC62" i="2"/>
  <c r="AC55" i="2"/>
  <c r="AC57" i="2" s="1"/>
  <c r="AC71" i="2"/>
  <c r="AC49" i="2"/>
  <c r="AC51" i="2" s="1"/>
  <c r="AC42" i="2"/>
  <c r="AC105" i="2"/>
  <c r="AC104" i="2"/>
  <c r="AC28" i="2"/>
  <c r="AC99" i="2"/>
  <c r="AC98" i="2"/>
  <c r="AC27" i="2"/>
  <c r="AC19" i="2"/>
  <c r="AC91" i="2"/>
  <c r="AC14" i="2"/>
  <c r="AC16" i="2" s="1"/>
  <c r="AC86" i="2"/>
  <c r="AC84" i="2"/>
  <c r="AC92" i="2" l="1"/>
  <c r="AC93" i="2" s="1"/>
  <c r="AC95" i="2" s="1"/>
  <c r="AC19" i="6"/>
  <c r="AC92" i="6" s="1"/>
  <c r="AC36" i="2"/>
  <c r="AC20" i="2"/>
  <c r="AC22" i="2" s="1"/>
  <c r="AC64" i="2"/>
  <c r="AC115" i="2"/>
  <c r="AC101" i="2"/>
  <c r="AC29" i="2"/>
  <c r="AC110" i="2"/>
  <c r="AC87" i="2"/>
  <c r="AC89" i="2" s="1"/>
  <c r="AC106" i="2"/>
  <c r="AC33" i="2"/>
  <c r="AC70" i="2"/>
  <c r="AC73" i="2" s="1"/>
  <c r="AC97" i="2"/>
  <c r="AC100" i="2" s="1"/>
  <c r="AC35" i="2"/>
  <c r="AC67" i="3"/>
  <c r="AC66" i="3"/>
  <c r="AC66" i="6" s="1"/>
  <c r="AC61" i="3"/>
  <c r="AC60" i="3"/>
  <c r="AC59" i="3"/>
  <c r="AC53" i="3"/>
  <c r="AC47" i="3"/>
  <c r="AC46" i="3"/>
  <c r="AC32" i="3"/>
  <c r="AC31" i="3"/>
  <c r="AC26" i="3"/>
  <c r="AC25" i="3"/>
  <c r="AC24" i="3"/>
  <c r="AC18" i="3"/>
  <c r="AC12" i="3"/>
  <c r="AC11" i="3"/>
  <c r="AC61" i="6" l="1"/>
  <c r="AC72" i="6" s="1"/>
  <c r="AC72" i="3"/>
  <c r="AC109" i="2"/>
  <c r="AC102" i="2"/>
  <c r="AC38" i="2"/>
  <c r="AC108" i="2"/>
  <c r="AC114" i="3"/>
  <c r="AC114" i="6" s="1"/>
  <c r="AC113" i="3"/>
  <c r="AC113" i="6" s="1"/>
  <c r="AC94" i="3"/>
  <c r="AC88" i="3"/>
  <c r="AC77" i="3"/>
  <c r="AC68" i="3"/>
  <c r="AC63" i="3"/>
  <c r="AC62" i="3"/>
  <c r="AC92" i="3"/>
  <c r="AC55" i="3"/>
  <c r="AC57" i="3" s="1"/>
  <c r="AC86" i="3"/>
  <c r="AC85" i="3"/>
  <c r="AC49" i="3"/>
  <c r="AC51" i="3" s="1"/>
  <c r="AC42" i="3"/>
  <c r="AC36" i="3"/>
  <c r="AC33" i="3"/>
  <c r="AC105" i="3"/>
  <c r="AC104" i="3"/>
  <c r="AC28" i="3"/>
  <c r="AC37" i="3"/>
  <c r="AC98" i="3"/>
  <c r="AC27" i="3"/>
  <c r="AC91" i="3"/>
  <c r="AC14" i="3"/>
  <c r="AC16" i="3" s="1"/>
  <c r="AC111" i="2" l="1"/>
  <c r="AC115" i="6"/>
  <c r="AC101" i="3"/>
  <c r="AC64" i="3"/>
  <c r="AC29" i="3"/>
  <c r="AC106" i="3"/>
  <c r="AC115" i="3"/>
  <c r="AC93" i="3"/>
  <c r="AC95" i="3" s="1"/>
  <c r="AC109" i="3"/>
  <c r="AC70" i="3"/>
  <c r="AC97" i="3"/>
  <c r="AC35" i="3"/>
  <c r="AC38" i="3" s="1"/>
  <c r="AC71" i="3"/>
  <c r="AC84" i="3"/>
  <c r="AC99" i="3"/>
  <c r="AC110" i="3" s="1"/>
  <c r="AC20" i="3"/>
  <c r="AC22" i="3" s="1"/>
  <c r="AC60" i="4"/>
  <c r="AC60" i="6" s="1"/>
  <c r="AC59" i="4"/>
  <c r="AC47" i="4"/>
  <c r="AC31" i="4"/>
  <c r="AC31" i="6" s="1"/>
  <c r="AC104" i="6" s="1"/>
  <c r="AC24" i="4"/>
  <c r="AC26" i="4"/>
  <c r="AC26" i="6" s="1"/>
  <c r="AC25" i="4"/>
  <c r="AC25" i="6" s="1"/>
  <c r="AC18" i="4"/>
  <c r="AC12" i="4"/>
  <c r="AC11" i="4"/>
  <c r="AC98" i="6" l="1"/>
  <c r="AC99" i="6"/>
  <c r="AC110" i="6" s="1"/>
  <c r="AC37" i="6"/>
  <c r="AC100" i="3"/>
  <c r="AC102" i="3" s="1"/>
  <c r="AC108" i="3"/>
  <c r="AC111" i="3" s="1"/>
  <c r="AC87" i="3"/>
  <c r="AC89" i="3" s="1"/>
  <c r="AC73" i="3"/>
  <c r="AC115" i="4"/>
  <c r="AC97" i="4"/>
  <c r="AC94" i="4"/>
  <c r="AC92" i="4"/>
  <c r="AC88" i="4"/>
  <c r="AC86" i="4"/>
  <c r="AC77" i="4"/>
  <c r="AC68" i="4"/>
  <c r="AC63" i="4"/>
  <c r="AC72" i="4"/>
  <c r="AC62" i="4"/>
  <c r="AC55" i="4"/>
  <c r="AC57" i="4" s="1"/>
  <c r="AC49" i="4"/>
  <c r="AC51" i="4" s="1"/>
  <c r="AC42" i="4"/>
  <c r="AC105" i="4"/>
  <c r="AC33" i="4"/>
  <c r="AC28" i="4"/>
  <c r="AC99" i="4"/>
  <c r="AC27" i="4"/>
  <c r="AC91" i="4"/>
  <c r="AC85" i="4"/>
  <c r="AC35" i="4"/>
  <c r="AC101" i="4" l="1"/>
  <c r="AC93" i="4"/>
  <c r="AC95" i="4"/>
  <c r="AC64" i="4"/>
  <c r="AC29" i="4"/>
  <c r="AC110" i="4"/>
  <c r="AC70" i="4"/>
  <c r="AC20" i="4"/>
  <c r="AC22" i="4" s="1"/>
  <c r="AC36" i="4"/>
  <c r="AC71" i="4"/>
  <c r="AC84" i="4"/>
  <c r="AC98" i="4"/>
  <c r="AC109" i="4" s="1"/>
  <c r="AC14" i="4"/>
  <c r="AC16" i="4" s="1"/>
  <c r="AC37" i="4"/>
  <c r="AC104" i="4"/>
  <c r="AC106" i="4" s="1"/>
  <c r="AC67" i="5"/>
  <c r="AC67" i="6" s="1"/>
  <c r="AC68" i="6" s="1"/>
  <c r="AC59" i="5"/>
  <c r="AC59" i="6" s="1"/>
  <c r="AC62" i="6" s="1"/>
  <c r="AC53" i="5"/>
  <c r="AC53" i="6" s="1"/>
  <c r="AC55" i="6" s="1"/>
  <c r="AC57" i="6" s="1"/>
  <c r="AC47" i="5"/>
  <c r="AC47" i="6" s="1"/>
  <c r="AC46" i="5"/>
  <c r="AC46" i="6" s="1"/>
  <c r="AC32" i="5"/>
  <c r="AC32" i="6" s="1"/>
  <c r="AC24" i="5"/>
  <c r="AC24" i="6" s="1"/>
  <c r="AC18" i="5"/>
  <c r="AC18" i="6" s="1"/>
  <c r="AC12" i="5"/>
  <c r="AC12" i="6" s="1"/>
  <c r="AC11" i="5"/>
  <c r="AC11" i="6" s="1"/>
  <c r="AC27" i="6" l="1"/>
  <c r="AC97" i="6"/>
  <c r="AC100" i="6" s="1"/>
  <c r="AC14" i="6"/>
  <c r="AC16" i="6" s="1"/>
  <c r="AC35" i="6"/>
  <c r="AC84" i="6"/>
  <c r="AC105" i="6"/>
  <c r="AC106" i="6" s="1"/>
  <c r="AC33" i="6"/>
  <c r="AC85" i="6"/>
  <c r="AC36" i="6"/>
  <c r="AC70" i="6"/>
  <c r="AC49" i="6"/>
  <c r="AC51" i="6" s="1"/>
  <c r="AC91" i="6"/>
  <c r="AC93" i="6" s="1"/>
  <c r="AC95" i="6" s="1"/>
  <c r="AC20" i="6"/>
  <c r="AC22" i="6" s="1"/>
  <c r="AC71" i="6"/>
  <c r="AC73" i="4"/>
  <c r="AC38" i="4"/>
  <c r="AC87" i="4"/>
  <c r="AC89" i="4" s="1"/>
  <c r="AC108" i="4"/>
  <c r="AC111" i="4" s="1"/>
  <c r="AC100" i="4"/>
  <c r="AC102" i="4" s="1"/>
  <c r="AC115" i="5"/>
  <c r="AC105" i="5"/>
  <c r="AC99" i="5"/>
  <c r="AC98" i="5"/>
  <c r="AC94" i="5"/>
  <c r="AC92" i="5"/>
  <c r="AC88" i="5"/>
  <c r="AC86" i="5"/>
  <c r="AC77" i="5"/>
  <c r="AC72" i="5"/>
  <c r="AC68" i="5"/>
  <c r="AC63" i="5"/>
  <c r="AC63" i="6" s="1"/>
  <c r="AC64" i="6" s="1"/>
  <c r="AC62" i="5"/>
  <c r="AC55" i="5"/>
  <c r="AC57" i="5" s="1"/>
  <c r="AC71" i="5"/>
  <c r="AC49" i="5"/>
  <c r="AC51" i="5" s="1"/>
  <c r="AC42" i="5"/>
  <c r="AC37" i="5"/>
  <c r="AC36" i="5"/>
  <c r="AC33" i="5"/>
  <c r="AC28" i="5"/>
  <c r="AC28" i="6" s="1"/>
  <c r="AC97" i="5"/>
  <c r="AC20" i="5"/>
  <c r="AC22" i="5" s="1"/>
  <c r="AC85" i="5"/>
  <c r="AC84" i="5"/>
  <c r="AC109" i="6" l="1"/>
  <c r="AC38" i="6"/>
  <c r="AC73" i="6"/>
  <c r="AC87" i="6"/>
  <c r="AC89" i="6" s="1"/>
  <c r="AC108" i="6"/>
  <c r="AC101" i="6"/>
  <c r="AC102" i="6" s="1"/>
  <c r="AC29" i="6"/>
  <c r="AC101" i="5"/>
  <c r="AC109" i="5"/>
  <c r="AC64" i="5"/>
  <c r="AC100" i="5"/>
  <c r="AC110" i="5"/>
  <c r="AC87" i="5"/>
  <c r="AC89" i="5" s="1"/>
  <c r="AC91" i="5"/>
  <c r="AC93" i="5" s="1"/>
  <c r="AC95" i="5" s="1"/>
  <c r="AC27" i="5"/>
  <c r="AC29" i="5" s="1"/>
  <c r="AC70" i="5"/>
  <c r="AC73" i="5" s="1"/>
  <c r="AC14" i="5"/>
  <c r="AC16" i="5" s="1"/>
  <c r="AC35" i="5"/>
  <c r="AC38" i="5" s="1"/>
  <c r="AC104" i="5"/>
  <c r="AC106" i="5" s="1"/>
  <c r="AB67" i="2"/>
  <c r="AB66" i="2"/>
  <c r="AB54" i="2"/>
  <c r="AB53" i="2"/>
  <c r="AB61" i="2"/>
  <c r="AB60" i="2"/>
  <c r="AB59" i="2"/>
  <c r="AB48" i="2"/>
  <c r="AB47" i="2"/>
  <c r="AB46" i="2"/>
  <c r="AB32" i="2"/>
  <c r="AB31" i="2"/>
  <c r="AB19" i="2"/>
  <c r="AB18" i="2"/>
  <c r="AB26" i="2"/>
  <c r="AB25" i="2"/>
  <c r="AB24" i="2"/>
  <c r="AB13" i="2"/>
  <c r="AB12" i="2"/>
  <c r="AB11" i="2"/>
  <c r="AC111" i="6" l="1"/>
  <c r="AC102" i="5"/>
  <c r="AC108" i="5"/>
  <c r="AC111" i="5" s="1"/>
  <c r="AB67" i="3"/>
  <c r="AB66" i="3"/>
  <c r="AB54" i="3"/>
  <c r="AB53" i="3"/>
  <c r="AB59" i="3"/>
  <c r="AB61" i="3"/>
  <c r="AB60" i="3"/>
  <c r="AB48" i="3"/>
  <c r="AB47" i="3"/>
  <c r="AB46" i="3"/>
  <c r="AB32" i="3"/>
  <c r="AB31" i="3"/>
  <c r="AB19" i="3"/>
  <c r="AB18" i="3"/>
  <c r="AB26" i="3"/>
  <c r="AB25" i="3"/>
  <c r="AB24" i="3"/>
  <c r="AB12" i="3"/>
  <c r="AB11" i="3"/>
  <c r="AB75" i="6" l="1"/>
  <c r="AB76" i="6"/>
  <c r="AB67" i="4"/>
  <c r="AB66" i="4"/>
  <c r="AB66" i="6" s="1"/>
  <c r="AB61" i="4"/>
  <c r="AB60" i="4"/>
  <c r="AB59" i="4"/>
  <c r="AB53" i="4"/>
  <c r="AB47" i="4"/>
  <c r="AB32" i="4"/>
  <c r="AB31" i="4"/>
  <c r="AB26" i="4"/>
  <c r="AB25" i="4"/>
  <c r="AB18" i="4"/>
  <c r="AB24" i="4"/>
  <c r="AB12" i="4"/>
  <c r="AB11" i="4"/>
  <c r="AB77" i="6" l="1"/>
  <c r="AB61" i="6"/>
  <c r="AB60" i="6"/>
  <c r="AB56" i="6"/>
  <c r="AB54" i="6"/>
  <c r="AB50" i="6"/>
  <c r="AB48" i="6"/>
  <c r="AB41" i="6"/>
  <c r="AB40" i="6"/>
  <c r="AB26" i="6"/>
  <c r="AB25" i="6"/>
  <c r="AB21" i="6"/>
  <c r="AB19" i="6"/>
  <c r="AB15" i="6"/>
  <c r="AB13" i="6"/>
  <c r="AB114" i="2"/>
  <c r="AB113" i="2"/>
  <c r="AB94" i="2"/>
  <c r="AB88" i="2"/>
  <c r="AB86" i="2"/>
  <c r="AB85" i="2"/>
  <c r="AB77" i="2"/>
  <c r="AB72" i="2"/>
  <c r="AB68" i="2"/>
  <c r="AB63" i="2"/>
  <c r="AB62" i="2"/>
  <c r="AB91" i="2"/>
  <c r="AB71" i="2"/>
  <c r="AB49" i="2"/>
  <c r="AB51" i="2" s="1"/>
  <c r="AB42" i="2"/>
  <c r="AB36" i="2"/>
  <c r="AB105" i="2"/>
  <c r="AB104" i="2"/>
  <c r="AB28" i="2"/>
  <c r="AB27" i="2"/>
  <c r="AB98" i="2"/>
  <c r="AB97" i="2"/>
  <c r="AB20" i="2"/>
  <c r="AB22" i="2" s="1"/>
  <c r="AB92" i="2"/>
  <c r="AB14" i="2"/>
  <c r="AB16" i="2" s="1"/>
  <c r="AB84" i="2"/>
  <c r="AB114" i="3"/>
  <c r="AB113" i="3"/>
  <c r="AB94" i="3"/>
  <c r="AB88" i="3"/>
  <c r="AB77" i="3"/>
  <c r="AB68" i="3"/>
  <c r="AB63" i="3"/>
  <c r="AB62" i="3"/>
  <c r="AB55" i="3"/>
  <c r="AB57" i="3" s="1"/>
  <c r="AB72" i="3"/>
  <c r="AB71" i="3"/>
  <c r="AB49" i="3"/>
  <c r="AB51" i="3" s="1"/>
  <c r="AB42" i="3"/>
  <c r="AB37" i="3"/>
  <c r="AB105" i="3"/>
  <c r="AB104" i="3"/>
  <c r="AB28" i="3"/>
  <c r="AB27" i="3"/>
  <c r="AB99" i="3"/>
  <c r="AB98" i="3"/>
  <c r="AB97" i="3"/>
  <c r="AB92" i="3"/>
  <c r="AB91" i="3"/>
  <c r="AB86" i="3"/>
  <c r="AB85" i="3"/>
  <c r="AB14" i="3"/>
  <c r="AB16" i="3" s="1"/>
  <c r="AB115" i="4"/>
  <c r="AB97" i="4"/>
  <c r="AB94" i="4"/>
  <c r="AB92" i="4"/>
  <c r="AB88" i="4"/>
  <c r="AB86" i="4"/>
  <c r="AB77" i="4"/>
  <c r="AB68" i="4"/>
  <c r="AB63" i="4"/>
  <c r="AB72" i="4"/>
  <c r="AB62" i="4"/>
  <c r="AB55" i="4"/>
  <c r="AB57" i="4" s="1"/>
  <c r="AB49" i="4"/>
  <c r="AB51" i="4" s="1"/>
  <c r="AB71" i="4"/>
  <c r="AB42" i="4"/>
  <c r="AB37" i="4"/>
  <c r="AB105" i="4"/>
  <c r="AB33" i="4"/>
  <c r="AB28" i="4"/>
  <c r="AB99" i="4"/>
  <c r="AB98" i="4"/>
  <c r="AB20" i="4"/>
  <c r="AB22" i="4" s="1"/>
  <c r="AB36" i="4"/>
  <c r="AB84" i="4"/>
  <c r="AB101" i="4" l="1"/>
  <c r="AB64" i="4"/>
  <c r="AB115" i="3"/>
  <c r="AB101" i="3"/>
  <c r="AB94" i="6"/>
  <c r="AB29" i="2"/>
  <c r="AB114" i="6"/>
  <c r="AB72" i="6"/>
  <c r="AB88" i="6"/>
  <c r="AB86" i="6"/>
  <c r="AB113" i="6"/>
  <c r="AB106" i="3"/>
  <c r="AB110" i="3"/>
  <c r="AB99" i="6"/>
  <c r="AB98" i="6"/>
  <c r="AB42" i="6"/>
  <c r="AB92" i="6"/>
  <c r="AB37" i="6"/>
  <c r="AB115" i="2"/>
  <c r="AB101" i="2"/>
  <c r="AB106" i="2"/>
  <c r="AB64" i="2"/>
  <c r="AB109" i="2"/>
  <c r="AB93" i="2"/>
  <c r="AB95" i="2" s="1"/>
  <c r="AB108" i="2"/>
  <c r="AB87" i="2"/>
  <c r="AB89" i="2" s="1"/>
  <c r="AB99" i="2"/>
  <c r="AB100" i="2" s="1"/>
  <c r="AB37" i="2"/>
  <c r="AB33" i="2"/>
  <c r="AB70" i="2"/>
  <c r="AB73" i="2" s="1"/>
  <c r="AB35" i="2"/>
  <c r="AB55" i="2"/>
  <c r="AB57" i="2" s="1"/>
  <c r="AB93" i="3"/>
  <c r="AB95" i="3" s="1"/>
  <c r="AB64" i="3"/>
  <c r="AB29" i="3"/>
  <c r="AB109" i="3"/>
  <c r="AB100" i="3"/>
  <c r="AB33" i="3"/>
  <c r="AB70" i="3"/>
  <c r="AB73" i="3" s="1"/>
  <c r="AB35" i="3"/>
  <c r="AB84" i="3"/>
  <c r="AB20" i="3"/>
  <c r="AB22" i="3" s="1"/>
  <c r="AB36" i="3"/>
  <c r="AB110" i="4"/>
  <c r="AB100" i="4"/>
  <c r="AB70" i="4"/>
  <c r="AB73" i="4" s="1"/>
  <c r="AB14" i="4"/>
  <c r="AB16" i="4" s="1"/>
  <c r="AB27" i="4"/>
  <c r="AB29" i="4" s="1"/>
  <c r="AB85" i="4"/>
  <c r="AB109" i="4" s="1"/>
  <c r="AB104" i="4"/>
  <c r="AB106" i="4" s="1"/>
  <c r="AB91" i="4"/>
  <c r="AB93" i="4" s="1"/>
  <c r="AB95" i="4" s="1"/>
  <c r="AB35" i="4"/>
  <c r="AB38" i="4" s="1"/>
  <c r="AB37" i="5"/>
  <c r="AB72" i="5"/>
  <c r="AB99" i="5"/>
  <c r="AB98" i="5"/>
  <c r="AB94" i="5"/>
  <c r="AB92" i="5"/>
  <c r="AB88" i="5"/>
  <c r="AB86" i="5"/>
  <c r="AB67" i="5"/>
  <c r="AB67" i="6" s="1"/>
  <c r="AB68" i="6" s="1"/>
  <c r="AB63" i="5"/>
  <c r="AB63" i="6" s="1"/>
  <c r="AB59" i="5"/>
  <c r="AB59" i="6" s="1"/>
  <c r="AB53" i="5"/>
  <c r="AB53" i="6" s="1"/>
  <c r="AB55" i="6" s="1"/>
  <c r="AB57" i="6" s="1"/>
  <c r="AB47" i="5"/>
  <c r="AB47" i="6" s="1"/>
  <c r="AB46" i="5"/>
  <c r="AB46" i="6" s="1"/>
  <c r="AB32" i="5"/>
  <c r="AB32" i="6" s="1"/>
  <c r="AB31" i="5"/>
  <c r="AB31" i="6" s="1"/>
  <c r="AB104" i="6" s="1"/>
  <c r="AB24" i="5"/>
  <c r="AB24" i="6" s="1"/>
  <c r="AB27" i="6" s="1"/>
  <c r="AB18" i="5"/>
  <c r="AB18" i="6" s="1"/>
  <c r="AB12" i="5"/>
  <c r="AB11" i="5"/>
  <c r="AB11" i="6" s="1"/>
  <c r="AB77" i="5"/>
  <c r="AB42" i="5"/>
  <c r="AB28" i="5"/>
  <c r="AB28" i="6" s="1"/>
  <c r="AB27" i="5" l="1"/>
  <c r="AB71" i="6"/>
  <c r="AB97" i="5"/>
  <c r="AB100" i="5" s="1"/>
  <c r="AB102" i="4"/>
  <c r="AB68" i="5"/>
  <c r="AB105" i="5"/>
  <c r="AB71" i="5"/>
  <c r="AB49" i="6"/>
  <c r="AB51" i="6" s="1"/>
  <c r="AB35" i="6"/>
  <c r="AB105" i="6"/>
  <c r="AB106" i="6" s="1"/>
  <c r="AB97" i="6"/>
  <c r="AB100" i="6" s="1"/>
  <c r="AB91" i="6"/>
  <c r="AB93" i="6" s="1"/>
  <c r="AB95" i="6" s="1"/>
  <c r="AB70" i="6"/>
  <c r="AB55" i="5"/>
  <c r="AB57" i="5" s="1"/>
  <c r="AB14" i="5"/>
  <c r="AB16" i="5" s="1"/>
  <c r="AB12" i="6"/>
  <c r="AB14" i="6" s="1"/>
  <c r="AB16" i="6" s="1"/>
  <c r="AB84" i="5"/>
  <c r="AB70" i="5"/>
  <c r="AB73" i="5" s="1"/>
  <c r="AB85" i="5"/>
  <c r="AB20" i="6"/>
  <c r="AB22" i="6" s="1"/>
  <c r="AB33" i="5"/>
  <c r="AB104" i="5"/>
  <c r="AB84" i="6"/>
  <c r="AB35" i="5"/>
  <c r="AB91" i="5"/>
  <c r="AB93" i="5" s="1"/>
  <c r="AB95" i="5" s="1"/>
  <c r="AB36" i="5"/>
  <c r="AB33" i="6"/>
  <c r="AB62" i="6"/>
  <c r="AB64" i="6" s="1"/>
  <c r="AB62" i="5"/>
  <c r="AB64" i="5" s="1"/>
  <c r="AB110" i="5"/>
  <c r="AB115" i="6"/>
  <c r="AB101" i="5"/>
  <c r="AB29" i="5"/>
  <c r="AB101" i="6"/>
  <c r="AB102" i="3"/>
  <c r="AB110" i="6"/>
  <c r="AB29" i="6"/>
  <c r="AB38" i="3"/>
  <c r="AB102" i="2"/>
  <c r="AB110" i="2"/>
  <c r="AB111" i="2" s="1"/>
  <c r="AB38" i="2"/>
  <c r="AB108" i="3"/>
  <c r="AB111" i="3" s="1"/>
  <c r="AB87" i="3"/>
  <c r="AB89" i="3" s="1"/>
  <c r="AB87" i="4"/>
  <c r="AB89" i="4" s="1"/>
  <c r="AB108" i="4"/>
  <c r="AB111" i="4" s="1"/>
  <c r="AB115" i="5"/>
  <c r="AB20" i="5"/>
  <c r="AB22" i="5" s="1"/>
  <c r="AB49" i="5"/>
  <c r="AB51" i="5" s="1"/>
  <c r="P36" i="5"/>
  <c r="AB73" i="6" l="1"/>
  <c r="AB109" i="5"/>
  <c r="AB102" i="5"/>
  <c r="AB106" i="5"/>
  <c r="AB87" i="5"/>
  <c r="AB89" i="5" s="1"/>
  <c r="AB108" i="5"/>
  <c r="AB111" i="5" s="1"/>
  <c r="AB38" i="5"/>
  <c r="AB108" i="6"/>
  <c r="AB85" i="6"/>
  <c r="AB36" i="6"/>
  <c r="AB38" i="6" s="1"/>
  <c r="AB102" i="6"/>
  <c r="H31" i="6"/>
  <c r="H33" i="6" s="1"/>
  <c r="H26" i="6"/>
  <c r="H25" i="6"/>
  <c r="H24" i="6"/>
  <c r="H19" i="6"/>
  <c r="H18" i="6"/>
  <c r="H13" i="6"/>
  <c r="H12" i="6"/>
  <c r="H11" i="6"/>
  <c r="G76" i="6"/>
  <c r="F76" i="6"/>
  <c r="G75" i="6"/>
  <c r="F75" i="6"/>
  <c r="G66" i="6"/>
  <c r="G68" i="6" s="1"/>
  <c r="F66" i="6"/>
  <c r="F68" i="6" s="1"/>
  <c r="G61" i="6"/>
  <c r="F61" i="6"/>
  <c r="G60" i="6"/>
  <c r="F60" i="6"/>
  <c r="G59" i="6"/>
  <c r="F59" i="6"/>
  <c r="G54" i="6"/>
  <c r="F54" i="6"/>
  <c r="G53" i="6"/>
  <c r="F53" i="6"/>
  <c r="G50" i="6"/>
  <c r="F50" i="6"/>
  <c r="G48" i="6"/>
  <c r="F48" i="6"/>
  <c r="G47" i="6"/>
  <c r="F47" i="6"/>
  <c r="G46" i="6"/>
  <c r="F46" i="6"/>
  <c r="G41" i="6"/>
  <c r="F41" i="6"/>
  <c r="G40" i="6"/>
  <c r="F40" i="6"/>
  <c r="G31" i="6"/>
  <c r="G33" i="6" s="1"/>
  <c r="F31" i="6"/>
  <c r="F33" i="6" s="1"/>
  <c r="G26" i="6"/>
  <c r="F26" i="6"/>
  <c r="G25" i="6"/>
  <c r="F25" i="6"/>
  <c r="G24" i="6"/>
  <c r="F24" i="6"/>
  <c r="G19" i="6"/>
  <c r="F19" i="6"/>
  <c r="G18" i="6"/>
  <c r="F18" i="6"/>
  <c r="G15" i="6"/>
  <c r="F15" i="6"/>
  <c r="G13" i="6"/>
  <c r="F13" i="6"/>
  <c r="G12" i="6"/>
  <c r="F12" i="6"/>
  <c r="G11" i="6"/>
  <c r="F11" i="6"/>
  <c r="L76" i="6"/>
  <c r="K76" i="6"/>
  <c r="J76" i="6"/>
  <c r="I76" i="6"/>
  <c r="L75" i="6"/>
  <c r="K75" i="6"/>
  <c r="J75" i="6"/>
  <c r="I75" i="6"/>
  <c r="L66" i="6"/>
  <c r="L68" i="6" s="1"/>
  <c r="K66" i="6"/>
  <c r="K68" i="6" s="1"/>
  <c r="J66" i="6"/>
  <c r="J68" i="6" s="1"/>
  <c r="I66" i="6"/>
  <c r="I68" i="6" s="1"/>
  <c r="L61" i="6"/>
  <c r="K61" i="6"/>
  <c r="J61" i="6"/>
  <c r="I61" i="6"/>
  <c r="L60" i="6"/>
  <c r="K60" i="6"/>
  <c r="J60" i="6"/>
  <c r="I60" i="6"/>
  <c r="L59" i="6"/>
  <c r="K59" i="6"/>
  <c r="J59" i="6"/>
  <c r="I59" i="6"/>
  <c r="L54" i="6"/>
  <c r="K54" i="6"/>
  <c r="J54" i="6"/>
  <c r="I54" i="6"/>
  <c r="L53" i="6"/>
  <c r="K53" i="6"/>
  <c r="J53" i="6"/>
  <c r="I53" i="6"/>
  <c r="K50" i="6"/>
  <c r="J50" i="6"/>
  <c r="I50" i="6"/>
  <c r="L48" i="6"/>
  <c r="K48" i="6"/>
  <c r="J48" i="6"/>
  <c r="I48" i="6"/>
  <c r="L47" i="6"/>
  <c r="K47" i="6"/>
  <c r="J47" i="6"/>
  <c r="I47" i="6"/>
  <c r="L46" i="6"/>
  <c r="K46" i="6"/>
  <c r="J46" i="6"/>
  <c r="I46" i="6"/>
  <c r="L41" i="6"/>
  <c r="K41" i="6"/>
  <c r="J41" i="6"/>
  <c r="I41" i="6"/>
  <c r="L40" i="6"/>
  <c r="K40" i="6"/>
  <c r="J40" i="6"/>
  <c r="I40" i="6"/>
  <c r="L31" i="6"/>
  <c r="L33" i="6" s="1"/>
  <c r="K31" i="6"/>
  <c r="K33" i="6" s="1"/>
  <c r="J31" i="6"/>
  <c r="J33" i="6" s="1"/>
  <c r="I31" i="6"/>
  <c r="I33" i="6" s="1"/>
  <c r="L26" i="6"/>
  <c r="K26" i="6"/>
  <c r="J26" i="6"/>
  <c r="I26" i="6"/>
  <c r="L25" i="6"/>
  <c r="K25" i="6"/>
  <c r="J25" i="6"/>
  <c r="I25" i="6"/>
  <c r="L24" i="6"/>
  <c r="K24" i="6"/>
  <c r="J24" i="6"/>
  <c r="I24" i="6"/>
  <c r="L21" i="6"/>
  <c r="L19" i="6"/>
  <c r="K19" i="6"/>
  <c r="J19" i="6"/>
  <c r="I19" i="6"/>
  <c r="L18" i="6"/>
  <c r="K18" i="6"/>
  <c r="J18" i="6"/>
  <c r="I18" i="6"/>
  <c r="L15" i="6"/>
  <c r="K15" i="6"/>
  <c r="J15" i="6"/>
  <c r="I15" i="6"/>
  <c r="L13" i="6"/>
  <c r="K13" i="6"/>
  <c r="J13" i="6"/>
  <c r="I13" i="6"/>
  <c r="L12" i="6"/>
  <c r="K12" i="6"/>
  <c r="J12" i="6"/>
  <c r="I12" i="6"/>
  <c r="L11" i="6"/>
  <c r="K11" i="6"/>
  <c r="J11" i="6"/>
  <c r="I11" i="6"/>
  <c r="S41" i="6"/>
  <c r="R41" i="6"/>
  <c r="Q41" i="6"/>
  <c r="P41" i="6"/>
  <c r="O41" i="6"/>
  <c r="N41" i="6"/>
  <c r="M41" i="6"/>
  <c r="S40" i="6"/>
  <c r="R40" i="6"/>
  <c r="Q40" i="6"/>
  <c r="P40" i="6"/>
  <c r="O40" i="6"/>
  <c r="N40" i="6"/>
  <c r="M40" i="6"/>
  <c r="Z41" i="6"/>
  <c r="Y41" i="6"/>
  <c r="X41" i="6"/>
  <c r="W41" i="6"/>
  <c r="V41" i="6"/>
  <c r="U41" i="6"/>
  <c r="T41" i="6"/>
  <c r="Z40" i="6"/>
  <c r="Y40" i="6"/>
  <c r="X40" i="6"/>
  <c r="W40" i="6"/>
  <c r="V40" i="6"/>
  <c r="U40" i="6"/>
  <c r="T40" i="6"/>
  <c r="O76" i="6"/>
  <c r="N76" i="6"/>
  <c r="M76" i="6"/>
  <c r="O75" i="6"/>
  <c r="N75" i="6"/>
  <c r="M75" i="6"/>
  <c r="O66" i="6"/>
  <c r="O68" i="6" s="1"/>
  <c r="N66" i="6"/>
  <c r="N68" i="6" s="1"/>
  <c r="M66" i="6"/>
  <c r="M68" i="6" s="1"/>
  <c r="O61" i="6"/>
  <c r="N61" i="6"/>
  <c r="M61" i="6"/>
  <c r="O60" i="6"/>
  <c r="N60" i="6"/>
  <c r="M60" i="6"/>
  <c r="O59" i="6"/>
  <c r="N59" i="6"/>
  <c r="M59" i="6"/>
  <c r="O54" i="6"/>
  <c r="N54" i="6"/>
  <c r="M54" i="6"/>
  <c r="O53" i="6"/>
  <c r="N53" i="6"/>
  <c r="M53" i="6"/>
  <c r="O50" i="6"/>
  <c r="N50" i="6"/>
  <c r="M50" i="6"/>
  <c r="O48" i="6"/>
  <c r="N48" i="6"/>
  <c r="M48" i="6"/>
  <c r="O47" i="6"/>
  <c r="N47" i="6"/>
  <c r="M47" i="6"/>
  <c r="O46" i="6"/>
  <c r="N46" i="6"/>
  <c r="M46" i="6"/>
  <c r="O31" i="6"/>
  <c r="O33" i="6" s="1"/>
  <c r="N31" i="6"/>
  <c r="N33" i="6" s="1"/>
  <c r="M31" i="6"/>
  <c r="M33" i="6" s="1"/>
  <c r="O26" i="6"/>
  <c r="N26" i="6"/>
  <c r="M26" i="6"/>
  <c r="O25" i="6"/>
  <c r="N25" i="6"/>
  <c r="M25" i="6"/>
  <c r="O24" i="6"/>
  <c r="N24" i="6"/>
  <c r="M24" i="6"/>
  <c r="O21" i="6"/>
  <c r="N21" i="6"/>
  <c r="M21" i="6"/>
  <c r="O19" i="6"/>
  <c r="N19" i="6"/>
  <c r="M19" i="6"/>
  <c r="O18" i="6"/>
  <c r="N18" i="6"/>
  <c r="M18" i="6"/>
  <c r="O15" i="6"/>
  <c r="N15" i="6"/>
  <c r="M15" i="6"/>
  <c r="O13" i="6"/>
  <c r="N13" i="6"/>
  <c r="M13" i="6"/>
  <c r="O12" i="6"/>
  <c r="N12" i="6"/>
  <c r="M12" i="6"/>
  <c r="O11" i="6"/>
  <c r="N11" i="6"/>
  <c r="M11" i="6"/>
  <c r="P76" i="6"/>
  <c r="P75" i="6"/>
  <c r="P66" i="6"/>
  <c r="P68" i="6" s="1"/>
  <c r="P61" i="6"/>
  <c r="P60" i="6"/>
  <c r="P59" i="6"/>
  <c r="P54" i="6"/>
  <c r="P53" i="6"/>
  <c r="P50" i="6"/>
  <c r="P48" i="6"/>
  <c r="P47" i="6"/>
  <c r="P46" i="6"/>
  <c r="P31" i="6"/>
  <c r="P33" i="6" s="1"/>
  <c r="O68" i="5"/>
  <c r="N68" i="5"/>
  <c r="M68" i="5"/>
  <c r="P68" i="5"/>
  <c r="O33" i="5"/>
  <c r="N33" i="5"/>
  <c r="M33" i="5"/>
  <c r="P33" i="5"/>
  <c r="O68" i="4"/>
  <c r="N68" i="4"/>
  <c r="M68" i="4"/>
  <c r="P68" i="4"/>
  <c r="O33" i="4"/>
  <c r="N33" i="4"/>
  <c r="M33" i="4"/>
  <c r="P33" i="4"/>
  <c r="O68" i="3"/>
  <c r="N68" i="3"/>
  <c r="M68" i="3"/>
  <c r="P68" i="3"/>
  <c r="O33" i="3"/>
  <c r="N33" i="3"/>
  <c r="M33" i="3"/>
  <c r="P33" i="3"/>
  <c r="O68" i="2"/>
  <c r="N68" i="2"/>
  <c r="M68" i="2"/>
  <c r="P68" i="2"/>
  <c r="O33" i="2"/>
  <c r="N33" i="2"/>
  <c r="M33" i="2"/>
  <c r="P33" i="2"/>
  <c r="P26" i="6"/>
  <c r="P25" i="6"/>
  <c r="P24" i="6"/>
  <c r="P21" i="6"/>
  <c r="P19" i="6"/>
  <c r="P18" i="6"/>
  <c r="P15" i="6"/>
  <c r="P13" i="6"/>
  <c r="P12" i="6"/>
  <c r="P11" i="6"/>
  <c r="U76" i="6"/>
  <c r="T76" i="6"/>
  <c r="S76" i="6"/>
  <c r="R76" i="6"/>
  <c r="Q76" i="6"/>
  <c r="U75" i="6"/>
  <c r="T75" i="6"/>
  <c r="S75" i="6"/>
  <c r="R75" i="6"/>
  <c r="Q75" i="6"/>
  <c r="Q67" i="6"/>
  <c r="Q66" i="6"/>
  <c r="Q61" i="6"/>
  <c r="Q60" i="6"/>
  <c r="Q59" i="6"/>
  <c r="U56" i="6"/>
  <c r="T56" i="6"/>
  <c r="S56" i="6"/>
  <c r="Q54" i="6"/>
  <c r="Q53" i="6"/>
  <c r="U50" i="6"/>
  <c r="T50" i="6"/>
  <c r="S50" i="6"/>
  <c r="R50" i="6"/>
  <c r="Q50" i="6"/>
  <c r="Q48" i="6"/>
  <c r="Q47" i="6"/>
  <c r="Q46" i="6"/>
  <c r="Q32" i="6"/>
  <c r="Q31" i="6"/>
  <c r="Q26" i="6"/>
  <c r="Q25" i="6"/>
  <c r="Q24" i="6"/>
  <c r="U21" i="6"/>
  <c r="T21" i="6"/>
  <c r="S21" i="6"/>
  <c r="R21" i="6"/>
  <c r="Q21" i="6"/>
  <c r="Q19" i="6"/>
  <c r="Q18" i="6"/>
  <c r="U15" i="6"/>
  <c r="T15" i="6"/>
  <c r="S15" i="6"/>
  <c r="R15" i="6"/>
  <c r="Q15" i="6"/>
  <c r="Q13" i="6"/>
  <c r="Q12" i="6"/>
  <c r="Q11" i="6"/>
  <c r="Z76" i="6"/>
  <c r="Y76" i="6"/>
  <c r="X76" i="6"/>
  <c r="W76" i="6"/>
  <c r="V76" i="6"/>
  <c r="Z75" i="6"/>
  <c r="Y75" i="6"/>
  <c r="W75" i="6"/>
  <c r="Z56" i="6"/>
  <c r="Y56" i="6"/>
  <c r="X56" i="6"/>
  <c r="W56" i="6"/>
  <c r="V56" i="6"/>
  <c r="Z50" i="6"/>
  <c r="Y50" i="6"/>
  <c r="X50" i="6"/>
  <c r="W50" i="6"/>
  <c r="V50" i="6"/>
  <c r="Z21" i="6"/>
  <c r="Y21" i="6"/>
  <c r="X21" i="6"/>
  <c r="W21" i="6"/>
  <c r="V21" i="6"/>
  <c r="Z15" i="6"/>
  <c r="Y15" i="6"/>
  <c r="X15" i="6"/>
  <c r="W15" i="6"/>
  <c r="V15" i="6"/>
  <c r="AA50" i="6"/>
  <c r="AA56" i="6"/>
  <c r="AA76" i="6"/>
  <c r="AA75" i="6"/>
  <c r="AA41" i="6"/>
  <c r="AA40" i="6"/>
  <c r="AA21" i="6"/>
  <c r="AA15" i="6"/>
  <c r="J20" i="6" l="1"/>
  <c r="I42" i="6"/>
  <c r="J55" i="6"/>
  <c r="J77" i="6"/>
  <c r="I77" i="6"/>
  <c r="I20" i="6"/>
  <c r="L20" i="6"/>
  <c r="L22" i="6" s="1"/>
  <c r="I27" i="6"/>
  <c r="K42" i="6"/>
  <c r="L55" i="6"/>
  <c r="L77" i="6"/>
  <c r="K20" i="6"/>
  <c r="J42" i="6"/>
  <c r="K55" i="6"/>
  <c r="I62" i="6"/>
  <c r="K77" i="6"/>
  <c r="L27" i="6"/>
  <c r="I55" i="6"/>
  <c r="L42" i="6"/>
  <c r="K62" i="6"/>
  <c r="K27" i="6"/>
  <c r="L62" i="6"/>
  <c r="J14" i="6"/>
  <c r="J16" i="6" s="1"/>
  <c r="J62" i="6"/>
  <c r="J36" i="6"/>
  <c r="J37" i="6"/>
  <c r="I70" i="6"/>
  <c r="I71" i="6"/>
  <c r="I72" i="6"/>
  <c r="J70" i="6"/>
  <c r="J72" i="6"/>
  <c r="L70" i="6"/>
  <c r="L71" i="6"/>
  <c r="L72" i="6"/>
  <c r="J71" i="6"/>
  <c r="K70" i="6"/>
  <c r="K71" i="6"/>
  <c r="K72" i="6"/>
  <c r="AB109" i="6"/>
  <c r="AB111" i="6" s="1"/>
  <c r="AB87" i="6"/>
  <c r="AB89" i="6" s="1"/>
  <c r="J27" i="6"/>
  <c r="O55" i="6"/>
  <c r="W42" i="6"/>
  <c r="N42" i="6"/>
  <c r="R42" i="6"/>
  <c r="Q72" i="6"/>
  <c r="F71" i="6"/>
  <c r="F62" i="6"/>
  <c r="Q55" i="6"/>
  <c r="M70" i="6"/>
  <c r="N71" i="6"/>
  <c r="O72" i="6"/>
  <c r="G71" i="6"/>
  <c r="F36" i="6"/>
  <c r="O70" i="6"/>
  <c r="M72" i="6"/>
  <c r="Q70" i="6"/>
  <c r="P72" i="6"/>
  <c r="M55" i="6"/>
  <c r="P70" i="6"/>
  <c r="F27" i="6"/>
  <c r="W77" i="6"/>
  <c r="T77" i="6"/>
  <c r="P36" i="6"/>
  <c r="M35" i="6"/>
  <c r="N36" i="6"/>
  <c r="O37" i="6"/>
  <c r="M20" i="6"/>
  <c r="M22" i="6" s="1"/>
  <c r="O77" i="6"/>
  <c r="O42" i="6"/>
  <c r="S42" i="6"/>
  <c r="I36" i="6"/>
  <c r="I37" i="6"/>
  <c r="Y77" i="6"/>
  <c r="Q36" i="6"/>
  <c r="R77" i="6"/>
  <c r="P77" i="6"/>
  <c r="O35" i="6"/>
  <c r="M37" i="6"/>
  <c r="O20" i="6"/>
  <c r="O22" i="6" s="1"/>
  <c r="M77" i="6"/>
  <c r="V42" i="6"/>
  <c r="Z42" i="6"/>
  <c r="M42" i="6"/>
  <c r="Q42" i="6"/>
  <c r="Q37" i="6"/>
  <c r="Q71" i="6"/>
  <c r="P37" i="6"/>
  <c r="O62" i="6"/>
  <c r="U42" i="6"/>
  <c r="Y42" i="6"/>
  <c r="G37" i="6"/>
  <c r="G20" i="6"/>
  <c r="G42" i="6"/>
  <c r="G70" i="6"/>
  <c r="G72" i="6"/>
  <c r="G55" i="6"/>
  <c r="G77" i="6"/>
  <c r="Z77" i="6"/>
  <c r="Q20" i="6"/>
  <c r="Q22" i="6" s="1"/>
  <c r="Q62" i="6"/>
  <c r="Q68" i="6"/>
  <c r="N35" i="6"/>
  <c r="O36" i="6"/>
  <c r="N70" i="6"/>
  <c r="O71" i="6"/>
  <c r="L37" i="6"/>
  <c r="H37" i="6"/>
  <c r="I35" i="6"/>
  <c r="Q14" i="6"/>
  <c r="Q16" i="6" s="1"/>
  <c r="Q35" i="6"/>
  <c r="Q27" i="6"/>
  <c r="S77" i="6"/>
  <c r="P14" i="6"/>
  <c r="P16" i="6" s="1"/>
  <c r="P35" i="6"/>
  <c r="P20" i="6"/>
  <c r="P22" i="6" s="1"/>
  <c r="P27" i="6"/>
  <c r="N20" i="6"/>
  <c r="N22" i="6" s="1"/>
  <c r="M27" i="6"/>
  <c r="N55" i="6"/>
  <c r="M62" i="6"/>
  <c r="N77" i="6"/>
  <c r="T42" i="6"/>
  <c r="X42" i="6"/>
  <c r="P42" i="6"/>
  <c r="J35" i="6"/>
  <c r="G36" i="6"/>
  <c r="G27" i="6"/>
  <c r="G62" i="6"/>
  <c r="H20" i="6"/>
  <c r="P62" i="6"/>
  <c r="N27" i="6"/>
  <c r="N62" i="6"/>
  <c r="K35" i="6"/>
  <c r="K36" i="6"/>
  <c r="K37" i="6"/>
  <c r="F35" i="6"/>
  <c r="F37" i="6"/>
  <c r="F20" i="6"/>
  <c r="F42" i="6"/>
  <c r="F70" i="6"/>
  <c r="F72" i="6"/>
  <c r="F55" i="6"/>
  <c r="F77" i="6"/>
  <c r="H14" i="6"/>
  <c r="H35" i="6"/>
  <c r="P49" i="6"/>
  <c r="P51" i="6" s="1"/>
  <c r="P71" i="6"/>
  <c r="Q77" i="6"/>
  <c r="U77" i="6"/>
  <c r="P55" i="6"/>
  <c r="M36" i="6"/>
  <c r="N37" i="6"/>
  <c r="O27" i="6"/>
  <c r="M71" i="6"/>
  <c r="N72" i="6"/>
  <c r="L35" i="6"/>
  <c r="L36" i="6"/>
  <c r="G35" i="6"/>
  <c r="H36" i="6"/>
  <c r="H27" i="6"/>
  <c r="G14" i="6"/>
  <c r="G16" i="6" s="1"/>
  <c r="G49" i="6"/>
  <c r="G51" i="6" s="1"/>
  <c r="F14" i="6"/>
  <c r="F16" i="6" s="1"/>
  <c r="F49" i="6"/>
  <c r="F51" i="6" s="1"/>
  <c r="L14" i="6"/>
  <c r="L16" i="6" s="1"/>
  <c r="J49" i="6"/>
  <c r="J51" i="6" s="1"/>
  <c r="L49" i="6"/>
  <c r="I14" i="6"/>
  <c r="I16" i="6" s="1"/>
  <c r="K14" i="6"/>
  <c r="K16" i="6" s="1"/>
  <c r="I49" i="6"/>
  <c r="I51" i="6" s="1"/>
  <c r="K49" i="6"/>
  <c r="K51" i="6" s="1"/>
  <c r="N14" i="6"/>
  <c r="N16" i="6" s="1"/>
  <c r="N49" i="6"/>
  <c r="N51" i="6" s="1"/>
  <c r="M14" i="6"/>
  <c r="M16" i="6" s="1"/>
  <c r="O14" i="6"/>
  <c r="O16" i="6" s="1"/>
  <c r="M49" i="6"/>
  <c r="M51" i="6" s="1"/>
  <c r="O49" i="6"/>
  <c r="O51" i="6" s="1"/>
  <c r="Q49" i="6"/>
  <c r="Q51" i="6" s="1"/>
  <c r="Q33" i="6"/>
  <c r="I73" i="6" l="1"/>
  <c r="J38" i="6"/>
  <c r="K73" i="6"/>
  <c r="L73" i="6"/>
  <c r="J73" i="6"/>
  <c r="M38" i="6"/>
  <c r="L38" i="6"/>
  <c r="G38" i="6"/>
  <c r="Q73" i="6"/>
  <c r="I38" i="6"/>
  <c r="N73" i="6"/>
  <c r="F38" i="6"/>
  <c r="M73" i="6"/>
  <c r="O73" i="6"/>
  <c r="P73" i="6"/>
  <c r="Q38" i="6"/>
  <c r="H38" i="6"/>
  <c r="O38" i="6"/>
  <c r="P38" i="6"/>
  <c r="N38" i="6"/>
  <c r="G73" i="6"/>
  <c r="K38" i="6"/>
  <c r="F73" i="6"/>
  <c r="AA77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G114" i="6"/>
  <c r="F114" i="6"/>
  <c r="AA42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G113" i="6"/>
  <c r="F113" i="6"/>
  <c r="Q105" i="6"/>
  <c r="Q104" i="6"/>
  <c r="P104" i="6"/>
  <c r="P106" i="6" s="1"/>
  <c r="O104" i="6"/>
  <c r="O106" i="6" s="1"/>
  <c r="N104" i="6"/>
  <c r="N106" i="6" s="1"/>
  <c r="M104" i="6"/>
  <c r="M106" i="6" s="1"/>
  <c r="L104" i="6"/>
  <c r="L106" i="6" s="1"/>
  <c r="K104" i="6"/>
  <c r="K106" i="6" s="1"/>
  <c r="J104" i="6"/>
  <c r="J106" i="6" s="1"/>
  <c r="I104" i="6"/>
  <c r="I106" i="6" s="1"/>
  <c r="G104" i="6"/>
  <c r="G106" i="6" s="1"/>
  <c r="F104" i="6"/>
  <c r="F106" i="6" s="1"/>
  <c r="Q99" i="6"/>
  <c r="P99" i="6"/>
  <c r="O99" i="6"/>
  <c r="N99" i="6"/>
  <c r="M99" i="6"/>
  <c r="L99" i="6"/>
  <c r="K99" i="6"/>
  <c r="J99" i="6"/>
  <c r="I99" i="6"/>
  <c r="G99" i="6"/>
  <c r="F99" i="6"/>
  <c r="Q98" i="6"/>
  <c r="P98" i="6"/>
  <c r="O98" i="6"/>
  <c r="N98" i="6"/>
  <c r="M98" i="6"/>
  <c r="L98" i="6"/>
  <c r="K98" i="6"/>
  <c r="J98" i="6"/>
  <c r="I98" i="6"/>
  <c r="G98" i="6"/>
  <c r="F98" i="6"/>
  <c r="Q97" i="6"/>
  <c r="P97" i="6"/>
  <c r="O97" i="6"/>
  <c r="N97" i="6"/>
  <c r="M97" i="6"/>
  <c r="L97" i="6"/>
  <c r="K97" i="6"/>
  <c r="J97" i="6"/>
  <c r="I97" i="6"/>
  <c r="G97" i="6"/>
  <c r="F97" i="6"/>
  <c r="AA94" i="6"/>
  <c r="Z94" i="6"/>
  <c r="Y94" i="6"/>
  <c r="X94" i="6"/>
  <c r="W94" i="6"/>
  <c r="V94" i="6"/>
  <c r="U94" i="6"/>
  <c r="T94" i="6"/>
  <c r="S94" i="6"/>
  <c r="Q92" i="6"/>
  <c r="P92" i="6"/>
  <c r="O92" i="6"/>
  <c r="N92" i="6"/>
  <c r="M92" i="6"/>
  <c r="L92" i="6"/>
  <c r="K92" i="6"/>
  <c r="J92" i="6"/>
  <c r="I92" i="6"/>
  <c r="G92" i="6"/>
  <c r="F92" i="6"/>
  <c r="Q91" i="6"/>
  <c r="P91" i="6"/>
  <c r="O91" i="6"/>
  <c r="N91" i="6"/>
  <c r="M91" i="6"/>
  <c r="L91" i="6"/>
  <c r="K91" i="6"/>
  <c r="J91" i="6"/>
  <c r="I91" i="6"/>
  <c r="G91" i="6"/>
  <c r="F91" i="6"/>
  <c r="AA88" i="6"/>
  <c r="Z88" i="6"/>
  <c r="Y88" i="6"/>
  <c r="X88" i="6"/>
  <c r="W88" i="6"/>
  <c r="V88" i="6"/>
  <c r="U88" i="6"/>
  <c r="T88" i="6"/>
  <c r="S88" i="6"/>
  <c r="R88" i="6"/>
  <c r="Q88" i="6"/>
  <c r="P88" i="6"/>
  <c r="O88" i="6"/>
  <c r="N88" i="6"/>
  <c r="M88" i="6"/>
  <c r="K88" i="6"/>
  <c r="J88" i="6"/>
  <c r="I88" i="6"/>
  <c r="G88" i="6"/>
  <c r="F88" i="6"/>
  <c r="V115" i="5"/>
  <c r="AA114" i="5"/>
  <c r="Z114" i="5"/>
  <c r="Y114" i="5"/>
  <c r="X114" i="5"/>
  <c r="W114" i="5"/>
  <c r="U114" i="5"/>
  <c r="U114" i="6" s="1"/>
  <c r="T114" i="5"/>
  <c r="S114" i="5"/>
  <c r="R114" i="5"/>
  <c r="Q114" i="5"/>
  <c r="P114" i="5"/>
  <c r="O114" i="5"/>
  <c r="N114" i="5"/>
  <c r="M114" i="5"/>
  <c r="L114" i="5"/>
  <c r="K114" i="5"/>
  <c r="J114" i="5"/>
  <c r="I114" i="5"/>
  <c r="G114" i="5"/>
  <c r="F114" i="5"/>
  <c r="AA113" i="5"/>
  <c r="Z113" i="5"/>
  <c r="Y113" i="5"/>
  <c r="X113" i="5"/>
  <c r="W113" i="5"/>
  <c r="U113" i="5"/>
  <c r="T113" i="5"/>
  <c r="T115" i="5" s="1"/>
  <c r="S113" i="5"/>
  <c r="R113" i="5"/>
  <c r="Q113" i="5"/>
  <c r="Q115" i="5" s="1"/>
  <c r="P113" i="5"/>
  <c r="O113" i="5"/>
  <c r="N113" i="5"/>
  <c r="N115" i="5" s="1"/>
  <c r="M113" i="5"/>
  <c r="L113" i="5"/>
  <c r="K113" i="5"/>
  <c r="J113" i="5"/>
  <c r="I113" i="5"/>
  <c r="G113" i="5"/>
  <c r="G115" i="5" s="1"/>
  <c r="F113" i="5"/>
  <c r="Q105" i="5"/>
  <c r="Q104" i="5"/>
  <c r="P104" i="5"/>
  <c r="P106" i="5" s="1"/>
  <c r="O104" i="5"/>
  <c r="O106" i="5" s="1"/>
  <c r="N104" i="5"/>
  <c r="N106" i="5" s="1"/>
  <c r="M104" i="5"/>
  <c r="M106" i="5" s="1"/>
  <c r="L104" i="5"/>
  <c r="L106" i="5" s="1"/>
  <c r="K104" i="5"/>
  <c r="K106" i="5" s="1"/>
  <c r="J104" i="5"/>
  <c r="J106" i="5" s="1"/>
  <c r="I104" i="5"/>
  <c r="I106" i="5" s="1"/>
  <c r="G104" i="5"/>
  <c r="G106" i="5" s="1"/>
  <c r="F104" i="5"/>
  <c r="F106" i="5" s="1"/>
  <c r="Z99" i="5"/>
  <c r="Q99" i="5"/>
  <c r="P99" i="5"/>
  <c r="O99" i="5"/>
  <c r="N99" i="5"/>
  <c r="M99" i="5"/>
  <c r="L99" i="5"/>
  <c r="K99" i="5"/>
  <c r="J99" i="5"/>
  <c r="I99" i="5"/>
  <c r="G99" i="5"/>
  <c r="F99" i="5"/>
  <c r="AA98" i="5"/>
  <c r="Z98" i="5"/>
  <c r="Y98" i="5"/>
  <c r="X98" i="5"/>
  <c r="W98" i="5"/>
  <c r="V98" i="5"/>
  <c r="U98" i="5"/>
  <c r="T98" i="5"/>
  <c r="S98" i="5"/>
  <c r="Q98" i="5"/>
  <c r="P98" i="5"/>
  <c r="O98" i="5"/>
  <c r="N98" i="5"/>
  <c r="M98" i="5"/>
  <c r="L98" i="5"/>
  <c r="K98" i="5"/>
  <c r="J98" i="5"/>
  <c r="I98" i="5"/>
  <c r="G98" i="5"/>
  <c r="F98" i="5"/>
  <c r="Q97" i="5"/>
  <c r="P97" i="5"/>
  <c r="O97" i="5"/>
  <c r="N97" i="5"/>
  <c r="M97" i="5"/>
  <c r="L97" i="5"/>
  <c r="K97" i="5"/>
  <c r="J97" i="5"/>
  <c r="I97" i="5"/>
  <c r="G97" i="5"/>
  <c r="F97" i="5"/>
  <c r="AA94" i="5"/>
  <c r="Z94" i="5"/>
  <c r="Y94" i="5"/>
  <c r="X94" i="5"/>
  <c r="W94" i="5"/>
  <c r="V94" i="5"/>
  <c r="U94" i="5"/>
  <c r="T94" i="5"/>
  <c r="S94" i="5"/>
  <c r="AA92" i="5"/>
  <c r="Z92" i="5"/>
  <c r="Y92" i="5"/>
  <c r="X92" i="5"/>
  <c r="W92" i="5"/>
  <c r="V92" i="5"/>
  <c r="U92" i="5"/>
  <c r="T92" i="5"/>
  <c r="S92" i="5"/>
  <c r="Q92" i="5"/>
  <c r="P92" i="5"/>
  <c r="O92" i="5"/>
  <c r="N92" i="5"/>
  <c r="M92" i="5"/>
  <c r="L92" i="5"/>
  <c r="K92" i="5"/>
  <c r="J92" i="5"/>
  <c r="I92" i="5"/>
  <c r="G92" i="5"/>
  <c r="F92" i="5"/>
  <c r="Q91" i="5"/>
  <c r="P91" i="5"/>
  <c r="O91" i="5"/>
  <c r="N91" i="5"/>
  <c r="M91" i="5"/>
  <c r="L91" i="5"/>
  <c r="K91" i="5"/>
  <c r="J91" i="5"/>
  <c r="I91" i="5"/>
  <c r="G91" i="5"/>
  <c r="F91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K88" i="5"/>
  <c r="J88" i="5"/>
  <c r="I88" i="5"/>
  <c r="G88" i="5"/>
  <c r="F88" i="5"/>
  <c r="AA86" i="5"/>
  <c r="V86" i="5"/>
  <c r="Q86" i="5"/>
  <c r="P86" i="5"/>
  <c r="O86" i="5"/>
  <c r="N86" i="5"/>
  <c r="M86" i="5"/>
  <c r="L86" i="5"/>
  <c r="K86" i="5"/>
  <c r="J86" i="5"/>
  <c r="I86" i="5"/>
  <c r="G86" i="5"/>
  <c r="F86" i="5"/>
  <c r="Q85" i="5"/>
  <c r="P85" i="5"/>
  <c r="O85" i="5"/>
  <c r="N85" i="5"/>
  <c r="M85" i="5"/>
  <c r="L85" i="5"/>
  <c r="K85" i="5"/>
  <c r="J85" i="5"/>
  <c r="I85" i="5"/>
  <c r="G85" i="5"/>
  <c r="F85" i="5"/>
  <c r="Q84" i="5"/>
  <c r="P84" i="5"/>
  <c r="O84" i="5"/>
  <c r="N84" i="5"/>
  <c r="M84" i="5"/>
  <c r="L84" i="5"/>
  <c r="K84" i="5"/>
  <c r="J84" i="5"/>
  <c r="I84" i="5"/>
  <c r="G84" i="5"/>
  <c r="F84" i="5"/>
  <c r="AA77" i="5"/>
  <c r="Z77" i="5"/>
  <c r="Y77" i="5"/>
  <c r="X77" i="5"/>
  <c r="W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G77" i="5"/>
  <c r="F77" i="5"/>
  <c r="V75" i="5"/>
  <c r="Q72" i="5"/>
  <c r="P72" i="5"/>
  <c r="O72" i="5"/>
  <c r="N72" i="5"/>
  <c r="M72" i="5"/>
  <c r="L72" i="5"/>
  <c r="K72" i="5"/>
  <c r="J72" i="5"/>
  <c r="I72" i="5"/>
  <c r="G72" i="5"/>
  <c r="F72" i="5"/>
  <c r="Q71" i="5"/>
  <c r="P71" i="5"/>
  <c r="O71" i="5"/>
  <c r="N71" i="5"/>
  <c r="M71" i="5"/>
  <c r="L71" i="5"/>
  <c r="K71" i="5"/>
  <c r="J71" i="5"/>
  <c r="I71" i="5"/>
  <c r="G71" i="5"/>
  <c r="F71" i="5"/>
  <c r="Q70" i="5"/>
  <c r="P70" i="5"/>
  <c r="O70" i="5"/>
  <c r="N70" i="5"/>
  <c r="M70" i="5"/>
  <c r="L70" i="5"/>
  <c r="K70" i="5"/>
  <c r="J70" i="5"/>
  <c r="I70" i="5"/>
  <c r="G70" i="5"/>
  <c r="F70" i="5"/>
  <c r="Q68" i="5"/>
  <c r="L68" i="5"/>
  <c r="K68" i="5"/>
  <c r="J68" i="5"/>
  <c r="I68" i="5"/>
  <c r="G68" i="5"/>
  <c r="F68" i="5"/>
  <c r="AA67" i="5"/>
  <c r="Z67" i="5"/>
  <c r="Y67" i="5"/>
  <c r="X67" i="5"/>
  <c r="W67" i="5"/>
  <c r="V67" i="5"/>
  <c r="U67" i="5"/>
  <c r="S67" i="5"/>
  <c r="R67" i="5"/>
  <c r="AA66" i="5"/>
  <c r="Z66" i="5"/>
  <c r="Y66" i="5"/>
  <c r="X66" i="5"/>
  <c r="W66" i="5"/>
  <c r="V66" i="5"/>
  <c r="U66" i="5"/>
  <c r="T66" i="5"/>
  <c r="S66" i="5"/>
  <c r="R66" i="5"/>
  <c r="AA63" i="5"/>
  <c r="Z63" i="5"/>
  <c r="Y63" i="5"/>
  <c r="X63" i="5"/>
  <c r="W63" i="5"/>
  <c r="V63" i="5"/>
  <c r="U63" i="5"/>
  <c r="T63" i="5"/>
  <c r="S63" i="5"/>
  <c r="Q62" i="5"/>
  <c r="P62" i="5"/>
  <c r="O62" i="5"/>
  <c r="N62" i="5"/>
  <c r="M62" i="5"/>
  <c r="L62" i="5"/>
  <c r="K62" i="5"/>
  <c r="J62" i="5"/>
  <c r="I62" i="5"/>
  <c r="G62" i="5"/>
  <c r="F62" i="5"/>
  <c r="AA61" i="5"/>
  <c r="Y61" i="5"/>
  <c r="X61" i="5"/>
  <c r="W61" i="5"/>
  <c r="V61" i="5"/>
  <c r="U61" i="5"/>
  <c r="T61" i="5"/>
  <c r="S61" i="5"/>
  <c r="R61" i="5"/>
  <c r="R60" i="5"/>
  <c r="AA59" i="5"/>
  <c r="Z59" i="5"/>
  <c r="Y59" i="5"/>
  <c r="X59" i="5"/>
  <c r="W59" i="5"/>
  <c r="V59" i="5"/>
  <c r="U59" i="5"/>
  <c r="T59" i="5"/>
  <c r="S59" i="5"/>
  <c r="R59" i="5"/>
  <c r="R56" i="5"/>
  <c r="Q56" i="5"/>
  <c r="P56" i="5"/>
  <c r="O56" i="5"/>
  <c r="O94" i="5" s="1"/>
  <c r="N56" i="5"/>
  <c r="M56" i="5"/>
  <c r="L56" i="5"/>
  <c r="K56" i="5"/>
  <c r="K94" i="5" s="1"/>
  <c r="J56" i="5"/>
  <c r="I56" i="5"/>
  <c r="G56" i="5"/>
  <c r="G63" i="5" s="1"/>
  <c r="F56" i="5"/>
  <c r="T55" i="5"/>
  <c r="T57" i="5" s="1"/>
  <c r="Q55" i="5"/>
  <c r="P55" i="5"/>
  <c r="P57" i="5" s="1"/>
  <c r="O55" i="5"/>
  <c r="O57" i="5" s="1"/>
  <c r="N55" i="5"/>
  <c r="M55" i="5"/>
  <c r="L55" i="5"/>
  <c r="L57" i="5" s="1"/>
  <c r="K55" i="5"/>
  <c r="K57" i="5" s="1"/>
  <c r="J55" i="5"/>
  <c r="I55" i="5"/>
  <c r="G55" i="5"/>
  <c r="F55" i="5"/>
  <c r="R54" i="5"/>
  <c r="AA53" i="5"/>
  <c r="Z53" i="5"/>
  <c r="Y53" i="5"/>
  <c r="X53" i="5"/>
  <c r="W53" i="5"/>
  <c r="V53" i="5"/>
  <c r="U53" i="5"/>
  <c r="U55" i="5" s="1"/>
  <c r="U57" i="5" s="1"/>
  <c r="S53" i="5"/>
  <c r="R53" i="5"/>
  <c r="L50" i="5"/>
  <c r="Q49" i="5"/>
  <c r="Q51" i="5" s="1"/>
  <c r="P49" i="5"/>
  <c r="P51" i="5" s="1"/>
  <c r="O49" i="5"/>
  <c r="O51" i="5" s="1"/>
  <c r="N49" i="5"/>
  <c r="N51" i="5" s="1"/>
  <c r="M49" i="5"/>
  <c r="M51" i="5" s="1"/>
  <c r="L49" i="5"/>
  <c r="K49" i="5"/>
  <c r="K51" i="5" s="1"/>
  <c r="J49" i="5"/>
  <c r="J51" i="5" s="1"/>
  <c r="I49" i="5"/>
  <c r="I51" i="5" s="1"/>
  <c r="G49" i="5"/>
  <c r="G51" i="5" s="1"/>
  <c r="F49" i="5"/>
  <c r="F51" i="5" s="1"/>
  <c r="Z48" i="5"/>
  <c r="Y48" i="5"/>
  <c r="X48" i="5"/>
  <c r="W48" i="5"/>
  <c r="U48" i="5"/>
  <c r="T48" i="5"/>
  <c r="S48" i="5"/>
  <c r="R48" i="5"/>
  <c r="AA47" i="5"/>
  <c r="Z47" i="5"/>
  <c r="Y47" i="5"/>
  <c r="X47" i="5"/>
  <c r="W47" i="5"/>
  <c r="V47" i="5"/>
  <c r="U47" i="5"/>
  <c r="T47" i="5"/>
  <c r="S47" i="5"/>
  <c r="R47" i="5"/>
  <c r="AA46" i="5"/>
  <c r="Z46" i="5"/>
  <c r="Y46" i="5"/>
  <c r="X46" i="5"/>
  <c r="W46" i="5"/>
  <c r="V46" i="5"/>
  <c r="U46" i="5"/>
  <c r="S46" i="5"/>
  <c r="R46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G42" i="5"/>
  <c r="F42" i="5"/>
  <c r="AA37" i="5"/>
  <c r="V37" i="5"/>
  <c r="Q37" i="5"/>
  <c r="P37" i="5"/>
  <c r="O37" i="5"/>
  <c r="N37" i="5"/>
  <c r="M37" i="5"/>
  <c r="L37" i="5"/>
  <c r="K37" i="5"/>
  <c r="J37" i="5"/>
  <c r="I37" i="5"/>
  <c r="H37" i="5"/>
  <c r="G37" i="5"/>
  <c r="F37" i="5"/>
  <c r="Q36" i="5"/>
  <c r="O36" i="5"/>
  <c r="N36" i="5"/>
  <c r="M36" i="5"/>
  <c r="L36" i="5"/>
  <c r="K36" i="5"/>
  <c r="J36" i="5"/>
  <c r="I36" i="5"/>
  <c r="H36" i="5"/>
  <c r="G36" i="5"/>
  <c r="F36" i="5"/>
  <c r="Q35" i="5"/>
  <c r="P35" i="5"/>
  <c r="O35" i="5"/>
  <c r="N35" i="5"/>
  <c r="M35" i="5"/>
  <c r="L35" i="5"/>
  <c r="K35" i="5"/>
  <c r="J35" i="5"/>
  <c r="I35" i="5"/>
  <c r="H35" i="5"/>
  <c r="G35" i="5"/>
  <c r="F35" i="5"/>
  <c r="Q33" i="5"/>
  <c r="L33" i="5"/>
  <c r="K33" i="5"/>
  <c r="J33" i="5"/>
  <c r="I33" i="5"/>
  <c r="H33" i="5"/>
  <c r="G33" i="5"/>
  <c r="F33" i="5"/>
  <c r="AA32" i="5"/>
  <c r="Z32" i="5"/>
  <c r="Y32" i="5"/>
  <c r="X32" i="5"/>
  <c r="W32" i="5"/>
  <c r="V32" i="5"/>
  <c r="T32" i="5"/>
  <c r="S32" i="5"/>
  <c r="R32" i="5"/>
  <c r="AA31" i="5"/>
  <c r="Z31" i="5"/>
  <c r="Y31" i="5"/>
  <c r="X31" i="5"/>
  <c r="W31" i="5"/>
  <c r="V31" i="5"/>
  <c r="U31" i="5"/>
  <c r="T31" i="5"/>
  <c r="S31" i="5"/>
  <c r="R31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G28" i="5"/>
  <c r="F28" i="5"/>
  <c r="Q27" i="5"/>
  <c r="P27" i="5"/>
  <c r="O27" i="5"/>
  <c r="N27" i="5"/>
  <c r="M27" i="5"/>
  <c r="L27" i="5"/>
  <c r="K27" i="5"/>
  <c r="J27" i="5"/>
  <c r="I27" i="5"/>
  <c r="H27" i="5"/>
  <c r="G27" i="5"/>
  <c r="F27" i="5"/>
  <c r="Y26" i="5"/>
  <c r="X26" i="5"/>
  <c r="W26" i="5"/>
  <c r="U26" i="5"/>
  <c r="T26" i="5"/>
  <c r="S26" i="5"/>
  <c r="R26" i="5"/>
  <c r="R25" i="5"/>
  <c r="AA24" i="5"/>
  <c r="Z24" i="5"/>
  <c r="Y24" i="5"/>
  <c r="X24" i="5"/>
  <c r="W24" i="5"/>
  <c r="V24" i="5"/>
  <c r="U24" i="5"/>
  <c r="T24" i="5"/>
  <c r="S24" i="5"/>
  <c r="R24" i="5"/>
  <c r="Q20" i="5"/>
  <c r="Q22" i="5" s="1"/>
  <c r="P20" i="5"/>
  <c r="P22" i="5" s="1"/>
  <c r="O20" i="5"/>
  <c r="O22" i="5" s="1"/>
  <c r="N20" i="5"/>
  <c r="N22" i="5" s="1"/>
  <c r="M20" i="5"/>
  <c r="M22" i="5" s="1"/>
  <c r="L20" i="5"/>
  <c r="L22" i="5" s="1"/>
  <c r="K20" i="5"/>
  <c r="K22" i="5" s="1"/>
  <c r="J20" i="5"/>
  <c r="J22" i="5" s="1"/>
  <c r="I20" i="5"/>
  <c r="I22" i="5" s="1"/>
  <c r="H20" i="5"/>
  <c r="G20" i="5"/>
  <c r="G22" i="5" s="1"/>
  <c r="F20" i="5"/>
  <c r="F22" i="5" s="1"/>
  <c r="R19" i="5"/>
  <c r="AA18" i="5"/>
  <c r="AA20" i="5" s="1"/>
  <c r="AA22" i="5" s="1"/>
  <c r="Z18" i="5"/>
  <c r="Y18" i="5"/>
  <c r="X18" i="5"/>
  <c r="W18" i="5"/>
  <c r="V18" i="5"/>
  <c r="U18" i="5"/>
  <c r="T18" i="5"/>
  <c r="S18" i="5"/>
  <c r="S20" i="5" s="1"/>
  <c r="S22" i="5" s="1"/>
  <c r="R18" i="5"/>
  <c r="Q14" i="5"/>
  <c r="Q16" i="5" s="1"/>
  <c r="P14" i="5"/>
  <c r="P16" i="5" s="1"/>
  <c r="O14" i="5"/>
  <c r="O16" i="5" s="1"/>
  <c r="N14" i="5"/>
  <c r="N16" i="5" s="1"/>
  <c r="M14" i="5"/>
  <c r="M16" i="5" s="1"/>
  <c r="L14" i="5"/>
  <c r="L16" i="5" s="1"/>
  <c r="K14" i="5"/>
  <c r="K16" i="5" s="1"/>
  <c r="J14" i="5"/>
  <c r="J16" i="5" s="1"/>
  <c r="I14" i="5"/>
  <c r="I16" i="5" s="1"/>
  <c r="H14" i="5"/>
  <c r="G14" i="5"/>
  <c r="G16" i="5" s="1"/>
  <c r="F14" i="5"/>
  <c r="F16" i="5" s="1"/>
  <c r="Z13" i="5"/>
  <c r="Y13" i="5"/>
  <c r="X13" i="5"/>
  <c r="W13" i="5"/>
  <c r="U13" i="5"/>
  <c r="T13" i="5"/>
  <c r="S13" i="5"/>
  <c r="R13" i="5"/>
  <c r="AA12" i="5"/>
  <c r="Z12" i="5"/>
  <c r="Y12" i="5"/>
  <c r="X12" i="5"/>
  <c r="W12" i="5"/>
  <c r="V12" i="5"/>
  <c r="U12" i="5"/>
  <c r="T12" i="5"/>
  <c r="S12" i="5"/>
  <c r="R12" i="5"/>
  <c r="AA11" i="5"/>
  <c r="Z11" i="5"/>
  <c r="Y11" i="5"/>
  <c r="X11" i="5"/>
  <c r="W11" i="5"/>
  <c r="V11" i="5"/>
  <c r="U11" i="5"/>
  <c r="T11" i="5"/>
  <c r="T84" i="5" s="1"/>
  <c r="S11" i="5"/>
  <c r="R11" i="5"/>
  <c r="AA115" i="4"/>
  <c r="Z115" i="4"/>
  <c r="X115" i="4"/>
  <c r="U115" i="4"/>
  <c r="Y114" i="4"/>
  <c r="W114" i="4"/>
  <c r="V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Y113" i="4"/>
  <c r="W113" i="4"/>
  <c r="V113" i="4"/>
  <c r="T113" i="4"/>
  <c r="S113" i="4"/>
  <c r="R113" i="4"/>
  <c r="R115" i="4" s="1"/>
  <c r="Q113" i="4"/>
  <c r="P113" i="4"/>
  <c r="O113" i="4"/>
  <c r="N113" i="4"/>
  <c r="M113" i="4"/>
  <c r="L113" i="4"/>
  <c r="K113" i="4"/>
  <c r="J113" i="4"/>
  <c r="I113" i="4"/>
  <c r="H113" i="4"/>
  <c r="G113" i="4"/>
  <c r="F113" i="4"/>
  <c r="Q105" i="4"/>
  <c r="Q104" i="4"/>
  <c r="P104" i="4"/>
  <c r="P106" i="4" s="1"/>
  <c r="O104" i="4"/>
  <c r="O106" i="4" s="1"/>
  <c r="N104" i="4"/>
  <c r="N106" i="4" s="1"/>
  <c r="M104" i="4"/>
  <c r="M106" i="4" s="1"/>
  <c r="L104" i="4"/>
  <c r="L106" i="4" s="1"/>
  <c r="K104" i="4"/>
  <c r="K106" i="4" s="1"/>
  <c r="J104" i="4"/>
  <c r="J106" i="4" s="1"/>
  <c r="I104" i="4"/>
  <c r="I106" i="4" s="1"/>
  <c r="H104" i="4"/>
  <c r="H106" i="4" s="1"/>
  <c r="G104" i="4"/>
  <c r="G106" i="4" s="1"/>
  <c r="F104" i="4"/>
  <c r="F106" i="4" s="1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AA92" i="4"/>
  <c r="Z92" i="4"/>
  <c r="Y92" i="4"/>
  <c r="X92" i="4"/>
  <c r="W92" i="4"/>
  <c r="V92" i="4"/>
  <c r="U92" i="4"/>
  <c r="T92" i="4"/>
  <c r="S92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AA86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Z72" i="4"/>
  <c r="V72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V68" i="4"/>
  <c r="Q68" i="4"/>
  <c r="L68" i="4"/>
  <c r="K68" i="4"/>
  <c r="J68" i="4"/>
  <c r="I68" i="4"/>
  <c r="H68" i="4"/>
  <c r="G68" i="4"/>
  <c r="F68" i="4"/>
  <c r="AA67" i="4"/>
  <c r="Z67" i="4"/>
  <c r="Y67" i="4"/>
  <c r="X67" i="4"/>
  <c r="W67" i="4"/>
  <c r="U67" i="4"/>
  <c r="T67" i="4"/>
  <c r="R67" i="4"/>
  <c r="AA66" i="4"/>
  <c r="Z66" i="4"/>
  <c r="Y66" i="4"/>
  <c r="X66" i="4"/>
  <c r="W66" i="4"/>
  <c r="W68" i="4" s="1"/>
  <c r="U66" i="4"/>
  <c r="T66" i="4"/>
  <c r="S66" i="4"/>
  <c r="R66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Q62" i="4"/>
  <c r="P62" i="4"/>
  <c r="O62" i="4"/>
  <c r="N62" i="4"/>
  <c r="M62" i="4"/>
  <c r="L62" i="4"/>
  <c r="K62" i="4"/>
  <c r="J62" i="4"/>
  <c r="I62" i="4"/>
  <c r="H62" i="4"/>
  <c r="G62" i="4"/>
  <c r="F62" i="4"/>
  <c r="AA61" i="4"/>
  <c r="AA72" i="4" s="1"/>
  <c r="Y61" i="4"/>
  <c r="X61" i="4"/>
  <c r="W61" i="4"/>
  <c r="W72" i="4" s="1"/>
  <c r="U61" i="4"/>
  <c r="U72" i="4" s="1"/>
  <c r="T61" i="4"/>
  <c r="T72" i="4" s="1"/>
  <c r="S61" i="4"/>
  <c r="S72" i="4" s="1"/>
  <c r="R61" i="4"/>
  <c r="AA60" i="4"/>
  <c r="Z60" i="4"/>
  <c r="Y60" i="4"/>
  <c r="X60" i="4"/>
  <c r="W60" i="4"/>
  <c r="V60" i="4"/>
  <c r="U60" i="4"/>
  <c r="T60" i="4"/>
  <c r="S60" i="4"/>
  <c r="R60" i="4"/>
  <c r="AA59" i="4"/>
  <c r="Z59" i="4"/>
  <c r="Y59" i="4"/>
  <c r="X59" i="4"/>
  <c r="W59" i="4"/>
  <c r="V59" i="4"/>
  <c r="V70" i="4" s="1"/>
  <c r="U59" i="4"/>
  <c r="T59" i="4"/>
  <c r="S59" i="4"/>
  <c r="R59" i="4"/>
  <c r="K56" i="4"/>
  <c r="K63" i="4" s="1"/>
  <c r="J56" i="4"/>
  <c r="J63" i="4" s="1"/>
  <c r="I56" i="4"/>
  <c r="I63" i="4" s="1"/>
  <c r="H56" i="4"/>
  <c r="H63" i="4" s="1"/>
  <c r="G56" i="4"/>
  <c r="G63" i="4" s="1"/>
  <c r="F56" i="4"/>
  <c r="F63" i="4" s="1"/>
  <c r="V55" i="4"/>
  <c r="V57" i="4" s="1"/>
  <c r="S55" i="4"/>
  <c r="S57" i="4" s="1"/>
  <c r="Q55" i="4"/>
  <c r="Q57" i="4" s="1"/>
  <c r="P55" i="4"/>
  <c r="P57" i="4" s="1"/>
  <c r="O55" i="4"/>
  <c r="O57" i="4" s="1"/>
  <c r="N55" i="4"/>
  <c r="N57" i="4" s="1"/>
  <c r="M55" i="4"/>
  <c r="M57" i="4" s="1"/>
  <c r="L55" i="4"/>
  <c r="L57" i="4" s="1"/>
  <c r="K55" i="4"/>
  <c r="J55" i="4"/>
  <c r="I55" i="4"/>
  <c r="H55" i="4"/>
  <c r="G55" i="4"/>
  <c r="F55" i="4"/>
  <c r="R54" i="4"/>
  <c r="AA53" i="4"/>
  <c r="Z53" i="4"/>
  <c r="Z55" i="4" s="1"/>
  <c r="Z57" i="4" s="1"/>
  <c r="Y53" i="4"/>
  <c r="Y55" i="4" s="1"/>
  <c r="Y57" i="4" s="1"/>
  <c r="X53" i="4"/>
  <c r="W53" i="4"/>
  <c r="W55" i="4" s="1"/>
  <c r="W57" i="4" s="1"/>
  <c r="U53" i="4"/>
  <c r="U55" i="4" s="1"/>
  <c r="U57" i="4" s="1"/>
  <c r="T53" i="4"/>
  <c r="R53" i="4"/>
  <c r="Q49" i="4"/>
  <c r="Q51" i="4" s="1"/>
  <c r="P49" i="4"/>
  <c r="P51" i="4" s="1"/>
  <c r="O49" i="4"/>
  <c r="O51" i="4" s="1"/>
  <c r="N49" i="4"/>
  <c r="N51" i="4" s="1"/>
  <c r="M49" i="4"/>
  <c r="M51" i="4" s="1"/>
  <c r="L49" i="4"/>
  <c r="L51" i="4" s="1"/>
  <c r="K49" i="4"/>
  <c r="K51" i="4" s="1"/>
  <c r="J49" i="4"/>
  <c r="J51" i="4" s="1"/>
  <c r="I49" i="4"/>
  <c r="I51" i="4" s="1"/>
  <c r="H49" i="4"/>
  <c r="H51" i="4" s="1"/>
  <c r="G49" i="4"/>
  <c r="G51" i="4" s="1"/>
  <c r="F49" i="4"/>
  <c r="F51" i="4" s="1"/>
  <c r="Y48" i="4"/>
  <c r="X48" i="4"/>
  <c r="R48" i="4"/>
  <c r="AA47" i="4"/>
  <c r="AA49" i="4" s="1"/>
  <c r="AA51" i="4" s="1"/>
  <c r="Z47" i="4"/>
  <c r="Y47" i="4"/>
  <c r="X47" i="4"/>
  <c r="W47" i="4"/>
  <c r="V47" i="4"/>
  <c r="U47" i="4"/>
  <c r="T47" i="4"/>
  <c r="T49" i="4" s="1"/>
  <c r="T51" i="4" s="1"/>
  <c r="S47" i="4"/>
  <c r="S49" i="4" s="1"/>
  <c r="S51" i="4" s="1"/>
  <c r="R47" i="4"/>
  <c r="W46" i="4"/>
  <c r="U46" i="4"/>
  <c r="R46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Q37" i="4"/>
  <c r="P37" i="4"/>
  <c r="O37" i="4"/>
  <c r="N37" i="4"/>
  <c r="M37" i="4"/>
  <c r="L37" i="4"/>
  <c r="K37" i="4"/>
  <c r="J37" i="4"/>
  <c r="I37" i="4"/>
  <c r="H37" i="4"/>
  <c r="G37" i="4"/>
  <c r="F37" i="4"/>
  <c r="Q36" i="4"/>
  <c r="P36" i="4"/>
  <c r="O36" i="4"/>
  <c r="N36" i="4"/>
  <c r="M36" i="4"/>
  <c r="L36" i="4"/>
  <c r="K36" i="4"/>
  <c r="J36" i="4"/>
  <c r="I36" i="4"/>
  <c r="H36" i="4"/>
  <c r="G36" i="4"/>
  <c r="F36" i="4"/>
  <c r="Q35" i="4"/>
  <c r="Q38" i="4" s="1"/>
  <c r="P35" i="4"/>
  <c r="P38" i="4" s="1"/>
  <c r="O35" i="4"/>
  <c r="O38" i="4" s="1"/>
  <c r="N35" i="4"/>
  <c r="M35" i="4"/>
  <c r="M38" i="4" s="1"/>
  <c r="L35" i="4"/>
  <c r="L38" i="4" s="1"/>
  <c r="K35" i="4"/>
  <c r="J35" i="4"/>
  <c r="I35" i="4"/>
  <c r="H35" i="4"/>
  <c r="G35" i="4"/>
  <c r="F35" i="4"/>
  <c r="Q33" i="4"/>
  <c r="L33" i="4"/>
  <c r="K33" i="4"/>
  <c r="J33" i="4"/>
  <c r="I33" i="4"/>
  <c r="H33" i="4"/>
  <c r="G33" i="4"/>
  <c r="F33" i="4"/>
  <c r="AA32" i="4"/>
  <c r="Z32" i="4"/>
  <c r="Y32" i="4"/>
  <c r="X32" i="4"/>
  <c r="W32" i="4"/>
  <c r="V32" i="4"/>
  <c r="V105" i="4" s="1"/>
  <c r="U32" i="4"/>
  <c r="T32" i="4"/>
  <c r="S32" i="4"/>
  <c r="S105" i="4" s="1"/>
  <c r="R32" i="4"/>
  <c r="AA31" i="4"/>
  <c r="Z31" i="4"/>
  <c r="Y31" i="4"/>
  <c r="X31" i="4"/>
  <c r="W31" i="4"/>
  <c r="V31" i="4"/>
  <c r="V104" i="4" s="1"/>
  <c r="U31" i="4"/>
  <c r="T31" i="4"/>
  <c r="S31" i="4"/>
  <c r="R31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Q27" i="4"/>
  <c r="P27" i="4"/>
  <c r="O27" i="4"/>
  <c r="N27" i="4"/>
  <c r="M27" i="4"/>
  <c r="L27" i="4"/>
  <c r="K27" i="4"/>
  <c r="J27" i="4"/>
  <c r="I27" i="4"/>
  <c r="H27" i="4"/>
  <c r="G27" i="4"/>
  <c r="F27" i="4"/>
  <c r="AA26" i="4"/>
  <c r="Z26" i="4"/>
  <c r="Y26" i="4"/>
  <c r="X26" i="4"/>
  <c r="W26" i="4"/>
  <c r="V26" i="4"/>
  <c r="U26" i="4"/>
  <c r="T26" i="4"/>
  <c r="S26" i="4"/>
  <c r="R26" i="4"/>
  <c r="AA25" i="4"/>
  <c r="Z25" i="4"/>
  <c r="Y25" i="4"/>
  <c r="X25" i="4"/>
  <c r="W25" i="4"/>
  <c r="V25" i="4"/>
  <c r="U25" i="4"/>
  <c r="T25" i="4"/>
  <c r="S25" i="4"/>
  <c r="R25" i="4"/>
  <c r="AA24" i="4"/>
  <c r="Z24" i="4"/>
  <c r="Y24" i="4"/>
  <c r="X24" i="4"/>
  <c r="W24" i="4"/>
  <c r="V24" i="4"/>
  <c r="U24" i="4"/>
  <c r="T24" i="4"/>
  <c r="S24" i="4"/>
  <c r="R24" i="4"/>
  <c r="K21" i="4"/>
  <c r="J21" i="4"/>
  <c r="I21" i="4"/>
  <c r="H21" i="4"/>
  <c r="H94" i="4" s="1"/>
  <c r="G21" i="4"/>
  <c r="F21" i="4"/>
  <c r="Q20" i="4"/>
  <c r="Q22" i="4" s="1"/>
  <c r="P20" i="4"/>
  <c r="P22" i="4" s="1"/>
  <c r="O20" i="4"/>
  <c r="O22" i="4" s="1"/>
  <c r="N20" i="4"/>
  <c r="N22" i="4" s="1"/>
  <c r="M20" i="4"/>
  <c r="M22" i="4" s="1"/>
  <c r="L20" i="4"/>
  <c r="L22" i="4" s="1"/>
  <c r="K20" i="4"/>
  <c r="J20" i="4"/>
  <c r="I20" i="4"/>
  <c r="H20" i="4"/>
  <c r="G20" i="4"/>
  <c r="F20" i="4"/>
  <c r="R19" i="4"/>
  <c r="AA18" i="4"/>
  <c r="AA20" i="4" s="1"/>
  <c r="AA22" i="4" s="1"/>
  <c r="Z18" i="4"/>
  <c r="Y18" i="4"/>
  <c r="X18" i="4"/>
  <c r="W18" i="4"/>
  <c r="W20" i="4" s="1"/>
  <c r="W22" i="4" s="1"/>
  <c r="V18" i="4"/>
  <c r="V91" i="4" s="1"/>
  <c r="U18" i="4"/>
  <c r="T18" i="4"/>
  <c r="S18" i="4"/>
  <c r="S91" i="4" s="1"/>
  <c r="R18" i="4"/>
  <c r="Q14" i="4"/>
  <c r="Q16" i="4" s="1"/>
  <c r="P14" i="4"/>
  <c r="P16" i="4" s="1"/>
  <c r="O14" i="4"/>
  <c r="O16" i="4" s="1"/>
  <c r="N14" i="4"/>
  <c r="N16" i="4" s="1"/>
  <c r="M14" i="4"/>
  <c r="M16" i="4" s="1"/>
  <c r="L14" i="4"/>
  <c r="L16" i="4" s="1"/>
  <c r="K14" i="4"/>
  <c r="K16" i="4" s="1"/>
  <c r="J14" i="4"/>
  <c r="J16" i="4" s="1"/>
  <c r="I14" i="4"/>
  <c r="I16" i="4" s="1"/>
  <c r="H14" i="4"/>
  <c r="H16" i="4" s="1"/>
  <c r="G14" i="4"/>
  <c r="G16" i="4" s="1"/>
  <c r="F14" i="4"/>
  <c r="F16" i="4" s="1"/>
  <c r="Z13" i="4"/>
  <c r="Z86" i="4" s="1"/>
  <c r="Y13" i="4"/>
  <c r="X13" i="4"/>
  <c r="W13" i="4"/>
  <c r="V13" i="4"/>
  <c r="U13" i="4"/>
  <c r="T13" i="4"/>
  <c r="T86" i="4" s="1"/>
  <c r="S13" i="4"/>
  <c r="R13" i="4"/>
  <c r="AA12" i="4"/>
  <c r="Z12" i="4"/>
  <c r="Y12" i="4"/>
  <c r="X12" i="4"/>
  <c r="W12" i="4"/>
  <c r="V12" i="4"/>
  <c r="U12" i="4"/>
  <c r="T12" i="4"/>
  <c r="S12" i="4"/>
  <c r="R12" i="4"/>
  <c r="AA11" i="4"/>
  <c r="Z11" i="4"/>
  <c r="Z84" i="4" s="1"/>
  <c r="Y11" i="4"/>
  <c r="X11" i="4"/>
  <c r="X84" i="4" s="1"/>
  <c r="W11" i="4"/>
  <c r="V11" i="4"/>
  <c r="V84" i="4" s="1"/>
  <c r="U11" i="4"/>
  <c r="T11" i="4"/>
  <c r="T84" i="4" s="1"/>
  <c r="S11" i="4"/>
  <c r="R11" i="4"/>
  <c r="U115" i="3"/>
  <c r="AA114" i="3"/>
  <c r="Z114" i="3"/>
  <c r="Y114" i="3"/>
  <c r="X114" i="3"/>
  <c r="W11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G114" i="3"/>
  <c r="F114" i="3"/>
  <c r="AA113" i="3"/>
  <c r="Z113" i="3"/>
  <c r="Y113" i="3"/>
  <c r="X113" i="3"/>
  <c r="W113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G113" i="3"/>
  <c r="F113" i="3"/>
  <c r="Q105" i="3"/>
  <c r="Q104" i="3"/>
  <c r="P104" i="3"/>
  <c r="P106" i="3" s="1"/>
  <c r="O104" i="3"/>
  <c r="O106" i="3" s="1"/>
  <c r="N104" i="3"/>
  <c r="N106" i="3" s="1"/>
  <c r="M104" i="3"/>
  <c r="M106" i="3" s="1"/>
  <c r="L104" i="3"/>
  <c r="L106" i="3" s="1"/>
  <c r="K104" i="3"/>
  <c r="K106" i="3" s="1"/>
  <c r="J104" i="3"/>
  <c r="J106" i="3" s="1"/>
  <c r="I104" i="3"/>
  <c r="I106" i="3" s="1"/>
  <c r="G104" i="3"/>
  <c r="G106" i="3" s="1"/>
  <c r="F104" i="3"/>
  <c r="F106" i="3" s="1"/>
  <c r="Q99" i="3"/>
  <c r="P99" i="3"/>
  <c r="O99" i="3"/>
  <c r="N99" i="3"/>
  <c r="M99" i="3"/>
  <c r="L99" i="3"/>
  <c r="K99" i="3"/>
  <c r="J99" i="3"/>
  <c r="I99" i="3"/>
  <c r="G99" i="3"/>
  <c r="F99" i="3"/>
  <c r="Q98" i="3"/>
  <c r="P98" i="3"/>
  <c r="O98" i="3"/>
  <c r="N98" i="3"/>
  <c r="M98" i="3"/>
  <c r="L98" i="3"/>
  <c r="K98" i="3"/>
  <c r="J98" i="3"/>
  <c r="I98" i="3"/>
  <c r="G98" i="3"/>
  <c r="F98" i="3"/>
  <c r="Q97" i="3"/>
  <c r="P97" i="3"/>
  <c r="O97" i="3"/>
  <c r="N97" i="3"/>
  <c r="M97" i="3"/>
  <c r="L97" i="3"/>
  <c r="K97" i="3"/>
  <c r="J97" i="3"/>
  <c r="I97" i="3"/>
  <c r="G97" i="3"/>
  <c r="F97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Q92" i="3"/>
  <c r="P92" i="3"/>
  <c r="O92" i="3"/>
  <c r="N92" i="3"/>
  <c r="M92" i="3"/>
  <c r="L92" i="3"/>
  <c r="K92" i="3"/>
  <c r="J92" i="3"/>
  <c r="I92" i="3"/>
  <c r="G92" i="3"/>
  <c r="F92" i="3"/>
  <c r="Q91" i="3"/>
  <c r="P91" i="3"/>
  <c r="O91" i="3"/>
  <c r="N91" i="3"/>
  <c r="M91" i="3"/>
  <c r="L91" i="3"/>
  <c r="K91" i="3"/>
  <c r="J91" i="3"/>
  <c r="I91" i="3"/>
  <c r="G91" i="3"/>
  <c r="F91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G88" i="3"/>
  <c r="F88" i="3"/>
  <c r="Q86" i="3"/>
  <c r="P86" i="3"/>
  <c r="O86" i="3"/>
  <c r="N86" i="3"/>
  <c r="M86" i="3"/>
  <c r="L86" i="3"/>
  <c r="K86" i="3"/>
  <c r="K110" i="3" s="1"/>
  <c r="J86" i="3"/>
  <c r="I86" i="3"/>
  <c r="G86" i="3"/>
  <c r="F86" i="3"/>
  <c r="Q85" i="3"/>
  <c r="P85" i="3"/>
  <c r="O85" i="3"/>
  <c r="N85" i="3"/>
  <c r="M85" i="3"/>
  <c r="L85" i="3"/>
  <c r="K85" i="3"/>
  <c r="J85" i="3"/>
  <c r="I85" i="3"/>
  <c r="G85" i="3"/>
  <c r="F85" i="3"/>
  <c r="Q84" i="3"/>
  <c r="P84" i="3"/>
  <c r="O84" i="3"/>
  <c r="N84" i="3"/>
  <c r="M84" i="3"/>
  <c r="L84" i="3"/>
  <c r="K84" i="3"/>
  <c r="J84" i="3"/>
  <c r="I84" i="3"/>
  <c r="G84" i="3"/>
  <c r="F84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G77" i="3"/>
  <c r="F77" i="3"/>
  <c r="Q72" i="3"/>
  <c r="P72" i="3"/>
  <c r="O72" i="3"/>
  <c r="N72" i="3"/>
  <c r="M72" i="3"/>
  <c r="L72" i="3"/>
  <c r="K72" i="3"/>
  <c r="J72" i="3"/>
  <c r="I72" i="3"/>
  <c r="G72" i="3"/>
  <c r="F72" i="3"/>
  <c r="Q71" i="3"/>
  <c r="P71" i="3"/>
  <c r="O71" i="3"/>
  <c r="N71" i="3"/>
  <c r="M71" i="3"/>
  <c r="L71" i="3"/>
  <c r="K71" i="3"/>
  <c r="J71" i="3"/>
  <c r="I71" i="3"/>
  <c r="G71" i="3"/>
  <c r="F71" i="3"/>
  <c r="Q70" i="3"/>
  <c r="P70" i="3"/>
  <c r="O70" i="3"/>
  <c r="N70" i="3"/>
  <c r="M70" i="3"/>
  <c r="L70" i="3"/>
  <c r="K70" i="3"/>
  <c r="J70" i="3"/>
  <c r="I70" i="3"/>
  <c r="G70" i="3"/>
  <c r="F70" i="3"/>
  <c r="Q68" i="3"/>
  <c r="L68" i="3"/>
  <c r="K68" i="3"/>
  <c r="J68" i="3"/>
  <c r="I68" i="3"/>
  <c r="G68" i="3"/>
  <c r="F68" i="3"/>
  <c r="AA67" i="3"/>
  <c r="Z67" i="3"/>
  <c r="Y67" i="3"/>
  <c r="X67" i="3"/>
  <c r="W67" i="3"/>
  <c r="V67" i="3"/>
  <c r="U67" i="3"/>
  <c r="T67" i="3"/>
  <c r="S67" i="3"/>
  <c r="S105" i="3" s="1"/>
  <c r="R67" i="3"/>
  <c r="AA66" i="3"/>
  <c r="AA68" i="3" s="1"/>
  <c r="Z66" i="3"/>
  <c r="Y66" i="3"/>
  <c r="X66" i="3"/>
  <c r="W66" i="3"/>
  <c r="V66" i="3"/>
  <c r="U66" i="3"/>
  <c r="U68" i="3" s="1"/>
  <c r="T66" i="3"/>
  <c r="S66" i="3"/>
  <c r="R66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Q62" i="3"/>
  <c r="P62" i="3"/>
  <c r="O62" i="3"/>
  <c r="N62" i="3"/>
  <c r="M62" i="3"/>
  <c r="L62" i="3"/>
  <c r="K62" i="3"/>
  <c r="J62" i="3"/>
  <c r="I62" i="3"/>
  <c r="G62" i="3"/>
  <c r="F62" i="3"/>
  <c r="AA61" i="3"/>
  <c r="Z61" i="3"/>
  <c r="Y61" i="3"/>
  <c r="X61" i="3"/>
  <c r="W61" i="3"/>
  <c r="V61" i="3"/>
  <c r="U61" i="3"/>
  <c r="T61" i="3"/>
  <c r="S61" i="3"/>
  <c r="R61" i="3"/>
  <c r="AA60" i="3"/>
  <c r="Z60" i="3"/>
  <c r="Y60" i="3"/>
  <c r="X60" i="3"/>
  <c r="W60" i="3"/>
  <c r="V60" i="3"/>
  <c r="U60" i="3"/>
  <c r="T60" i="3"/>
  <c r="S60" i="3"/>
  <c r="R60" i="3"/>
  <c r="AA59" i="3"/>
  <c r="Z59" i="3"/>
  <c r="Y59" i="3"/>
  <c r="X59" i="3"/>
  <c r="W59" i="3"/>
  <c r="V59" i="3"/>
  <c r="U59" i="3"/>
  <c r="T59" i="3"/>
  <c r="S59" i="3"/>
  <c r="R59" i="3"/>
  <c r="K56" i="3"/>
  <c r="K63" i="3" s="1"/>
  <c r="J56" i="3"/>
  <c r="J94" i="3" s="1"/>
  <c r="I56" i="3"/>
  <c r="I94" i="3" s="1"/>
  <c r="G56" i="3"/>
  <c r="G94" i="3" s="1"/>
  <c r="F56" i="3"/>
  <c r="F63" i="3" s="1"/>
  <c r="Q55" i="3"/>
  <c r="Q57" i="3" s="1"/>
  <c r="P55" i="3"/>
  <c r="P57" i="3" s="1"/>
  <c r="O55" i="3"/>
  <c r="O57" i="3" s="1"/>
  <c r="N55" i="3"/>
  <c r="N57" i="3" s="1"/>
  <c r="M55" i="3"/>
  <c r="M57" i="3" s="1"/>
  <c r="L55" i="3"/>
  <c r="L57" i="3" s="1"/>
  <c r="K55" i="3"/>
  <c r="J55" i="3"/>
  <c r="I55" i="3"/>
  <c r="G55" i="3"/>
  <c r="F55" i="3"/>
  <c r="F57" i="3" s="1"/>
  <c r="AA54" i="3"/>
  <c r="Z54" i="3"/>
  <c r="Y54" i="3"/>
  <c r="X54" i="3"/>
  <c r="W54" i="3"/>
  <c r="V54" i="3"/>
  <c r="U54" i="3"/>
  <c r="T54" i="3"/>
  <c r="S54" i="3"/>
  <c r="R54" i="3"/>
  <c r="AA53" i="3"/>
  <c r="Z53" i="3"/>
  <c r="Y53" i="3"/>
  <c r="X53" i="3"/>
  <c r="W53" i="3"/>
  <c r="V53" i="3"/>
  <c r="U53" i="3"/>
  <c r="T53" i="3"/>
  <c r="S53" i="3"/>
  <c r="R53" i="3"/>
  <c r="Q49" i="3"/>
  <c r="Q51" i="3" s="1"/>
  <c r="P49" i="3"/>
  <c r="P51" i="3" s="1"/>
  <c r="O49" i="3"/>
  <c r="O51" i="3" s="1"/>
  <c r="N49" i="3"/>
  <c r="N51" i="3" s="1"/>
  <c r="M49" i="3"/>
  <c r="M51" i="3" s="1"/>
  <c r="L49" i="3"/>
  <c r="L51" i="3" s="1"/>
  <c r="K49" i="3"/>
  <c r="K51" i="3" s="1"/>
  <c r="J49" i="3"/>
  <c r="J51" i="3" s="1"/>
  <c r="I49" i="3"/>
  <c r="I51" i="3" s="1"/>
  <c r="G49" i="3"/>
  <c r="G51" i="3" s="1"/>
  <c r="F49" i="3"/>
  <c r="F51" i="3" s="1"/>
  <c r="AA48" i="3"/>
  <c r="Z48" i="3"/>
  <c r="Y48" i="3"/>
  <c r="X48" i="3"/>
  <c r="W48" i="3"/>
  <c r="V48" i="3"/>
  <c r="U48" i="3"/>
  <c r="T48" i="3"/>
  <c r="S48" i="3"/>
  <c r="R48" i="3"/>
  <c r="AA47" i="3"/>
  <c r="Z47" i="3"/>
  <c r="Y47" i="3"/>
  <c r="X47" i="3"/>
  <c r="W47" i="3"/>
  <c r="V47" i="3"/>
  <c r="U47" i="3"/>
  <c r="T47" i="3"/>
  <c r="S47" i="3"/>
  <c r="R47" i="3"/>
  <c r="AA46" i="3"/>
  <c r="Z46" i="3"/>
  <c r="Y46" i="3"/>
  <c r="X46" i="3"/>
  <c r="W46" i="3"/>
  <c r="V46" i="3"/>
  <c r="U46" i="3"/>
  <c r="T46" i="3"/>
  <c r="S46" i="3"/>
  <c r="R46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G42" i="3"/>
  <c r="F42" i="3"/>
  <c r="Q37" i="3"/>
  <c r="P37" i="3"/>
  <c r="O37" i="3"/>
  <c r="N37" i="3"/>
  <c r="M37" i="3"/>
  <c r="L37" i="3"/>
  <c r="K37" i="3"/>
  <c r="J37" i="3"/>
  <c r="I37" i="3"/>
  <c r="H37" i="3"/>
  <c r="G37" i="3"/>
  <c r="F37" i="3"/>
  <c r="Q36" i="3"/>
  <c r="P36" i="3"/>
  <c r="O36" i="3"/>
  <c r="N36" i="3"/>
  <c r="M36" i="3"/>
  <c r="L36" i="3"/>
  <c r="K36" i="3"/>
  <c r="J36" i="3"/>
  <c r="I36" i="3"/>
  <c r="H36" i="3"/>
  <c r="G36" i="3"/>
  <c r="F36" i="3"/>
  <c r="Q35" i="3"/>
  <c r="P35" i="3"/>
  <c r="O35" i="3"/>
  <c r="N35" i="3"/>
  <c r="M35" i="3"/>
  <c r="L35" i="3"/>
  <c r="K35" i="3"/>
  <c r="J35" i="3"/>
  <c r="I35" i="3"/>
  <c r="H35" i="3"/>
  <c r="G35" i="3"/>
  <c r="F35" i="3"/>
  <c r="Q33" i="3"/>
  <c r="L33" i="3"/>
  <c r="K33" i="3"/>
  <c r="J33" i="3"/>
  <c r="I33" i="3"/>
  <c r="H33" i="3"/>
  <c r="G33" i="3"/>
  <c r="F33" i="3"/>
  <c r="AA32" i="3"/>
  <c r="Z32" i="3"/>
  <c r="Y32" i="3"/>
  <c r="X32" i="3"/>
  <c r="W32" i="3"/>
  <c r="V32" i="3"/>
  <c r="U32" i="3"/>
  <c r="T32" i="3"/>
  <c r="R32" i="3"/>
  <c r="AA31" i="3"/>
  <c r="Z31" i="3"/>
  <c r="Y31" i="3"/>
  <c r="X31" i="3"/>
  <c r="W31" i="3"/>
  <c r="V31" i="3"/>
  <c r="U31" i="3"/>
  <c r="T31" i="3"/>
  <c r="S31" i="3"/>
  <c r="R31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G28" i="3"/>
  <c r="F28" i="3"/>
  <c r="Q27" i="3"/>
  <c r="P27" i="3"/>
  <c r="O27" i="3"/>
  <c r="N27" i="3"/>
  <c r="M27" i="3"/>
  <c r="L27" i="3"/>
  <c r="K27" i="3"/>
  <c r="J27" i="3"/>
  <c r="I27" i="3"/>
  <c r="H27" i="3"/>
  <c r="G27" i="3"/>
  <c r="F27" i="3"/>
  <c r="AA26" i="3"/>
  <c r="Z26" i="3"/>
  <c r="Y26" i="3"/>
  <c r="X26" i="3"/>
  <c r="W26" i="3"/>
  <c r="W99" i="3" s="1"/>
  <c r="V26" i="3"/>
  <c r="U26" i="3"/>
  <c r="T26" i="3"/>
  <c r="T37" i="3" s="1"/>
  <c r="S26" i="3"/>
  <c r="R26" i="3"/>
  <c r="AA25" i="3"/>
  <c r="Z25" i="3"/>
  <c r="Y25" i="3"/>
  <c r="X25" i="3"/>
  <c r="W25" i="3"/>
  <c r="V25" i="3"/>
  <c r="U25" i="3"/>
  <c r="U98" i="3" s="1"/>
  <c r="T25" i="3"/>
  <c r="S25" i="3"/>
  <c r="R25" i="3"/>
  <c r="AA24" i="3"/>
  <c r="Z24" i="3"/>
  <c r="Y24" i="3"/>
  <c r="Y97" i="3" s="1"/>
  <c r="X24" i="3"/>
  <c r="W24" i="3"/>
  <c r="V24" i="3"/>
  <c r="U24" i="3"/>
  <c r="T24" i="3"/>
  <c r="S24" i="3"/>
  <c r="R24" i="3"/>
  <c r="Q20" i="3"/>
  <c r="Q22" i="3" s="1"/>
  <c r="P20" i="3"/>
  <c r="P22" i="3" s="1"/>
  <c r="O20" i="3"/>
  <c r="O22" i="3" s="1"/>
  <c r="N20" i="3"/>
  <c r="N22" i="3" s="1"/>
  <c r="M20" i="3"/>
  <c r="M22" i="3" s="1"/>
  <c r="L20" i="3"/>
  <c r="L22" i="3" s="1"/>
  <c r="K20" i="3"/>
  <c r="K22" i="3" s="1"/>
  <c r="J20" i="3"/>
  <c r="J22" i="3" s="1"/>
  <c r="I20" i="3"/>
  <c r="I22" i="3" s="1"/>
  <c r="H20" i="3"/>
  <c r="G20" i="3"/>
  <c r="G22" i="3" s="1"/>
  <c r="F20" i="3"/>
  <c r="F22" i="3" s="1"/>
  <c r="AA19" i="3"/>
  <c r="V19" i="3"/>
  <c r="S19" i="3"/>
  <c r="R19" i="3"/>
  <c r="R92" i="3" s="1"/>
  <c r="AA18" i="3"/>
  <c r="Z18" i="3"/>
  <c r="Y18" i="3"/>
  <c r="X18" i="3"/>
  <c r="W18" i="3"/>
  <c r="V18" i="3"/>
  <c r="U18" i="3"/>
  <c r="T18" i="3"/>
  <c r="S18" i="3"/>
  <c r="R18" i="3"/>
  <c r="Q14" i="3"/>
  <c r="Q16" i="3" s="1"/>
  <c r="P14" i="3"/>
  <c r="P16" i="3" s="1"/>
  <c r="O14" i="3"/>
  <c r="O16" i="3" s="1"/>
  <c r="N14" i="3"/>
  <c r="N16" i="3" s="1"/>
  <c r="M14" i="3"/>
  <c r="M16" i="3" s="1"/>
  <c r="L14" i="3"/>
  <c r="L16" i="3" s="1"/>
  <c r="K14" i="3"/>
  <c r="K16" i="3" s="1"/>
  <c r="J14" i="3"/>
  <c r="J16" i="3" s="1"/>
  <c r="I14" i="3"/>
  <c r="I16" i="3" s="1"/>
  <c r="H14" i="3"/>
  <c r="G14" i="3"/>
  <c r="G16" i="3" s="1"/>
  <c r="F14" i="3"/>
  <c r="F16" i="3" s="1"/>
  <c r="AA13" i="3"/>
  <c r="Z13" i="3"/>
  <c r="Y13" i="3"/>
  <c r="X13" i="3"/>
  <c r="W13" i="3"/>
  <c r="V13" i="3"/>
  <c r="U13" i="3"/>
  <c r="S13" i="3"/>
  <c r="R13" i="3"/>
  <c r="AA12" i="3"/>
  <c r="Z12" i="3"/>
  <c r="Y12" i="3"/>
  <c r="X12" i="3"/>
  <c r="W12" i="3"/>
  <c r="V12" i="3"/>
  <c r="U12" i="3"/>
  <c r="T12" i="3"/>
  <c r="T85" i="3" s="1"/>
  <c r="S12" i="3"/>
  <c r="R12" i="3"/>
  <c r="AA11" i="3"/>
  <c r="Z11" i="3"/>
  <c r="Y11" i="3"/>
  <c r="X11" i="3"/>
  <c r="W11" i="3"/>
  <c r="V11" i="3"/>
  <c r="U11" i="3"/>
  <c r="T11" i="3"/>
  <c r="S11" i="3"/>
  <c r="R11" i="3"/>
  <c r="U115" i="2"/>
  <c r="AA114" i="2"/>
  <c r="Z114" i="2"/>
  <c r="Y114" i="2"/>
  <c r="X114" i="2"/>
  <c r="W114" i="2"/>
  <c r="V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G114" i="2"/>
  <c r="F114" i="2"/>
  <c r="AA113" i="2"/>
  <c r="AA115" i="2" s="1"/>
  <c r="Z113" i="2"/>
  <c r="Y113" i="2"/>
  <c r="W113" i="2"/>
  <c r="V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G113" i="2"/>
  <c r="F113" i="2"/>
  <c r="Q105" i="2"/>
  <c r="Q104" i="2"/>
  <c r="P104" i="2"/>
  <c r="P106" i="2" s="1"/>
  <c r="O104" i="2"/>
  <c r="O106" i="2" s="1"/>
  <c r="N104" i="2"/>
  <c r="N106" i="2" s="1"/>
  <c r="M104" i="2"/>
  <c r="M106" i="2" s="1"/>
  <c r="L104" i="2"/>
  <c r="L106" i="2" s="1"/>
  <c r="K104" i="2"/>
  <c r="K106" i="2" s="1"/>
  <c r="J104" i="2"/>
  <c r="J106" i="2" s="1"/>
  <c r="I104" i="2"/>
  <c r="I106" i="2" s="1"/>
  <c r="G104" i="2"/>
  <c r="G106" i="2" s="1"/>
  <c r="F104" i="2"/>
  <c r="F106" i="2" s="1"/>
  <c r="Q99" i="2"/>
  <c r="P99" i="2"/>
  <c r="O99" i="2"/>
  <c r="N99" i="2"/>
  <c r="M99" i="2"/>
  <c r="L99" i="2"/>
  <c r="K99" i="2"/>
  <c r="J99" i="2"/>
  <c r="I99" i="2"/>
  <c r="G99" i="2"/>
  <c r="F99" i="2"/>
  <c r="Q98" i="2"/>
  <c r="P98" i="2"/>
  <c r="O98" i="2"/>
  <c r="N98" i="2"/>
  <c r="M98" i="2"/>
  <c r="L98" i="2"/>
  <c r="K98" i="2"/>
  <c r="J98" i="2"/>
  <c r="I98" i="2"/>
  <c r="G98" i="2"/>
  <c r="F98" i="2"/>
  <c r="Q97" i="2"/>
  <c r="P97" i="2"/>
  <c r="O97" i="2"/>
  <c r="N97" i="2"/>
  <c r="M97" i="2"/>
  <c r="L97" i="2"/>
  <c r="K97" i="2"/>
  <c r="J97" i="2"/>
  <c r="I97" i="2"/>
  <c r="G97" i="2"/>
  <c r="F97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J94" i="2"/>
  <c r="Q92" i="2"/>
  <c r="P92" i="2"/>
  <c r="O92" i="2"/>
  <c r="N92" i="2"/>
  <c r="M92" i="2"/>
  <c r="L92" i="2"/>
  <c r="K92" i="2"/>
  <c r="J92" i="2"/>
  <c r="I92" i="2"/>
  <c r="G92" i="2"/>
  <c r="F92" i="2"/>
  <c r="Q91" i="2"/>
  <c r="P91" i="2"/>
  <c r="O91" i="2"/>
  <c r="N91" i="2"/>
  <c r="M91" i="2"/>
  <c r="L91" i="2"/>
  <c r="K91" i="2"/>
  <c r="J91" i="2"/>
  <c r="I91" i="2"/>
  <c r="G91" i="2"/>
  <c r="F91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G88" i="2"/>
  <c r="F88" i="2"/>
  <c r="Q86" i="2"/>
  <c r="P86" i="2"/>
  <c r="O86" i="2"/>
  <c r="N86" i="2"/>
  <c r="M86" i="2"/>
  <c r="L86" i="2"/>
  <c r="K86" i="2"/>
  <c r="J86" i="2"/>
  <c r="I86" i="2"/>
  <c r="G86" i="2"/>
  <c r="F86" i="2"/>
  <c r="Q85" i="2"/>
  <c r="P85" i="2"/>
  <c r="O85" i="2"/>
  <c r="N85" i="2"/>
  <c r="M85" i="2"/>
  <c r="L85" i="2"/>
  <c r="K85" i="2"/>
  <c r="J85" i="2"/>
  <c r="I85" i="2"/>
  <c r="G85" i="2"/>
  <c r="F85" i="2"/>
  <c r="Q84" i="2"/>
  <c r="P84" i="2"/>
  <c r="O84" i="2"/>
  <c r="N84" i="2"/>
  <c r="M84" i="2"/>
  <c r="L84" i="2"/>
  <c r="K84" i="2"/>
  <c r="J84" i="2"/>
  <c r="I84" i="2"/>
  <c r="G84" i="2"/>
  <c r="F84" i="2"/>
  <c r="AA77" i="2"/>
  <c r="Z77" i="2"/>
  <c r="Y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G77" i="2"/>
  <c r="F77" i="2"/>
  <c r="X75" i="2"/>
  <c r="Q72" i="2"/>
  <c r="P72" i="2"/>
  <c r="O72" i="2"/>
  <c r="N72" i="2"/>
  <c r="M72" i="2"/>
  <c r="L72" i="2"/>
  <c r="K72" i="2"/>
  <c r="J72" i="2"/>
  <c r="I72" i="2"/>
  <c r="G72" i="2"/>
  <c r="F72" i="2"/>
  <c r="Q71" i="2"/>
  <c r="P71" i="2"/>
  <c r="O71" i="2"/>
  <c r="N71" i="2"/>
  <c r="M71" i="2"/>
  <c r="L71" i="2"/>
  <c r="K71" i="2"/>
  <c r="J71" i="2"/>
  <c r="I71" i="2"/>
  <c r="G71" i="2"/>
  <c r="F71" i="2"/>
  <c r="Q70" i="2"/>
  <c r="P70" i="2"/>
  <c r="O70" i="2"/>
  <c r="N70" i="2"/>
  <c r="M70" i="2"/>
  <c r="L70" i="2"/>
  <c r="K70" i="2"/>
  <c r="J70" i="2"/>
  <c r="I70" i="2"/>
  <c r="G70" i="2"/>
  <c r="F70" i="2"/>
  <c r="Q68" i="2"/>
  <c r="L68" i="2"/>
  <c r="K68" i="2"/>
  <c r="J68" i="2"/>
  <c r="I68" i="2"/>
  <c r="G68" i="2"/>
  <c r="F68" i="2"/>
  <c r="AA67" i="2"/>
  <c r="Z67" i="2"/>
  <c r="Y67" i="2"/>
  <c r="X67" i="2"/>
  <c r="W67" i="2"/>
  <c r="V67" i="2"/>
  <c r="U67" i="2"/>
  <c r="T67" i="2"/>
  <c r="S67" i="2"/>
  <c r="R67" i="2"/>
  <c r="AA66" i="2"/>
  <c r="Z66" i="2"/>
  <c r="Y66" i="2"/>
  <c r="X66" i="2"/>
  <c r="W66" i="2"/>
  <c r="V66" i="2"/>
  <c r="U66" i="2"/>
  <c r="T66" i="2"/>
  <c r="S66" i="2"/>
  <c r="R66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J63" i="2"/>
  <c r="Q62" i="2"/>
  <c r="P62" i="2"/>
  <c r="O62" i="2"/>
  <c r="N62" i="2"/>
  <c r="M62" i="2"/>
  <c r="L62" i="2"/>
  <c r="K62" i="2"/>
  <c r="J62" i="2"/>
  <c r="I62" i="2"/>
  <c r="G62" i="2"/>
  <c r="F62" i="2"/>
  <c r="AA61" i="2"/>
  <c r="Z61" i="2"/>
  <c r="Y61" i="2"/>
  <c r="X61" i="2"/>
  <c r="W61" i="2"/>
  <c r="V61" i="2"/>
  <c r="U61" i="2"/>
  <c r="T61" i="2"/>
  <c r="S61" i="2"/>
  <c r="S99" i="2" s="1"/>
  <c r="R61" i="2"/>
  <c r="AA60" i="2"/>
  <c r="Z60" i="2"/>
  <c r="Y60" i="2"/>
  <c r="X60" i="2"/>
  <c r="W60" i="2"/>
  <c r="V60" i="2"/>
  <c r="U60" i="2"/>
  <c r="T60" i="2"/>
  <c r="S60" i="2"/>
  <c r="S98" i="2" s="1"/>
  <c r="R60" i="2"/>
  <c r="AA59" i="2"/>
  <c r="Z59" i="2"/>
  <c r="Y59" i="2"/>
  <c r="X59" i="2"/>
  <c r="W59" i="2"/>
  <c r="V59" i="2"/>
  <c r="U59" i="2"/>
  <c r="T59" i="2"/>
  <c r="S59" i="2"/>
  <c r="R59" i="2"/>
  <c r="L56" i="2"/>
  <c r="L94" i="2" s="1"/>
  <c r="K56" i="2"/>
  <c r="K63" i="2" s="1"/>
  <c r="I56" i="2"/>
  <c r="G56" i="2"/>
  <c r="G94" i="2" s="1"/>
  <c r="F56" i="2"/>
  <c r="Q55" i="2"/>
  <c r="Q57" i="2" s="1"/>
  <c r="P55" i="2"/>
  <c r="P57" i="2" s="1"/>
  <c r="O55" i="2"/>
  <c r="O57" i="2" s="1"/>
  <c r="N55" i="2"/>
  <c r="N57" i="2" s="1"/>
  <c r="M55" i="2"/>
  <c r="M57" i="2" s="1"/>
  <c r="L55" i="2"/>
  <c r="K55" i="2"/>
  <c r="J55" i="2"/>
  <c r="J57" i="2" s="1"/>
  <c r="I55" i="2"/>
  <c r="G55" i="2"/>
  <c r="F55" i="2"/>
  <c r="AA54" i="2"/>
  <c r="Z54" i="2"/>
  <c r="Y54" i="2"/>
  <c r="X54" i="2"/>
  <c r="W54" i="2"/>
  <c r="V54" i="2"/>
  <c r="U54" i="2"/>
  <c r="T54" i="2"/>
  <c r="S54" i="2"/>
  <c r="R54" i="2"/>
  <c r="AA53" i="2"/>
  <c r="Z53" i="2"/>
  <c r="Y53" i="2"/>
  <c r="X53" i="2"/>
  <c r="W53" i="2"/>
  <c r="V53" i="2"/>
  <c r="U53" i="2"/>
  <c r="T53" i="2"/>
  <c r="S53" i="2"/>
  <c r="R53" i="2"/>
  <c r="Q49" i="2"/>
  <c r="Q51" i="2" s="1"/>
  <c r="P49" i="2"/>
  <c r="P51" i="2" s="1"/>
  <c r="O49" i="2"/>
  <c r="O51" i="2" s="1"/>
  <c r="N49" i="2"/>
  <c r="N51" i="2" s="1"/>
  <c r="M49" i="2"/>
  <c r="M51" i="2" s="1"/>
  <c r="L49" i="2"/>
  <c r="L51" i="2" s="1"/>
  <c r="K49" i="2"/>
  <c r="K51" i="2" s="1"/>
  <c r="J49" i="2"/>
  <c r="J51" i="2" s="1"/>
  <c r="I49" i="2"/>
  <c r="I51" i="2" s="1"/>
  <c r="G49" i="2"/>
  <c r="G51" i="2" s="1"/>
  <c r="F49" i="2"/>
  <c r="F51" i="2" s="1"/>
  <c r="AA48" i="2"/>
  <c r="Z48" i="2"/>
  <c r="Y48" i="2"/>
  <c r="X48" i="2"/>
  <c r="W48" i="2"/>
  <c r="V48" i="2"/>
  <c r="U48" i="2"/>
  <c r="T48" i="2"/>
  <c r="S48" i="2"/>
  <c r="R48" i="2"/>
  <c r="AA47" i="2"/>
  <c r="Z47" i="2"/>
  <c r="Y47" i="2"/>
  <c r="X47" i="2"/>
  <c r="W47" i="2"/>
  <c r="V47" i="2"/>
  <c r="U47" i="2"/>
  <c r="T47" i="2"/>
  <c r="S47" i="2"/>
  <c r="R47" i="2"/>
  <c r="AA46" i="2"/>
  <c r="Z46" i="2"/>
  <c r="Y46" i="2"/>
  <c r="X46" i="2"/>
  <c r="W46" i="2"/>
  <c r="V46" i="2"/>
  <c r="U46" i="2"/>
  <c r="T46" i="2"/>
  <c r="S46" i="2"/>
  <c r="R46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G42" i="2"/>
  <c r="F42" i="2"/>
  <c r="Q37" i="2"/>
  <c r="P37" i="2"/>
  <c r="O37" i="2"/>
  <c r="N37" i="2"/>
  <c r="M37" i="2"/>
  <c r="L37" i="2"/>
  <c r="K37" i="2"/>
  <c r="J37" i="2"/>
  <c r="I37" i="2"/>
  <c r="H37" i="2"/>
  <c r="G37" i="2"/>
  <c r="F37" i="2"/>
  <c r="Q36" i="2"/>
  <c r="P36" i="2"/>
  <c r="O36" i="2"/>
  <c r="N36" i="2"/>
  <c r="M36" i="2"/>
  <c r="L36" i="2"/>
  <c r="K36" i="2"/>
  <c r="J36" i="2"/>
  <c r="I36" i="2"/>
  <c r="H36" i="2"/>
  <c r="G36" i="2"/>
  <c r="F36" i="2"/>
  <c r="Q35" i="2"/>
  <c r="P35" i="2"/>
  <c r="O35" i="2"/>
  <c r="N35" i="2"/>
  <c r="M35" i="2"/>
  <c r="L35" i="2"/>
  <c r="K35" i="2"/>
  <c r="K38" i="2" s="1"/>
  <c r="J35" i="2"/>
  <c r="J38" i="2" s="1"/>
  <c r="I35" i="2"/>
  <c r="I38" i="2" s="1"/>
  <c r="H35" i="2"/>
  <c r="H38" i="2" s="1"/>
  <c r="H111" i="2" s="1"/>
  <c r="G35" i="2"/>
  <c r="G38" i="2" s="1"/>
  <c r="F35" i="2"/>
  <c r="F38" i="2" s="1"/>
  <c r="Q33" i="2"/>
  <c r="L33" i="2"/>
  <c r="K33" i="2"/>
  <c r="J33" i="2"/>
  <c r="I33" i="2"/>
  <c r="H33" i="2"/>
  <c r="G33" i="2"/>
  <c r="F33" i="2"/>
  <c r="AA32" i="2"/>
  <c r="Z32" i="2"/>
  <c r="Y32" i="2"/>
  <c r="X32" i="2"/>
  <c r="W32" i="2"/>
  <c r="V32" i="2"/>
  <c r="U32" i="2"/>
  <c r="T32" i="2"/>
  <c r="S32" i="2"/>
  <c r="R32" i="2"/>
  <c r="AA31" i="2"/>
  <c r="Z31" i="2"/>
  <c r="Y31" i="2"/>
  <c r="X31" i="2"/>
  <c r="W31" i="2"/>
  <c r="V31" i="2"/>
  <c r="U31" i="2"/>
  <c r="T31" i="2"/>
  <c r="S31" i="2"/>
  <c r="R31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G28" i="2"/>
  <c r="F28" i="2"/>
  <c r="Q27" i="2"/>
  <c r="P27" i="2"/>
  <c r="O27" i="2"/>
  <c r="N27" i="2"/>
  <c r="M27" i="2"/>
  <c r="L27" i="2"/>
  <c r="K27" i="2"/>
  <c r="J27" i="2"/>
  <c r="I27" i="2"/>
  <c r="H27" i="2"/>
  <c r="G27" i="2"/>
  <c r="F27" i="2"/>
  <c r="AA26" i="2"/>
  <c r="Z26" i="2"/>
  <c r="Y26" i="2"/>
  <c r="X26" i="2"/>
  <c r="W26" i="2"/>
  <c r="V26" i="2"/>
  <c r="U26" i="2"/>
  <c r="T26" i="2"/>
  <c r="R26" i="2"/>
  <c r="AA25" i="2"/>
  <c r="Z25" i="2"/>
  <c r="Y25" i="2"/>
  <c r="X25" i="2"/>
  <c r="W25" i="2"/>
  <c r="V25" i="2"/>
  <c r="U25" i="2"/>
  <c r="T25" i="2"/>
  <c r="R25" i="2"/>
  <c r="R98" i="2" s="1"/>
  <c r="AA24" i="2"/>
  <c r="Z24" i="2"/>
  <c r="Y24" i="2"/>
  <c r="Y97" i="2" s="1"/>
  <c r="X24" i="2"/>
  <c r="W24" i="2"/>
  <c r="V24" i="2"/>
  <c r="U24" i="2"/>
  <c r="T24" i="2"/>
  <c r="S24" i="2"/>
  <c r="R24" i="2"/>
  <c r="Q20" i="2"/>
  <c r="Q22" i="2" s="1"/>
  <c r="P20" i="2"/>
  <c r="P22" i="2" s="1"/>
  <c r="O20" i="2"/>
  <c r="O22" i="2" s="1"/>
  <c r="N20" i="2"/>
  <c r="N22" i="2" s="1"/>
  <c r="M20" i="2"/>
  <c r="M22" i="2" s="1"/>
  <c r="L20" i="2"/>
  <c r="L22" i="2" s="1"/>
  <c r="K20" i="2"/>
  <c r="K22" i="2" s="1"/>
  <c r="J20" i="2"/>
  <c r="J22" i="2" s="1"/>
  <c r="I20" i="2"/>
  <c r="I22" i="2" s="1"/>
  <c r="H20" i="2"/>
  <c r="G20" i="2"/>
  <c r="G22" i="2" s="1"/>
  <c r="F20" i="2"/>
  <c r="F22" i="2" s="1"/>
  <c r="AA19" i="2"/>
  <c r="Z19" i="2"/>
  <c r="Y19" i="2"/>
  <c r="X19" i="2"/>
  <c r="W19" i="2"/>
  <c r="V19" i="2"/>
  <c r="U19" i="2"/>
  <c r="T19" i="2"/>
  <c r="S19" i="2"/>
  <c r="R19" i="2"/>
  <c r="AA18" i="2"/>
  <c r="Z18" i="2"/>
  <c r="Y18" i="2"/>
  <c r="X18" i="2"/>
  <c r="W18" i="2"/>
  <c r="V18" i="2"/>
  <c r="U18" i="2"/>
  <c r="T18" i="2"/>
  <c r="S18" i="2"/>
  <c r="R18" i="2"/>
  <c r="Q14" i="2"/>
  <c r="Q16" i="2" s="1"/>
  <c r="P14" i="2"/>
  <c r="P16" i="2" s="1"/>
  <c r="O14" i="2"/>
  <c r="O16" i="2" s="1"/>
  <c r="N14" i="2"/>
  <c r="N16" i="2" s="1"/>
  <c r="M14" i="2"/>
  <c r="M16" i="2" s="1"/>
  <c r="L14" i="2"/>
  <c r="L16" i="2" s="1"/>
  <c r="K14" i="2"/>
  <c r="K16" i="2" s="1"/>
  <c r="J14" i="2"/>
  <c r="J16" i="2" s="1"/>
  <c r="I14" i="2"/>
  <c r="I16" i="2" s="1"/>
  <c r="H14" i="2"/>
  <c r="G14" i="2"/>
  <c r="G16" i="2" s="1"/>
  <c r="F14" i="2"/>
  <c r="F16" i="2" s="1"/>
  <c r="AA13" i="2"/>
  <c r="Z13" i="2"/>
  <c r="Y13" i="2"/>
  <c r="X13" i="2"/>
  <c r="W13" i="2"/>
  <c r="V13" i="2"/>
  <c r="U13" i="2"/>
  <c r="T13" i="2"/>
  <c r="S13" i="2"/>
  <c r="R13" i="2"/>
  <c r="AA12" i="2"/>
  <c r="Z12" i="2"/>
  <c r="Z85" i="2" s="1"/>
  <c r="Y12" i="2"/>
  <c r="X12" i="2"/>
  <c r="W12" i="2"/>
  <c r="V12" i="2"/>
  <c r="U12" i="2"/>
  <c r="T12" i="2"/>
  <c r="S12" i="2"/>
  <c r="R12" i="2"/>
  <c r="AA11" i="2"/>
  <c r="Z11" i="2"/>
  <c r="Y11" i="2"/>
  <c r="X11" i="2"/>
  <c r="W11" i="2"/>
  <c r="V11" i="2"/>
  <c r="U11" i="2"/>
  <c r="T11" i="2"/>
  <c r="S11" i="2"/>
  <c r="R11" i="2"/>
  <c r="R105" i="3" l="1"/>
  <c r="P115" i="3"/>
  <c r="T97" i="4"/>
  <c r="W72" i="3"/>
  <c r="AA98" i="3"/>
  <c r="X84" i="2"/>
  <c r="F29" i="3"/>
  <c r="F38" i="3"/>
  <c r="Z85" i="3"/>
  <c r="G29" i="3"/>
  <c r="G38" i="3"/>
  <c r="J57" i="3"/>
  <c r="J115" i="3"/>
  <c r="J38" i="3"/>
  <c r="W115" i="3"/>
  <c r="L38" i="3"/>
  <c r="I38" i="3"/>
  <c r="K38" i="3"/>
  <c r="V37" i="3"/>
  <c r="M38" i="3"/>
  <c r="AA55" i="3"/>
  <c r="AA57" i="3" s="1"/>
  <c r="N38" i="3"/>
  <c r="O38" i="3"/>
  <c r="H38" i="3"/>
  <c r="H111" i="3" s="1"/>
  <c r="V91" i="3"/>
  <c r="S97" i="3"/>
  <c r="Q38" i="3"/>
  <c r="K115" i="5"/>
  <c r="G57" i="5"/>
  <c r="L38" i="2"/>
  <c r="N38" i="2"/>
  <c r="P38" i="2"/>
  <c r="V97" i="2"/>
  <c r="M38" i="2"/>
  <c r="O38" i="2"/>
  <c r="R68" i="2"/>
  <c r="X68" i="2"/>
  <c r="G22" i="4"/>
  <c r="Z85" i="4"/>
  <c r="Z87" i="4" s="1"/>
  <c r="Z89" i="4" s="1"/>
  <c r="H38" i="4"/>
  <c r="N115" i="4"/>
  <c r="R104" i="4"/>
  <c r="J87" i="4"/>
  <c r="I38" i="4"/>
  <c r="W115" i="4"/>
  <c r="F115" i="4"/>
  <c r="J115" i="4"/>
  <c r="H22" i="4"/>
  <c r="K22" i="4"/>
  <c r="G38" i="4"/>
  <c r="K38" i="4"/>
  <c r="K57" i="3"/>
  <c r="W91" i="2"/>
  <c r="S92" i="2"/>
  <c r="Z104" i="2"/>
  <c r="U62" i="2"/>
  <c r="U64" i="2" s="1"/>
  <c r="AA62" i="2"/>
  <c r="AA64" i="2" s="1"/>
  <c r="W97" i="3"/>
  <c r="S98" i="3"/>
  <c r="Y98" i="3"/>
  <c r="U99" i="3"/>
  <c r="AA99" i="3"/>
  <c r="T104" i="3"/>
  <c r="U62" i="3"/>
  <c r="U64" i="3" s="1"/>
  <c r="AA62" i="3"/>
  <c r="AA64" i="3" s="1"/>
  <c r="K115" i="3"/>
  <c r="Q115" i="3"/>
  <c r="Y97" i="4"/>
  <c r="U72" i="3"/>
  <c r="U99" i="2"/>
  <c r="V105" i="3"/>
  <c r="U72" i="2"/>
  <c r="T105" i="4"/>
  <c r="R85" i="2"/>
  <c r="T86" i="2"/>
  <c r="S55" i="2"/>
  <c r="S57" i="2" s="1"/>
  <c r="V68" i="3"/>
  <c r="AA14" i="5"/>
  <c r="AA16" i="5" s="1"/>
  <c r="X27" i="5"/>
  <c r="X29" i="5" s="1"/>
  <c r="R84" i="4"/>
  <c r="G57" i="4"/>
  <c r="V85" i="4"/>
  <c r="U91" i="4"/>
  <c r="U93" i="4" s="1"/>
  <c r="U95" i="4" s="1"/>
  <c r="R98" i="4"/>
  <c r="T99" i="4"/>
  <c r="T110" i="4" s="1"/>
  <c r="G57" i="3"/>
  <c r="U85" i="3"/>
  <c r="T91" i="3"/>
  <c r="Z91" i="3"/>
  <c r="V55" i="3"/>
  <c r="V57" i="3" s="1"/>
  <c r="Y105" i="3"/>
  <c r="Z37" i="3"/>
  <c r="Z105" i="3"/>
  <c r="G115" i="3"/>
  <c r="N115" i="3"/>
  <c r="T115" i="3"/>
  <c r="AA115" i="3"/>
  <c r="L57" i="2"/>
  <c r="V99" i="2"/>
  <c r="X91" i="2"/>
  <c r="U36" i="2"/>
  <c r="S91" i="2"/>
  <c r="AA92" i="2"/>
  <c r="Z98" i="2"/>
  <c r="V104" i="2"/>
  <c r="X105" i="2"/>
  <c r="X86" i="3"/>
  <c r="S72" i="3"/>
  <c r="Y72" i="3"/>
  <c r="L115" i="5"/>
  <c r="R115" i="5"/>
  <c r="AA55" i="2"/>
  <c r="AA57" i="2" s="1"/>
  <c r="Y91" i="2"/>
  <c r="R97" i="2"/>
  <c r="X97" i="2"/>
  <c r="AA98" i="2"/>
  <c r="Z35" i="3"/>
  <c r="V85" i="3"/>
  <c r="R86" i="3"/>
  <c r="Z91" i="4"/>
  <c r="Z93" i="4" s="1"/>
  <c r="Z95" i="4" s="1"/>
  <c r="I94" i="4"/>
  <c r="U97" i="4"/>
  <c r="AA27" i="4"/>
  <c r="AA29" i="4" s="1"/>
  <c r="S99" i="4"/>
  <c r="U68" i="4"/>
  <c r="X104" i="3"/>
  <c r="Y62" i="3"/>
  <c r="Y64" i="3" s="1"/>
  <c r="V72" i="2"/>
  <c r="T55" i="2"/>
  <c r="T57" i="2" s="1"/>
  <c r="Z55" i="2"/>
  <c r="Z57" i="2" s="1"/>
  <c r="F57" i="2"/>
  <c r="W68" i="2"/>
  <c r="R91" i="3"/>
  <c r="R93" i="3" s="1"/>
  <c r="R95" i="3" s="1"/>
  <c r="X91" i="3"/>
  <c r="T55" i="3"/>
  <c r="T57" i="3" s="1"/>
  <c r="Z55" i="3"/>
  <c r="Z57" i="3" s="1"/>
  <c r="Z62" i="3"/>
  <c r="Z64" i="3" s="1"/>
  <c r="W68" i="3"/>
  <c r="Z104" i="4"/>
  <c r="P38" i="3"/>
  <c r="Q38" i="2"/>
  <c r="Y99" i="2"/>
  <c r="U97" i="2"/>
  <c r="AA71" i="2"/>
  <c r="V55" i="2"/>
  <c r="V57" i="2" s="1"/>
  <c r="Z62" i="2"/>
  <c r="Z64" i="2" s="1"/>
  <c r="T68" i="3"/>
  <c r="I57" i="3"/>
  <c r="V49" i="3"/>
  <c r="V51" i="3" s="1"/>
  <c r="S14" i="5"/>
  <c r="S16" i="5" s="1"/>
  <c r="AA97" i="5"/>
  <c r="R55" i="4"/>
  <c r="R57" i="4" s="1"/>
  <c r="J57" i="4"/>
  <c r="Y68" i="4"/>
  <c r="F115" i="5"/>
  <c r="M115" i="5"/>
  <c r="S115" i="5"/>
  <c r="S93" i="4"/>
  <c r="S95" i="4" s="1"/>
  <c r="J110" i="3"/>
  <c r="I115" i="3"/>
  <c r="O115" i="3"/>
  <c r="V115" i="3"/>
  <c r="R72" i="2"/>
  <c r="G93" i="3"/>
  <c r="G95" i="3" s="1"/>
  <c r="Y37" i="4"/>
  <c r="Z105" i="4"/>
  <c r="R71" i="3"/>
  <c r="V85" i="2"/>
  <c r="U49" i="2"/>
  <c r="U51" i="2" s="1"/>
  <c r="W71" i="2"/>
  <c r="Y72" i="2"/>
  <c r="I57" i="2"/>
  <c r="V62" i="2"/>
  <c r="S68" i="2"/>
  <c r="V35" i="3"/>
  <c r="R85" i="3"/>
  <c r="X85" i="3"/>
  <c r="U97" i="3"/>
  <c r="AA97" i="3"/>
  <c r="W98" i="3"/>
  <c r="S99" i="3"/>
  <c r="Y99" i="3"/>
  <c r="R33" i="3"/>
  <c r="W55" i="3"/>
  <c r="W57" i="3" s="1"/>
  <c r="V62" i="3"/>
  <c r="V64" i="3" s="1"/>
  <c r="X71" i="3"/>
  <c r="R68" i="3"/>
  <c r="X68" i="3"/>
  <c r="Z86" i="3"/>
  <c r="R85" i="4"/>
  <c r="W97" i="4"/>
  <c r="U99" i="4"/>
  <c r="X68" i="4"/>
  <c r="Z70" i="2"/>
  <c r="G57" i="2"/>
  <c r="V92" i="2"/>
  <c r="AA20" i="2"/>
  <c r="AA22" i="2" s="1"/>
  <c r="U91" i="2"/>
  <c r="AA91" i="2"/>
  <c r="X99" i="2"/>
  <c r="S105" i="2"/>
  <c r="V70" i="2"/>
  <c r="X49" i="2"/>
  <c r="X51" i="2" s="1"/>
  <c r="Z72" i="2"/>
  <c r="W55" i="2"/>
  <c r="W57" i="2" s="1"/>
  <c r="W62" i="2"/>
  <c r="W64" i="2" s="1"/>
  <c r="Y62" i="2"/>
  <c r="Y64" i="2" s="1"/>
  <c r="T68" i="2"/>
  <c r="Z68" i="2"/>
  <c r="V68" i="2"/>
  <c r="K94" i="2"/>
  <c r="S36" i="3"/>
  <c r="Y85" i="3"/>
  <c r="X49" i="3"/>
  <c r="X51" i="3" s="1"/>
  <c r="Z71" i="3"/>
  <c r="R55" i="3"/>
  <c r="R57" i="3" s="1"/>
  <c r="X55" i="3"/>
  <c r="X57" i="3" s="1"/>
  <c r="W62" i="3"/>
  <c r="W64" i="3" s="1"/>
  <c r="S68" i="3"/>
  <c r="Y68" i="3"/>
  <c r="F110" i="3"/>
  <c r="X115" i="3"/>
  <c r="U37" i="4"/>
  <c r="V14" i="4"/>
  <c r="V16" i="4" s="1"/>
  <c r="X97" i="4"/>
  <c r="K57" i="4"/>
  <c r="T49" i="5"/>
  <c r="T51" i="5" s="1"/>
  <c r="T91" i="2"/>
  <c r="R92" i="2"/>
  <c r="V98" i="2"/>
  <c r="R104" i="2"/>
  <c r="X33" i="2"/>
  <c r="T105" i="2"/>
  <c r="S71" i="2"/>
  <c r="R55" i="2"/>
  <c r="R57" i="2" s="1"/>
  <c r="X55" i="2"/>
  <c r="X57" i="2" s="1"/>
  <c r="K57" i="2"/>
  <c r="R62" i="2"/>
  <c r="R64" i="2" s="1"/>
  <c r="AA68" i="2"/>
  <c r="Y115" i="2"/>
  <c r="R35" i="3"/>
  <c r="W14" i="3"/>
  <c r="W16" i="3" s="1"/>
  <c r="S55" i="3"/>
  <c r="S57" i="3" s="1"/>
  <c r="R62" i="3"/>
  <c r="R64" i="3" s="1"/>
  <c r="T71" i="3"/>
  <c r="Z68" i="3"/>
  <c r="N110" i="3"/>
  <c r="R115" i="3"/>
  <c r="Y115" i="3"/>
  <c r="W99" i="4"/>
  <c r="U104" i="4"/>
  <c r="U70" i="4"/>
  <c r="F57" i="4"/>
  <c r="Z68" i="4"/>
  <c r="I115" i="5"/>
  <c r="O115" i="5"/>
  <c r="T84" i="2"/>
  <c r="X86" i="2"/>
  <c r="Y36" i="2"/>
  <c r="T97" i="2"/>
  <c r="Z97" i="2"/>
  <c r="W98" i="2"/>
  <c r="T99" i="2"/>
  <c r="Z99" i="2"/>
  <c r="AA105" i="2"/>
  <c r="R70" i="2"/>
  <c r="S62" i="2"/>
  <c r="S64" i="2" s="1"/>
  <c r="Z115" i="2"/>
  <c r="S14" i="3"/>
  <c r="S16" i="3" s="1"/>
  <c r="Z49" i="3"/>
  <c r="Z51" i="3" s="1"/>
  <c r="V71" i="3"/>
  <c r="S62" i="3"/>
  <c r="S64" i="3" s="1"/>
  <c r="O110" i="3"/>
  <c r="F115" i="3"/>
  <c r="M115" i="3"/>
  <c r="S115" i="3"/>
  <c r="Z115" i="3"/>
  <c r="T68" i="4"/>
  <c r="AA68" i="4"/>
  <c r="F57" i="5"/>
  <c r="J115" i="5"/>
  <c r="P115" i="5"/>
  <c r="P38" i="5"/>
  <c r="I108" i="5"/>
  <c r="Q93" i="2"/>
  <c r="Q95" i="2" s="1"/>
  <c r="M93" i="2"/>
  <c r="F100" i="2"/>
  <c r="K100" i="2"/>
  <c r="O100" i="2"/>
  <c r="I93" i="2"/>
  <c r="M64" i="2"/>
  <c r="Q64" i="2"/>
  <c r="N29" i="4"/>
  <c r="S70" i="4"/>
  <c r="R91" i="4"/>
  <c r="U71" i="4"/>
  <c r="X62" i="4"/>
  <c r="X64" i="4" s="1"/>
  <c r="U35" i="4"/>
  <c r="Y35" i="4"/>
  <c r="S36" i="4"/>
  <c r="W36" i="4"/>
  <c r="AA36" i="4"/>
  <c r="Y99" i="4"/>
  <c r="O29" i="4"/>
  <c r="AA33" i="4"/>
  <c r="V71" i="4"/>
  <c r="Z71" i="4"/>
  <c r="Y72" i="4"/>
  <c r="U62" i="4"/>
  <c r="U64" i="4" s="1"/>
  <c r="Y62" i="4"/>
  <c r="U20" i="4"/>
  <c r="U22" i="4" s="1"/>
  <c r="S27" i="4"/>
  <c r="S29" i="4" s="1"/>
  <c r="X99" i="4"/>
  <c r="X72" i="4"/>
  <c r="T85" i="4"/>
  <c r="T87" i="4" s="1"/>
  <c r="T89" i="4" s="1"/>
  <c r="X85" i="4"/>
  <c r="R86" i="4"/>
  <c r="X91" i="4"/>
  <c r="X93" i="4" s="1"/>
  <c r="X95" i="4" s="1"/>
  <c r="R92" i="4"/>
  <c r="L29" i="4"/>
  <c r="T104" i="4"/>
  <c r="X104" i="4"/>
  <c r="R105" i="4"/>
  <c r="V49" i="4"/>
  <c r="V51" i="4" s="1"/>
  <c r="R62" i="4"/>
  <c r="R64" i="4" s="1"/>
  <c r="Z62" i="4"/>
  <c r="Z64" i="4" s="1"/>
  <c r="G73" i="4"/>
  <c r="K73" i="4"/>
  <c r="O73" i="4"/>
  <c r="F100" i="4"/>
  <c r="J100" i="4"/>
  <c r="N100" i="4"/>
  <c r="AA97" i="4"/>
  <c r="K109" i="5"/>
  <c r="F109" i="5"/>
  <c r="O109" i="5"/>
  <c r="Q29" i="4"/>
  <c r="F109" i="4"/>
  <c r="J109" i="4"/>
  <c r="N109" i="4"/>
  <c r="Q110" i="3"/>
  <c r="I93" i="3"/>
  <c r="I95" i="3" s="1"/>
  <c r="M93" i="3"/>
  <c r="M95" i="3" s="1"/>
  <c r="Q93" i="3"/>
  <c r="Q95" i="3" s="1"/>
  <c r="P100" i="2"/>
  <c r="M115" i="2"/>
  <c r="V115" i="2"/>
  <c r="G73" i="2"/>
  <c r="L73" i="2"/>
  <c r="P73" i="2"/>
  <c r="G110" i="2"/>
  <c r="L110" i="2"/>
  <c r="P110" i="2"/>
  <c r="G93" i="2"/>
  <c r="G95" i="2" s="1"/>
  <c r="L93" i="2"/>
  <c r="L95" i="2" s="1"/>
  <c r="P93" i="2"/>
  <c r="P95" i="2" s="1"/>
  <c r="G100" i="2"/>
  <c r="I115" i="2"/>
  <c r="Q115" i="2"/>
  <c r="O64" i="2"/>
  <c r="F108" i="2"/>
  <c r="K108" i="2"/>
  <c r="O108" i="2"/>
  <c r="G109" i="2"/>
  <c r="P109" i="2"/>
  <c r="I110" i="2"/>
  <c r="M110" i="2"/>
  <c r="Q110" i="2"/>
  <c r="N64" i="2"/>
  <c r="P64" i="2"/>
  <c r="V48" i="6"/>
  <c r="R84" i="2"/>
  <c r="V84" i="2"/>
  <c r="Z84" i="2"/>
  <c r="T85" i="2"/>
  <c r="X85" i="2"/>
  <c r="R86" i="2"/>
  <c r="V86" i="2"/>
  <c r="Z86" i="2"/>
  <c r="R20" i="2"/>
  <c r="R22" i="2" s="1"/>
  <c r="V20" i="2"/>
  <c r="V22" i="2" s="1"/>
  <c r="Z20" i="2"/>
  <c r="Z22" i="2" s="1"/>
  <c r="T92" i="2"/>
  <c r="T19" i="6"/>
  <c r="X92" i="2"/>
  <c r="X19" i="6"/>
  <c r="S20" i="2"/>
  <c r="S22" i="2" s="1"/>
  <c r="U98" i="2"/>
  <c r="Y98" i="2"/>
  <c r="T27" i="2"/>
  <c r="T29" i="2" s="1"/>
  <c r="T70" i="2"/>
  <c r="T49" i="2"/>
  <c r="T51" i="2" s="1"/>
  <c r="V91" i="2"/>
  <c r="S60" i="6"/>
  <c r="W60" i="6"/>
  <c r="AA60" i="6"/>
  <c r="V54" i="6"/>
  <c r="U92" i="2"/>
  <c r="U19" i="6"/>
  <c r="Y92" i="2"/>
  <c r="Y93" i="2" s="1"/>
  <c r="Y95" i="2" s="1"/>
  <c r="Y19" i="6"/>
  <c r="W20" i="2"/>
  <c r="W22" i="2" s="1"/>
  <c r="S97" i="2"/>
  <c r="S100" i="2" s="1"/>
  <c r="W97" i="2"/>
  <c r="AA97" i="2"/>
  <c r="X27" i="2"/>
  <c r="X29" i="2" s="1"/>
  <c r="T104" i="2"/>
  <c r="X104" i="2"/>
  <c r="R105" i="2"/>
  <c r="R106" i="2" s="1"/>
  <c r="V105" i="2"/>
  <c r="Z105" i="2"/>
  <c r="V49" i="2"/>
  <c r="V51" i="2" s="1"/>
  <c r="V64" i="2"/>
  <c r="T98" i="2"/>
  <c r="X98" i="2"/>
  <c r="X113" i="2"/>
  <c r="X115" i="2" s="1"/>
  <c r="X75" i="6"/>
  <c r="X77" i="6" s="1"/>
  <c r="F109" i="2"/>
  <c r="K109" i="2"/>
  <c r="O109" i="2"/>
  <c r="Z91" i="2"/>
  <c r="Z61" i="6"/>
  <c r="Z92" i="2"/>
  <c r="Z19" i="6"/>
  <c r="W92" i="2"/>
  <c r="W19" i="6"/>
  <c r="U27" i="2"/>
  <c r="U29" i="2" s="1"/>
  <c r="Y27" i="2"/>
  <c r="Y29" i="2" s="1"/>
  <c r="W99" i="2"/>
  <c r="AA99" i="2"/>
  <c r="I29" i="2"/>
  <c r="M29" i="2"/>
  <c r="Q29" i="2"/>
  <c r="G29" i="2"/>
  <c r="T33" i="2"/>
  <c r="S49" i="2"/>
  <c r="S51" i="2" s="1"/>
  <c r="U85" i="2"/>
  <c r="S72" i="2"/>
  <c r="W72" i="2"/>
  <c r="AA72" i="2"/>
  <c r="R49" i="2"/>
  <c r="R51" i="2" s="1"/>
  <c r="Z49" i="2"/>
  <c r="Z51" i="2" s="1"/>
  <c r="U55" i="2"/>
  <c r="U57" i="2" s="1"/>
  <c r="Y55" i="2"/>
  <c r="Y57" i="2" s="1"/>
  <c r="T62" i="2"/>
  <c r="T64" i="2" s="1"/>
  <c r="X62" i="2"/>
  <c r="X64" i="2" s="1"/>
  <c r="T72" i="2"/>
  <c r="X72" i="2"/>
  <c r="G63" i="2"/>
  <c r="G64" i="2" s="1"/>
  <c r="U68" i="2"/>
  <c r="Y68" i="2"/>
  <c r="W105" i="2"/>
  <c r="R91" i="2"/>
  <c r="F115" i="2"/>
  <c r="K115" i="2"/>
  <c r="O115" i="2"/>
  <c r="S115" i="2"/>
  <c r="S54" i="6"/>
  <c r="AA54" i="6"/>
  <c r="AA14" i="3"/>
  <c r="AA16" i="3" s="1"/>
  <c r="AA13" i="6"/>
  <c r="T20" i="3"/>
  <c r="T22" i="3" s="1"/>
  <c r="W36" i="3"/>
  <c r="AA36" i="3"/>
  <c r="AA92" i="3"/>
  <c r="AA19" i="6"/>
  <c r="T98" i="3"/>
  <c r="X98" i="3"/>
  <c r="X33" i="3"/>
  <c r="T70" i="3"/>
  <c r="T46" i="6"/>
  <c r="T49" i="3"/>
  <c r="T51" i="3" s="1"/>
  <c r="T92" i="3"/>
  <c r="T93" i="3" s="1"/>
  <c r="T95" i="3" s="1"/>
  <c r="T54" i="6"/>
  <c r="X92" i="3"/>
  <c r="X54" i="6"/>
  <c r="J63" i="3"/>
  <c r="J64" i="3" s="1"/>
  <c r="V86" i="3"/>
  <c r="T53" i="6"/>
  <c r="V60" i="6"/>
  <c r="Z60" i="6"/>
  <c r="T67" i="6"/>
  <c r="U18" i="6"/>
  <c r="Y18" i="6"/>
  <c r="U26" i="6"/>
  <c r="S46" i="6"/>
  <c r="X46" i="6"/>
  <c r="R47" i="6"/>
  <c r="V47" i="6"/>
  <c r="Z47" i="6"/>
  <c r="T48" i="6"/>
  <c r="Y48" i="6"/>
  <c r="U53" i="6"/>
  <c r="U59" i="6"/>
  <c r="Y59" i="6"/>
  <c r="Y92" i="3"/>
  <c r="Y54" i="6"/>
  <c r="Y46" i="6"/>
  <c r="V66" i="6"/>
  <c r="S92" i="3"/>
  <c r="S19" i="6"/>
  <c r="X20" i="3"/>
  <c r="X22" i="3" s="1"/>
  <c r="T105" i="3"/>
  <c r="X105" i="3"/>
  <c r="R70" i="3"/>
  <c r="Z92" i="3"/>
  <c r="Z54" i="6"/>
  <c r="U105" i="3"/>
  <c r="G73" i="3"/>
  <c r="L73" i="3"/>
  <c r="P73" i="3"/>
  <c r="G110" i="3"/>
  <c r="L110" i="3"/>
  <c r="P110" i="3"/>
  <c r="T60" i="6"/>
  <c r="X60" i="6"/>
  <c r="W48" i="6"/>
  <c r="V67" i="6"/>
  <c r="U92" i="3"/>
  <c r="U54" i="6"/>
  <c r="U48" i="6"/>
  <c r="V92" i="3"/>
  <c r="V19" i="6"/>
  <c r="R104" i="3"/>
  <c r="R106" i="3" s="1"/>
  <c r="V104" i="3"/>
  <c r="Z104" i="3"/>
  <c r="T33" i="3"/>
  <c r="X37" i="3"/>
  <c r="U71" i="3"/>
  <c r="Y71" i="3"/>
  <c r="AA72" i="3"/>
  <c r="AA48" i="6"/>
  <c r="R49" i="3"/>
  <c r="R51" i="3" s="1"/>
  <c r="U55" i="3"/>
  <c r="U57" i="3" s="1"/>
  <c r="Y55" i="3"/>
  <c r="Y57" i="3" s="1"/>
  <c r="W92" i="3"/>
  <c r="W54" i="6"/>
  <c r="T62" i="3"/>
  <c r="T64" i="3" s="1"/>
  <c r="X62" i="3"/>
  <c r="X64" i="3" s="1"/>
  <c r="R98" i="3"/>
  <c r="V98" i="3"/>
  <c r="Z98" i="3"/>
  <c r="G63" i="3"/>
  <c r="G101" i="3" s="1"/>
  <c r="I73" i="3"/>
  <c r="M73" i="3"/>
  <c r="Q73" i="3"/>
  <c r="P93" i="3"/>
  <c r="P95" i="3" s="1"/>
  <c r="Y25" i="6"/>
  <c r="U60" i="6"/>
  <c r="Y60" i="6"/>
  <c r="AA46" i="6"/>
  <c r="S48" i="6"/>
  <c r="S53" i="6"/>
  <c r="L101" i="3"/>
  <c r="P101" i="3"/>
  <c r="T101" i="3"/>
  <c r="X101" i="3"/>
  <c r="V98" i="4"/>
  <c r="V25" i="6"/>
  <c r="X49" i="4"/>
  <c r="X51" i="4" s="1"/>
  <c r="W91" i="4"/>
  <c r="W93" i="4" s="1"/>
  <c r="W95" i="4" s="1"/>
  <c r="R61" i="6"/>
  <c r="V86" i="4"/>
  <c r="V13" i="6"/>
  <c r="X14" i="4"/>
  <c r="X16" i="4" s="1"/>
  <c r="T91" i="4"/>
  <c r="T93" i="4" s="1"/>
  <c r="T95" i="4" s="1"/>
  <c r="I22" i="4"/>
  <c r="G94" i="4"/>
  <c r="G21" i="6"/>
  <c r="G22" i="6" s="1"/>
  <c r="K94" i="4"/>
  <c r="K21" i="6"/>
  <c r="K22" i="6" s="1"/>
  <c r="S98" i="4"/>
  <c r="S25" i="6"/>
  <c r="W98" i="4"/>
  <c r="W25" i="6"/>
  <c r="AA98" i="4"/>
  <c r="AA25" i="6"/>
  <c r="X27" i="4"/>
  <c r="X29" i="4" s="1"/>
  <c r="R71" i="4"/>
  <c r="Z49" i="4"/>
  <c r="Z51" i="4" s="1"/>
  <c r="Z70" i="4"/>
  <c r="S62" i="4"/>
  <c r="S64" i="4" s="1"/>
  <c r="W62" i="4"/>
  <c r="W64" i="4" s="1"/>
  <c r="AA62" i="4"/>
  <c r="AA64" i="4" s="1"/>
  <c r="Y98" i="4"/>
  <c r="X13" i="6"/>
  <c r="R18" i="6"/>
  <c r="V18" i="6"/>
  <c r="Z18" i="6"/>
  <c r="U31" i="6"/>
  <c r="Y31" i="6"/>
  <c r="S32" i="6"/>
  <c r="X32" i="6"/>
  <c r="U46" i="6"/>
  <c r="Z66" i="6"/>
  <c r="Y67" i="6"/>
  <c r="F94" i="4"/>
  <c r="F21" i="6"/>
  <c r="F22" i="6" s="1"/>
  <c r="J94" i="4"/>
  <c r="J21" i="6"/>
  <c r="J22" i="6" s="1"/>
  <c r="Z98" i="4"/>
  <c r="Z25" i="6"/>
  <c r="T27" i="4"/>
  <c r="T29" i="4" s="1"/>
  <c r="T24" i="6"/>
  <c r="X24" i="6"/>
  <c r="X31" i="6"/>
  <c r="X67" i="6"/>
  <c r="R14" i="4"/>
  <c r="R16" i="4" s="1"/>
  <c r="Z14" i="4"/>
  <c r="Z16" i="4" s="1"/>
  <c r="S20" i="4"/>
  <c r="S22" i="4" s="1"/>
  <c r="R97" i="4"/>
  <c r="V97" i="4"/>
  <c r="V108" i="4" s="1"/>
  <c r="Z97" i="4"/>
  <c r="T98" i="4"/>
  <c r="T100" i="4" s="1"/>
  <c r="T25" i="6"/>
  <c r="X98" i="4"/>
  <c r="X25" i="6"/>
  <c r="R99" i="4"/>
  <c r="V99" i="4"/>
  <c r="V26" i="6"/>
  <c r="Z99" i="4"/>
  <c r="Z110" i="4" s="1"/>
  <c r="Z26" i="6"/>
  <c r="X105" i="4"/>
  <c r="T37" i="4"/>
  <c r="H57" i="4"/>
  <c r="W18" i="6"/>
  <c r="AA18" i="6"/>
  <c r="R24" i="6"/>
  <c r="V24" i="6"/>
  <c r="Z24" i="6"/>
  <c r="S26" i="6"/>
  <c r="R31" i="6"/>
  <c r="V31" i="6"/>
  <c r="Z31" i="6"/>
  <c r="X47" i="6"/>
  <c r="S59" i="6"/>
  <c r="W59" i="6"/>
  <c r="AA59" i="6"/>
  <c r="T61" i="6"/>
  <c r="X61" i="6"/>
  <c r="Z67" i="6"/>
  <c r="T62" i="4"/>
  <c r="T64" i="4" s="1"/>
  <c r="S68" i="4"/>
  <c r="R25" i="6"/>
  <c r="T31" i="6"/>
  <c r="Y53" i="6"/>
  <c r="X86" i="4"/>
  <c r="T14" i="4"/>
  <c r="T16" i="4" s="1"/>
  <c r="I28" i="4"/>
  <c r="I101" i="4" s="1"/>
  <c r="I21" i="6"/>
  <c r="I22" i="6" s="1"/>
  <c r="U98" i="4"/>
  <c r="U25" i="6"/>
  <c r="AA99" i="4"/>
  <c r="AA110" i="4" s="1"/>
  <c r="AA26" i="6"/>
  <c r="S104" i="4"/>
  <c r="S106" i="4" s="1"/>
  <c r="U105" i="4"/>
  <c r="U32" i="6"/>
  <c r="X37" i="4"/>
  <c r="U49" i="4"/>
  <c r="U51" i="4" s="1"/>
  <c r="X71" i="4"/>
  <c r="R72" i="4"/>
  <c r="X70" i="4"/>
  <c r="I57" i="4"/>
  <c r="X55" i="4"/>
  <c r="X57" i="4" s="1"/>
  <c r="R68" i="4"/>
  <c r="W71" i="4"/>
  <c r="S97" i="4"/>
  <c r="Z13" i="6"/>
  <c r="T18" i="6"/>
  <c r="X18" i="6"/>
  <c r="Y26" i="6"/>
  <c r="S31" i="6"/>
  <c r="W31" i="6"/>
  <c r="AA31" i="6"/>
  <c r="V32" i="6"/>
  <c r="Z32" i="6"/>
  <c r="R46" i="6"/>
  <c r="W46" i="6"/>
  <c r="R54" i="6"/>
  <c r="T59" i="6"/>
  <c r="X59" i="6"/>
  <c r="R60" i="6"/>
  <c r="X66" i="6"/>
  <c r="R67" i="6"/>
  <c r="W67" i="6"/>
  <c r="AA67" i="6"/>
  <c r="R85" i="5"/>
  <c r="R12" i="6"/>
  <c r="Z85" i="5"/>
  <c r="Z12" i="6"/>
  <c r="T37" i="5"/>
  <c r="T13" i="6"/>
  <c r="Y86" i="5"/>
  <c r="Y13" i="6"/>
  <c r="U97" i="5"/>
  <c r="U24" i="6"/>
  <c r="W99" i="5"/>
  <c r="W26" i="6"/>
  <c r="AA105" i="5"/>
  <c r="AA32" i="6"/>
  <c r="AA33" i="5"/>
  <c r="I94" i="5"/>
  <c r="I56" i="6"/>
  <c r="Q94" i="5"/>
  <c r="Q56" i="6"/>
  <c r="U68" i="5"/>
  <c r="U66" i="6"/>
  <c r="S105" i="5"/>
  <c r="S67" i="6"/>
  <c r="U84" i="5"/>
  <c r="U11" i="6"/>
  <c r="Y84" i="5"/>
  <c r="Y11" i="6"/>
  <c r="S85" i="5"/>
  <c r="S12" i="6"/>
  <c r="W85" i="5"/>
  <c r="W12" i="6"/>
  <c r="AA85" i="5"/>
  <c r="AA12" i="6"/>
  <c r="U86" i="5"/>
  <c r="U13" i="6"/>
  <c r="U20" i="5"/>
  <c r="U22" i="5" s="1"/>
  <c r="X99" i="5"/>
  <c r="X26" i="6"/>
  <c r="S33" i="5"/>
  <c r="U35" i="5"/>
  <c r="U37" i="5"/>
  <c r="S71" i="5"/>
  <c r="S47" i="6"/>
  <c r="W71" i="5"/>
  <c r="W47" i="6"/>
  <c r="AA71" i="5"/>
  <c r="AA47" i="6"/>
  <c r="Z72" i="5"/>
  <c r="Z48" i="6"/>
  <c r="R55" i="5"/>
  <c r="R57" i="5" s="1"/>
  <c r="R53" i="6"/>
  <c r="W55" i="5"/>
  <c r="W57" i="5" s="1"/>
  <c r="W53" i="6"/>
  <c r="AA55" i="5"/>
  <c r="AA57" i="5" s="1"/>
  <c r="AA53" i="6"/>
  <c r="I57" i="5"/>
  <c r="M57" i="5"/>
  <c r="Q57" i="5"/>
  <c r="Y55" i="5"/>
  <c r="Y57" i="5" s="1"/>
  <c r="J94" i="5"/>
  <c r="J56" i="6"/>
  <c r="N94" i="5"/>
  <c r="N56" i="6"/>
  <c r="R94" i="5"/>
  <c r="R56" i="6"/>
  <c r="R94" i="6" s="1"/>
  <c r="V99" i="5"/>
  <c r="V110" i="5" s="1"/>
  <c r="V61" i="6"/>
  <c r="AA72" i="5"/>
  <c r="AA61" i="6"/>
  <c r="AA62" i="5"/>
  <c r="AA64" i="5" s="1"/>
  <c r="R68" i="5"/>
  <c r="R66" i="6"/>
  <c r="U105" i="5"/>
  <c r="U67" i="6"/>
  <c r="V77" i="5"/>
  <c r="V75" i="6"/>
  <c r="V77" i="6" s="1"/>
  <c r="J110" i="5"/>
  <c r="N110" i="5"/>
  <c r="T86" i="5"/>
  <c r="G93" i="5"/>
  <c r="L93" i="5"/>
  <c r="P93" i="5"/>
  <c r="AA99" i="5"/>
  <c r="AA110" i="5" s="1"/>
  <c r="X35" i="5"/>
  <c r="X11" i="6"/>
  <c r="Y97" i="5"/>
  <c r="Y24" i="6"/>
  <c r="R105" i="5"/>
  <c r="R32" i="6"/>
  <c r="W105" i="5"/>
  <c r="W32" i="6"/>
  <c r="Y37" i="5"/>
  <c r="V55" i="5"/>
  <c r="V57" i="5" s="1"/>
  <c r="V53" i="6"/>
  <c r="M94" i="5"/>
  <c r="M56" i="6"/>
  <c r="U62" i="5"/>
  <c r="U64" i="5" s="1"/>
  <c r="U61" i="6"/>
  <c r="R84" i="5"/>
  <c r="R11" i="6"/>
  <c r="V84" i="5"/>
  <c r="V11" i="6"/>
  <c r="Z84" i="5"/>
  <c r="Z11" i="6"/>
  <c r="T85" i="5"/>
  <c r="T12" i="6"/>
  <c r="X85" i="5"/>
  <c r="X12" i="6"/>
  <c r="R86" i="5"/>
  <c r="R13" i="6"/>
  <c r="W86" i="5"/>
  <c r="W13" i="6"/>
  <c r="S91" i="5"/>
  <c r="S93" i="5" s="1"/>
  <c r="S95" i="5" s="1"/>
  <c r="S18" i="6"/>
  <c r="W20" i="5"/>
  <c r="W22" i="5" s="1"/>
  <c r="S27" i="5"/>
  <c r="S29" i="5" s="1"/>
  <c r="S24" i="6"/>
  <c r="W27" i="5"/>
  <c r="W29" i="5" s="1"/>
  <c r="W24" i="6"/>
  <c r="AA27" i="5"/>
  <c r="AA29" i="5" s="1"/>
  <c r="AA24" i="6"/>
  <c r="T99" i="5"/>
  <c r="T26" i="6"/>
  <c r="T105" i="5"/>
  <c r="T32" i="6"/>
  <c r="Y105" i="5"/>
  <c r="Y32" i="6"/>
  <c r="U33" i="5"/>
  <c r="Y35" i="5"/>
  <c r="S36" i="5"/>
  <c r="V70" i="5"/>
  <c r="V46" i="6"/>
  <c r="Z70" i="5"/>
  <c r="Z46" i="6"/>
  <c r="T71" i="5"/>
  <c r="T47" i="6"/>
  <c r="R72" i="5"/>
  <c r="R48" i="6"/>
  <c r="V49" i="5"/>
  <c r="V51" i="5" s="1"/>
  <c r="X55" i="5"/>
  <c r="X57" i="5" s="1"/>
  <c r="X53" i="6"/>
  <c r="S55" i="5"/>
  <c r="S57" i="5" s="1"/>
  <c r="F63" i="5"/>
  <c r="F64" i="5" s="1"/>
  <c r="F56" i="6"/>
  <c r="K63" i="5"/>
  <c r="K101" i="5" s="1"/>
  <c r="K56" i="6"/>
  <c r="O63" i="5"/>
  <c r="O63" i="6" s="1"/>
  <c r="O64" i="6" s="1"/>
  <c r="O56" i="6"/>
  <c r="R62" i="5"/>
  <c r="R59" i="6"/>
  <c r="V62" i="5"/>
  <c r="V64" i="5" s="1"/>
  <c r="V59" i="6"/>
  <c r="Z62" i="5"/>
  <c r="Z64" i="5" s="1"/>
  <c r="Z59" i="6"/>
  <c r="S62" i="5"/>
  <c r="S64" i="5" s="1"/>
  <c r="S61" i="6"/>
  <c r="W62" i="5"/>
  <c r="W64" i="5" s="1"/>
  <c r="W61" i="6"/>
  <c r="S68" i="5"/>
  <c r="S66" i="6"/>
  <c r="W68" i="5"/>
  <c r="W66" i="6"/>
  <c r="AA68" i="5"/>
  <c r="AA66" i="6"/>
  <c r="X84" i="5"/>
  <c r="S97" i="5"/>
  <c r="L100" i="5"/>
  <c r="T35" i="5"/>
  <c r="T11" i="6"/>
  <c r="V85" i="5"/>
  <c r="V12" i="6"/>
  <c r="R99" i="5"/>
  <c r="R26" i="6"/>
  <c r="AA36" i="5"/>
  <c r="L88" i="5"/>
  <c r="L50" i="6"/>
  <c r="Z55" i="5"/>
  <c r="Z57" i="5" s="1"/>
  <c r="Z53" i="6"/>
  <c r="Y99" i="5"/>
  <c r="Y61" i="6"/>
  <c r="Y68" i="5"/>
  <c r="Y66" i="6"/>
  <c r="T72" i="5"/>
  <c r="S84" i="5"/>
  <c r="S11" i="6"/>
  <c r="W84" i="5"/>
  <c r="W11" i="6"/>
  <c r="AA84" i="5"/>
  <c r="AA11" i="6"/>
  <c r="U85" i="5"/>
  <c r="U12" i="6"/>
  <c r="Y85" i="5"/>
  <c r="Y109" i="5" s="1"/>
  <c r="Y12" i="6"/>
  <c r="S86" i="5"/>
  <c r="S13" i="6"/>
  <c r="W14" i="5"/>
  <c r="W16" i="5" s="1"/>
  <c r="R92" i="5"/>
  <c r="R19" i="6"/>
  <c r="Y20" i="5"/>
  <c r="Y22" i="5" s="1"/>
  <c r="T27" i="5"/>
  <c r="T29" i="5" s="1"/>
  <c r="W33" i="5"/>
  <c r="W36" i="5"/>
  <c r="W37" i="5"/>
  <c r="U71" i="5"/>
  <c r="U47" i="6"/>
  <c r="Y71" i="5"/>
  <c r="Y47" i="6"/>
  <c r="X72" i="5"/>
  <c r="X48" i="6"/>
  <c r="L51" i="5"/>
  <c r="X49" i="5"/>
  <c r="X51" i="5" s="1"/>
  <c r="G94" i="5"/>
  <c r="G56" i="6"/>
  <c r="L94" i="5"/>
  <c r="L56" i="6"/>
  <c r="P94" i="5"/>
  <c r="P56" i="6"/>
  <c r="P63" i="5"/>
  <c r="P63" i="6" s="1"/>
  <c r="P64" i="6" s="1"/>
  <c r="T68" i="5"/>
  <c r="T66" i="6"/>
  <c r="F94" i="5"/>
  <c r="W97" i="5"/>
  <c r="L101" i="4"/>
  <c r="P101" i="4"/>
  <c r="T101" i="4"/>
  <c r="X101" i="4"/>
  <c r="L64" i="4"/>
  <c r="P64" i="4"/>
  <c r="O101" i="4"/>
  <c r="S101" i="4"/>
  <c r="W101" i="4"/>
  <c r="AA101" i="4"/>
  <c r="L100" i="2"/>
  <c r="J29" i="2"/>
  <c r="N29" i="2"/>
  <c r="L115" i="3"/>
  <c r="K108" i="3"/>
  <c r="G109" i="3"/>
  <c r="L109" i="3"/>
  <c r="P109" i="3"/>
  <c r="I110" i="3"/>
  <c r="F93" i="3"/>
  <c r="K93" i="3"/>
  <c r="O93" i="3"/>
  <c r="O95" i="3" s="1"/>
  <c r="I87" i="3"/>
  <c r="I89" i="3" s="1"/>
  <c r="Q87" i="3"/>
  <c r="Q89" i="3" s="1"/>
  <c r="L93" i="3"/>
  <c r="L95" i="3" s="1"/>
  <c r="F110" i="4"/>
  <c r="J110" i="4"/>
  <c r="N110" i="4"/>
  <c r="V93" i="4"/>
  <c r="V95" i="4" s="1"/>
  <c r="I73" i="4"/>
  <c r="M73" i="4"/>
  <c r="Q73" i="4"/>
  <c r="F108" i="4"/>
  <c r="N108" i="4"/>
  <c r="K93" i="4"/>
  <c r="G115" i="4"/>
  <c r="K115" i="4"/>
  <c r="O115" i="4"/>
  <c r="S115" i="4"/>
  <c r="Y115" i="4"/>
  <c r="N101" i="4"/>
  <c r="R101" i="4"/>
  <c r="V101" i="4"/>
  <c r="Z101" i="4"/>
  <c r="F73" i="4"/>
  <c r="J73" i="4"/>
  <c r="N73" i="4"/>
  <c r="H115" i="4"/>
  <c r="L115" i="4"/>
  <c r="P115" i="4"/>
  <c r="T115" i="4"/>
  <c r="N64" i="4"/>
  <c r="H110" i="4"/>
  <c r="L110" i="4"/>
  <c r="P110" i="4"/>
  <c r="I93" i="4"/>
  <c r="M93" i="4"/>
  <c r="M95" i="4" s="1"/>
  <c r="Q93" i="4"/>
  <c r="Q95" i="4" s="1"/>
  <c r="L109" i="4"/>
  <c r="I109" i="5"/>
  <c r="M109" i="5"/>
  <c r="Q109" i="5"/>
  <c r="I38" i="5"/>
  <c r="M38" i="5"/>
  <c r="I110" i="5"/>
  <c r="M110" i="5"/>
  <c r="Q110" i="5"/>
  <c r="Q38" i="5"/>
  <c r="F110" i="5"/>
  <c r="K110" i="5"/>
  <c r="O110" i="5"/>
  <c r="G109" i="5"/>
  <c r="P109" i="5"/>
  <c r="J93" i="5"/>
  <c r="N93" i="5"/>
  <c r="H38" i="5"/>
  <c r="H111" i="5" s="1"/>
  <c r="L38" i="5"/>
  <c r="G73" i="5"/>
  <c r="L73" i="5"/>
  <c r="P73" i="5"/>
  <c r="Q108" i="5"/>
  <c r="F93" i="5"/>
  <c r="K93" i="5"/>
  <c r="K95" i="5" s="1"/>
  <c r="O93" i="5"/>
  <c r="O95" i="5" s="1"/>
  <c r="Q106" i="5"/>
  <c r="L29" i="5"/>
  <c r="P29" i="5"/>
  <c r="J29" i="5"/>
  <c r="N29" i="5"/>
  <c r="M101" i="4"/>
  <c r="Q101" i="4"/>
  <c r="U101" i="4"/>
  <c r="Y101" i="4"/>
  <c r="P29" i="4"/>
  <c r="J89" i="4"/>
  <c r="M29" i="4"/>
  <c r="F101" i="3"/>
  <c r="K101" i="3"/>
  <c r="O101" i="3"/>
  <c r="S101" i="3"/>
  <c r="W101" i="3"/>
  <c r="AA101" i="3"/>
  <c r="O64" i="3"/>
  <c r="M101" i="3"/>
  <c r="Q101" i="3"/>
  <c r="U101" i="3"/>
  <c r="Y101" i="3"/>
  <c r="M64" i="3"/>
  <c r="Q64" i="3"/>
  <c r="J29" i="3"/>
  <c r="N29" i="3"/>
  <c r="L29" i="3"/>
  <c r="P29" i="3"/>
  <c r="M95" i="2"/>
  <c r="O101" i="2"/>
  <c r="S101" i="2"/>
  <c r="W101" i="2"/>
  <c r="AA101" i="2"/>
  <c r="J64" i="2"/>
  <c r="K101" i="2"/>
  <c r="K29" i="2"/>
  <c r="O29" i="2"/>
  <c r="L29" i="2"/>
  <c r="P29" i="2"/>
  <c r="F73" i="2"/>
  <c r="K73" i="2"/>
  <c r="O73" i="2"/>
  <c r="J109" i="2"/>
  <c r="N109" i="2"/>
  <c r="F93" i="2"/>
  <c r="K93" i="2"/>
  <c r="O93" i="2"/>
  <c r="O95" i="2" s="1"/>
  <c r="I100" i="2"/>
  <c r="M100" i="2"/>
  <c r="Q100" i="2"/>
  <c r="L109" i="2"/>
  <c r="Q106" i="2"/>
  <c r="M101" i="2"/>
  <c r="Q101" i="2"/>
  <c r="U101" i="2"/>
  <c r="Y101" i="2"/>
  <c r="I73" i="2"/>
  <c r="M73" i="2"/>
  <c r="Q73" i="2"/>
  <c r="J100" i="2"/>
  <c r="N100" i="2"/>
  <c r="F110" i="2"/>
  <c r="K110" i="2"/>
  <c r="O110" i="2"/>
  <c r="V114" i="6"/>
  <c r="L28" i="6"/>
  <c r="L29" i="6" s="1"/>
  <c r="P28" i="6"/>
  <c r="T28" i="6"/>
  <c r="X28" i="6"/>
  <c r="X114" i="6"/>
  <c r="K64" i="2"/>
  <c r="J73" i="2"/>
  <c r="N73" i="2"/>
  <c r="I109" i="2"/>
  <c r="M109" i="2"/>
  <c r="Q109" i="2"/>
  <c r="J110" i="2"/>
  <c r="N110" i="2"/>
  <c r="J93" i="2"/>
  <c r="J95" i="2" s="1"/>
  <c r="N93" i="2"/>
  <c r="N95" i="2" s="1"/>
  <c r="J115" i="2"/>
  <c r="N115" i="2"/>
  <c r="R115" i="2"/>
  <c r="V63" i="6"/>
  <c r="K29" i="3"/>
  <c r="O29" i="3"/>
  <c r="L64" i="3"/>
  <c r="P64" i="3"/>
  <c r="J73" i="3"/>
  <c r="N73" i="3"/>
  <c r="I108" i="3"/>
  <c r="M108" i="3"/>
  <c r="Q108" i="3"/>
  <c r="J93" i="3"/>
  <c r="J95" i="3" s="1"/>
  <c r="N93" i="3"/>
  <c r="N95" i="3" s="1"/>
  <c r="I100" i="3"/>
  <c r="M100" i="3"/>
  <c r="Q100" i="3"/>
  <c r="J109" i="3"/>
  <c r="N109" i="3"/>
  <c r="Q106" i="3"/>
  <c r="F73" i="3"/>
  <c r="K73" i="3"/>
  <c r="O73" i="3"/>
  <c r="V113" i="6"/>
  <c r="N28" i="6"/>
  <c r="N29" i="6" s="1"/>
  <c r="R28" i="6"/>
  <c r="V28" i="6"/>
  <c r="Z28" i="6"/>
  <c r="T63" i="6"/>
  <c r="X63" i="6"/>
  <c r="Z113" i="6"/>
  <c r="Z114" i="6"/>
  <c r="Z63" i="6"/>
  <c r="I29" i="3"/>
  <c r="M29" i="3"/>
  <c r="Q29" i="3"/>
  <c r="N101" i="3"/>
  <c r="R101" i="3"/>
  <c r="V101" i="3"/>
  <c r="Z101" i="3"/>
  <c r="N64" i="3"/>
  <c r="M87" i="3"/>
  <c r="M89" i="3" s="1"/>
  <c r="F100" i="3"/>
  <c r="K100" i="3"/>
  <c r="O100" i="3"/>
  <c r="G100" i="3"/>
  <c r="L100" i="3"/>
  <c r="P100" i="3"/>
  <c r="M110" i="3"/>
  <c r="AA114" i="6"/>
  <c r="L73" i="4"/>
  <c r="L108" i="4"/>
  <c r="Q115" i="4"/>
  <c r="V115" i="4"/>
  <c r="H64" i="4"/>
  <c r="H73" i="4"/>
  <c r="H73" i="6" s="1"/>
  <c r="H111" i="6" s="1"/>
  <c r="P73" i="4"/>
  <c r="H108" i="4"/>
  <c r="P108" i="4"/>
  <c r="H109" i="4"/>
  <c r="P109" i="4"/>
  <c r="H100" i="4"/>
  <c r="L100" i="4"/>
  <c r="P100" i="4"/>
  <c r="I115" i="4"/>
  <c r="M115" i="4"/>
  <c r="V106" i="4"/>
  <c r="F38" i="4"/>
  <c r="J38" i="4"/>
  <c r="N38" i="4"/>
  <c r="G64" i="4"/>
  <c r="K64" i="4"/>
  <c r="O64" i="4"/>
  <c r="I110" i="4"/>
  <c r="M110" i="4"/>
  <c r="Q110" i="4"/>
  <c r="F93" i="4"/>
  <c r="J93" i="4"/>
  <c r="N93" i="4"/>
  <c r="N95" i="4" s="1"/>
  <c r="J108" i="4"/>
  <c r="M28" i="6"/>
  <c r="M29" i="6" s="1"/>
  <c r="Q28" i="6"/>
  <c r="Q29" i="6" s="1"/>
  <c r="S63" i="6"/>
  <c r="W63" i="6"/>
  <c r="AA63" i="6"/>
  <c r="Y114" i="6"/>
  <c r="Y64" i="4"/>
  <c r="I64" i="4"/>
  <c r="M64" i="4"/>
  <c r="Q64" i="4"/>
  <c r="G108" i="4"/>
  <c r="K108" i="4"/>
  <c r="O108" i="4"/>
  <c r="G110" i="4"/>
  <c r="K110" i="4"/>
  <c r="O110" i="4"/>
  <c r="H93" i="4"/>
  <c r="H95" i="4" s="1"/>
  <c r="L93" i="4"/>
  <c r="L95" i="4" s="1"/>
  <c r="P93" i="4"/>
  <c r="P95" i="4" s="1"/>
  <c r="G93" i="4"/>
  <c r="O93" i="4"/>
  <c r="O95" i="4" s="1"/>
  <c r="I100" i="4"/>
  <c r="M100" i="4"/>
  <c r="Q100" i="4"/>
  <c r="Q106" i="4"/>
  <c r="U63" i="6"/>
  <c r="Y63" i="6"/>
  <c r="W114" i="6"/>
  <c r="U101" i="5"/>
  <c r="U28" i="6"/>
  <c r="Z115" i="5"/>
  <c r="K29" i="5"/>
  <c r="O29" i="5"/>
  <c r="F38" i="5"/>
  <c r="J38" i="5"/>
  <c r="N38" i="5"/>
  <c r="J73" i="5"/>
  <c r="N73" i="5"/>
  <c r="F73" i="5"/>
  <c r="K73" i="5"/>
  <c r="O73" i="5"/>
  <c r="F108" i="5"/>
  <c r="K108" i="5"/>
  <c r="O108" i="5"/>
  <c r="I93" i="5"/>
  <c r="M93" i="5"/>
  <c r="Q93" i="5"/>
  <c r="W115" i="5"/>
  <c r="W113" i="6"/>
  <c r="AA115" i="5"/>
  <c r="AA113" i="6"/>
  <c r="I93" i="6"/>
  <c r="M93" i="6"/>
  <c r="Q93" i="6"/>
  <c r="J100" i="6"/>
  <c r="N100" i="6"/>
  <c r="O28" i="6"/>
  <c r="S101" i="5"/>
  <c r="S28" i="6"/>
  <c r="W101" i="5"/>
  <c r="W28" i="6"/>
  <c r="AA101" i="5"/>
  <c r="AA28" i="6"/>
  <c r="G38" i="5"/>
  <c r="K38" i="5"/>
  <c r="O38" i="5"/>
  <c r="G110" i="5"/>
  <c r="L110" i="5"/>
  <c r="P110" i="5"/>
  <c r="J100" i="5"/>
  <c r="N100" i="5"/>
  <c r="Y101" i="5"/>
  <c r="Y28" i="6"/>
  <c r="U115" i="5"/>
  <c r="U113" i="6"/>
  <c r="U115" i="6" s="1"/>
  <c r="I29" i="5"/>
  <c r="M29" i="5"/>
  <c r="Q29" i="5"/>
  <c r="G29" i="5"/>
  <c r="I73" i="5"/>
  <c r="M73" i="5"/>
  <c r="Q73" i="5"/>
  <c r="Y115" i="5"/>
  <c r="Y113" i="6"/>
  <c r="X115" i="5"/>
  <c r="K93" i="6"/>
  <c r="O93" i="6"/>
  <c r="J93" i="6"/>
  <c r="N93" i="6"/>
  <c r="K100" i="6"/>
  <c r="O100" i="6"/>
  <c r="L100" i="6"/>
  <c r="P100" i="6"/>
  <c r="L93" i="6"/>
  <c r="P93" i="6"/>
  <c r="I100" i="6"/>
  <c r="M100" i="6"/>
  <c r="Q100" i="6"/>
  <c r="F93" i="6"/>
  <c r="G100" i="6"/>
  <c r="G93" i="6"/>
  <c r="F100" i="6"/>
  <c r="F115" i="6"/>
  <c r="I115" i="6"/>
  <c r="K115" i="6"/>
  <c r="M115" i="6"/>
  <c r="O115" i="6"/>
  <c r="Q115" i="6"/>
  <c r="S115" i="6"/>
  <c r="Q106" i="6"/>
  <c r="G115" i="6"/>
  <c r="J115" i="6"/>
  <c r="L115" i="6"/>
  <c r="N115" i="6"/>
  <c r="P115" i="6"/>
  <c r="R115" i="6"/>
  <c r="T115" i="6"/>
  <c r="G84" i="6"/>
  <c r="I84" i="6"/>
  <c r="K84" i="6"/>
  <c r="M84" i="6"/>
  <c r="O84" i="6"/>
  <c r="Q84" i="6"/>
  <c r="G85" i="6"/>
  <c r="G109" i="6" s="1"/>
  <c r="I85" i="6"/>
  <c r="I109" i="6" s="1"/>
  <c r="K85" i="6"/>
  <c r="K109" i="6" s="1"/>
  <c r="M85" i="6"/>
  <c r="M109" i="6" s="1"/>
  <c r="O85" i="6"/>
  <c r="O109" i="6" s="1"/>
  <c r="Q85" i="6"/>
  <c r="Q109" i="6" s="1"/>
  <c r="G86" i="6"/>
  <c r="G110" i="6" s="1"/>
  <c r="I86" i="6"/>
  <c r="I110" i="6" s="1"/>
  <c r="K86" i="6"/>
  <c r="K110" i="6" s="1"/>
  <c r="M86" i="6"/>
  <c r="M110" i="6" s="1"/>
  <c r="O86" i="6"/>
  <c r="O110" i="6" s="1"/>
  <c r="Q86" i="6"/>
  <c r="Q110" i="6" s="1"/>
  <c r="F84" i="6"/>
  <c r="J84" i="6"/>
  <c r="L84" i="6"/>
  <c r="N84" i="6"/>
  <c r="P84" i="6"/>
  <c r="F85" i="6"/>
  <c r="F109" i="6" s="1"/>
  <c r="J85" i="6"/>
  <c r="J109" i="6" s="1"/>
  <c r="L85" i="6"/>
  <c r="L109" i="6" s="1"/>
  <c r="N85" i="6"/>
  <c r="N109" i="6" s="1"/>
  <c r="P85" i="6"/>
  <c r="P109" i="6" s="1"/>
  <c r="F86" i="6"/>
  <c r="F110" i="6" s="1"/>
  <c r="J86" i="6"/>
  <c r="J110" i="6" s="1"/>
  <c r="L86" i="6"/>
  <c r="L110" i="6" s="1"/>
  <c r="N86" i="6"/>
  <c r="N110" i="6" s="1"/>
  <c r="P86" i="6"/>
  <c r="P110" i="6" s="1"/>
  <c r="T62" i="5"/>
  <c r="T64" i="5" s="1"/>
  <c r="T70" i="5"/>
  <c r="X62" i="5"/>
  <c r="X64" i="5" s="1"/>
  <c r="X70" i="5"/>
  <c r="Y62" i="5"/>
  <c r="Y64" i="5" s="1"/>
  <c r="L63" i="5"/>
  <c r="L64" i="5" s="1"/>
  <c r="X37" i="5"/>
  <c r="X86" i="5"/>
  <c r="Z86" i="5"/>
  <c r="Z110" i="5" s="1"/>
  <c r="Z37" i="5"/>
  <c r="U14" i="5"/>
  <c r="U16" i="5" s="1"/>
  <c r="Y14" i="5"/>
  <c r="Y16" i="5" s="1"/>
  <c r="R91" i="5"/>
  <c r="R20" i="5"/>
  <c r="R22" i="5" s="1"/>
  <c r="T20" i="5"/>
  <c r="T22" i="5" s="1"/>
  <c r="T91" i="5"/>
  <c r="T93" i="5" s="1"/>
  <c r="T95" i="5" s="1"/>
  <c r="V91" i="5"/>
  <c r="V93" i="5" s="1"/>
  <c r="V95" i="5" s="1"/>
  <c r="V20" i="5"/>
  <c r="V22" i="5" s="1"/>
  <c r="X20" i="5"/>
  <c r="X22" i="5" s="1"/>
  <c r="X91" i="5"/>
  <c r="X93" i="5" s="1"/>
  <c r="X95" i="5" s="1"/>
  <c r="Z91" i="5"/>
  <c r="Z93" i="5" s="1"/>
  <c r="Z95" i="5" s="1"/>
  <c r="Z20" i="5"/>
  <c r="Z22" i="5" s="1"/>
  <c r="R97" i="5"/>
  <c r="T97" i="5"/>
  <c r="V97" i="5"/>
  <c r="V100" i="5" s="1"/>
  <c r="X97" i="5"/>
  <c r="Z97" i="5"/>
  <c r="Z100" i="5" s="1"/>
  <c r="R98" i="5"/>
  <c r="S99" i="5"/>
  <c r="U99" i="5"/>
  <c r="F29" i="5"/>
  <c r="R27" i="5"/>
  <c r="R29" i="5" s="1"/>
  <c r="V27" i="5"/>
  <c r="V29" i="5" s="1"/>
  <c r="Z27" i="5"/>
  <c r="Z29" i="5" s="1"/>
  <c r="R33" i="5"/>
  <c r="R104" i="5"/>
  <c r="T104" i="5"/>
  <c r="T33" i="5"/>
  <c r="V104" i="5"/>
  <c r="V33" i="5"/>
  <c r="X104" i="5"/>
  <c r="X33" i="5"/>
  <c r="Z33" i="5"/>
  <c r="Z104" i="5"/>
  <c r="Y33" i="5"/>
  <c r="S35" i="5"/>
  <c r="W35" i="5"/>
  <c r="AA35" i="5"/>
  <c r="U36" i="5"/>
  <c r="Y36" i="5"/>
  <c r="S37" i="5"/>
  <c r="R70" i="5"/>
  <c r="U70" i="5"/>
  <c r="U49" i="5"/>
  <c r="U51" i="5" s="1"/>
  <c r="W70" i="5"/>
  <c r="W49" i="5"/>
  <c r="W51" i="5" s="1"/>
  <c r="Y70" i="5"/>
  <c r="Y49" i="5"/>
  <c r="Y51" i="5" s="1"/>
  <c r="AA70" i="5"/>
  <c r="AA49" i="5"/>
  <c r="AA51" i="5" s="1"/>
  <c r="S72" i="5"/>
  <c r="U72" i="5"/>
  <c r="R49" i="5"/>
  <c r="R51" i="5" s="1"/>
  <c r="Z49" i="5"/>
  <c r="Z51" i="5" s="1"/>
  <c r="J57" i="5"/>
  <c r="N57" i="5"/>
  <c r="G64" i="5"/>
  <c r="J63" i="5"/>
  <c r="J101" i="5" s="1"/>
  <c r="N63" i="5"/>
  <c r="N101" i="5" s="1"/>
  <c r="R63" i="5"/>
  <c r="R101" i="5" s="1"/>
  <c r="I87" i="5"/>
  <c r="I89" i="5" s="1"/>
  <c r="M87" i="5"/>
  <c r="M89" i="5" s="1"/>
  <c r="Q87" i="5"/>
  <c r="Q89" i="5" s="1"/>
  <c r="L109" i="5"/>
  <c r="R14" i="5"/>
  <c r="R16" i="5" s="1"/>
  <c r="T14" i="5"/>
  <c r="T16" i="5" s="1"/>
  <c r="V14" i="5"/>
  <c r="V16" i="5" s="1"/>
  <c r="X14" i="5"/>
  <c r="X16" i="5" s="1"/>
  <c r="Z14" i="5"/>
  <c r="Z16" i="5" s="1"/>
  <c r="U91" i="5"/>
  <c r="U93" i="5" s="1"/>
  <c r="U95" i="5" s="1"/>
  <c r="W91" i="5"/>
  <c r="W93" i="5" s="1"/>
  <c r="W95" i="5" s="1"/>
  <c r="Y91" i="5"/>
  <c r="Y93" i="5" s="1"/>
  <c r="Y95" i="5" s="1"/>
  <c r="AA91" i="5"/>
  <c r="AA93" i="5" s="1"/>
  <c r="AA95" i="5" s="1"/>
  <c r="U27" i="5"/>
  <c r="U29" i="5" s="1"/>
  <c r="Y27" i="5"/>
  <c r="Y29" i="5" s="1"/>
  <c r="G101" i="5"/>
  <c r="T101" i="5"/>
  <c r="V101" i="5"/>
  <c r="X101" i="5"/>
  <c r="Z101" i="5"/>
  <c r="S104" i="5"/>
  <c r="U104" i="5"/>
  <c r="W104" i="5"/>
  <c r="Y104" i="5"/>
  <c r="AA104" i="5"/>
  <c r="AA106" i="5" s="1"/>
  <c r="V105" i="5"/>
  <c r="X105" i="5"/>
  <c r="Z105" i="5"/>
  <c r="R35" i="5"/>
  <c r="V35" i="5"/>
  <c r="Z35" i="5"/>
  <c r="R36" i="5"/>
  <c r="T36" i="5"/>
  <c r="V36" i="5"/>
  <c r="X36" i="5"/>
  <c r="Z36" i="5"/>
  <c r="R37" i="5"/>
  <c r="S70" i="5"/>
  <c r="R71" i="5"/>
  <c r="V71" i="5"/>
  <c r="X71" i="5"/>
  <c r="Z71" i="5"/>
  <c r="W72" i="5"/>
  <c r="Y72" i="5"/>
  <c r="S49" i="5"/>
  <c r="S51" i="5" s="1"/>
  <c r="I63" i="5"/>
  <c r="M63" i="5"/>
  <c r="Q63" i="5"/>
  <c r="V68" i="5"/>
  <c r="X68" i="5"/>
  <c r="Z68" i="5"/>
  <c r="V72" i="5"/>
  <c r="G108" i="5"/>
  <c r="G87" i="5"/>
  <c r="G89" i="5" s="1"/>
  <c r="J108" i="5"/>
  <c r="J87" i="5"/>
  <c r="J89" i="5" s="1"/>
  <c r="L108" i="5"/>
  <c r="L87" i="5"/>
  <c r="N108" i="5"/>
  <c r="N87" i="5"/>
  <c r="N89" i="5" s="1"/>
  <c r="P108" i="5"/>
  <c r="P87" i="5"/>
  <c r="P89" i="5" s="1"/>
  <c r="J109" i="5"/>
  <c r="N109" i="5"/>
  <c r="F87" i="5"/>
  <c r="F89" i="5" s="1"/>
  <c r="K87" i="5"/>
  <c r="K89" i="5" s="1"/>
  <c r="O87" i="5"/>
  <c r="O89" i="5" s="1"/>
  <c r="F100" i="5"/>
  <c r="I100" i="5"/>
  <c r="K100" i="5"/>
  <c r="M100" i="5"/>
  <c r="O100" i="5"/>
  <c r="Q100" i="5"/>
  <c r="G100" i="5"/>
  <c r="P100" i="5"/>
  <c r="M108" i="5"/>
  <c r="S84" i="4"/>
  <c r="S35" i="4"/>
  <c r="W84" i="4"/>
  <c r="W35" i="4"/>
  <c r="AA84" i="4"/>
  <c r="AA35" i="4"/>
  <c r="U85" i="4"/>
  <c r="U36" i="4"/>
  <c r="Y85" i="4"/>
  <c r="Y36" i="4"/>
  <c r="S86" i="4"/>
  <c r="S37" i="4"/>
  <c r="W86" i="4"/>
  <c r="W37" i="4"/>
  <c r="X20" i="4"/>
  <c r="X22" i="4" s="1"/>
  <c r="F22" i="4"/>
  <c r="J22" i="4"/>
  <c r="F28" i="4"/>
  <c r="F101" i="4" s="1"/>
  <c r="J28" i="4"/>
  <c r="J101" i="4" s="1"/>
  <c r="R33" i="4"/>
  <c r="V33" i="4"/>
  <c r="Z33" i="4"/>
  <c r="T35" i="4"/>
  <c r="X35" i="4"/>
  <c r="R36" i="4"/>
  <c r="V36" i="4"/>
  <c r="Z36" i="4"/>
  <c r="Y70" i="4"/>
  <c r="U84" i="4"/>
  <c r="S85" i="4"/>
  <c r="AA85" i="4"/>
  <c r="Y86" i="4"/>
  <c r="G87" i="4"/>
  <c r="G89" i="4" s="1"/>
  <c r="O87" i="4"/>
  <c r="O89" i="4" s="1"/>
  <c r="AA104" i="4"/>
  <c r="S14" i="4"/>
  <c r="S16" i="4" s="1"/>
  <c r="U14" i="4"/>
  <c r="U16" i="4" s="1"/>
  <c r="W14" i="4"/>
  <c r="W16" i="4" s="1"/>
  <c r="Y14" i="4"/>
  <c r="Y16" i="4" s="1"/>
  <c r="AA14" i="4"/>
  <c r="AA16" i="4" s="1"/>
  <c r="Y91" i="4"/>
  <c r="Y93" i="4" s="1"/>
  <c r="Y95" i="4" s="1"/>
  <c r="Y20" i="4"/>
  <c r="Y22" i="4" s="1"/>
  <c r="R20" i="4"/>
  <c r="R22" i="4" s="1"/>
  <c r="T20" i="4"/>
  <c r="T22" i="4" s="1"/>
  <c r="V20" i="4"/>
  <c r="V22" i="4" s="1"/>
  <c r="Z20" i="4"/>
  <c r="Z22" i="4" s="1"/>
  <c r="R27" i="4"/>
  <c r="R29" i="4" s="1"/>
  <c r="V27" i="4"/>
  <c r="V29" i="4" s="1"/>
  <c r="Z27" i="4"/>
  <c r="Z29" i="4" s="1"/>
  <c r="H28" i="4"/>
  <c r="T33" i="4"/>
  <c r="X33" i="4"/>
  <c r="R35" i="4"/>
  <c r="V35" i="4"/>
  <c r="Z35" i="4"/>
  <c r="T36" i="4"/>
  <c r="X36" i="4"/>
  <c r="R37" i="4"/>
  <c r="V37" i="4"/>
  <c r="Z37" i="4"/>
  <c r="R70" i="4"/>
  <c r="W70" i="4"/>
  <c r="W49" i="4"/>
  <c r="W51" i="4" s="1"/>
  <c r="Y71" i="4"/>
  <c r="Y49" i="4"/>
  <c r="Y51" i="4" s="1"/>
  <c r="R49" i="4"/>
  <c r="R51" i="4" s="1"/>
  <c r="T70" i="4"/>
  <c r="AA55" i="4"/>
  <c r="AA57" i="4" s="1"/>
  <c r="AA70" i="4"/>
  <c r="T55" i="4"/>
  <c r="T57" i="4" s="1"/>
  <c r="F64" i="4"/>
  <c r="J64" i="4"/>
  <c r="S71" i="4"/>
  <c r="AA71" i="4"/>
  <c r="I108" i="4"/>
  <c r="I87" i="4"/>
  <c r="I89" i="4" s="1"/>
  <c r="M108" i="4"/>
  <c r="M87" i="4"/>
  <c r="M89" i="4" s="1"/>
  <c r="Q108" i="4"/>
  <c r="Q87" i="4"/>
  <c r="Q89" i="4" s="1"/>
  <c r="Y84" i="4"/>
  <c r="W85" i="4"/>
  <c r="U86" i="4"/>
  <c r="K87" i="4"/>
  <c r="K89" i="4" s="1"/>
  <c r="AA91" i="4"/>
  <c r="AA93" i="4" s="1"/>
  <c r="AA95" i="4" s="1"/>
  <c r="U27" i="4"/>
  <c r="U29" i="4" s="1"/>
  <c r="W27" i="4"/>
  <c r="W29" i="4" s="1"/>
  <c r="Y27" i="4"/>
  <c r="Y29" i="4" s="1"/>
  <c r="G28" i="4"/>
  <c r="G101" i="4" s="1"/>
  <c r="K28" i="4"/>
  <c r="K101" i="4" s="1"/>
  <c r="W104" i="4"/>
  <c r="Y104" i="4"/>
  <c r="W105" i="4"/>
  <c r="Y105" i="4"/>
  <c r="AA105" i="4"/>
  <c r="S33" i="4"/>
  <c r="U33" i="4"/>
  <c r="W33" i="4"/>
  <c r="Y33" i="4"/>
  <c r="AA37" i="4"/>
  <c r="T71" i="4"/>
  <c r="V73" i="4"/>
  <c r="V62" i="4"/>
  <c r="V64" i="4" s="1"/>
  <c r="G109" i="4"/>
  <c r="I109" i="4"/>
  <c r="K109" i="4"/>
  <c r="M109" i="4"/>
  <c r="O109" i="4"/>
  <c r="Q109" i="4"/>
  <c r="G100" i="4"/>
  <c r="K100" i="4"/>
  <c r="O100" i="4"/>
  <c r="F87" i="4"/>
  <c r="F89" i="4" s="1"/>
  <c r="H87" i="4"/>
  <c r="H89" i="4" s="1"/>
  <c r="L87" i="4"/>
  <c r="L89" i="4" s="1"/>
  <c r="N87" i="4"/>
  <c r="N89" i="4" s="1"/>
  <c r="P87" i="4"/>
  <c r="P89" i="4" s="1"/>
  <c r="U27" i="3"/>
  <c r="U29" i="3" s="1"/>
  <c r="Y27" i="3"/>
  <c r="Y29" i="3" s="1"/>
  <c r="T36" i="3"/>
  <c r="X36" i="3"/>
  <c r="R37" i="3"/>
  <c r="S49" i="3"/>
  <c r="S51" i="3" s="1"/>
  <c r="S70" i="3"/>
  <c r="U49" i="3"/>
  <c r="U51" i="3" s="1"/>
  <c r="U70" i="3"/>
  <c r="W70" i="3"/>
  <c r="W49" i="3"/>
  <c r="W51" i="3" s="1"/>
  <c r="Y49" i="3"/>
  <c r="Y51" i="3" s="1"/>
  <c r="Y70" i="3"/>
  <c r="AA70" i="3"/>
  <c r="AA49" i="3"/>
  <c r="AA51" i="3" s="1"/>
  <c r="S71" i="3"/>
  <c r="S85" i="3"/>
  <c r="W71" i="3"/>
  <c r="W85" i="3"/>
  <c r="AA71" i="3"/>
  <c r="AA85" i="3"/>
  <c r="F64" i="3"/>
  <c r="K64" i="3"/>
  <c r="R14" i="3"/>
  <c r="R16" i="3" s="1"/>
  <c r="R84" i="3"/>
  <c r="T84" i="3"/>
  <c r="T14" i="3"/>
  <c r="T16" i="3" s="1"/>
  <c r="V14" i="3"/>
  <c r="V16" i="3" s="1"/>
  <c r="V84" i="3"/>
  <c r="X84" i="3"/>
  <c r="X14" i="3"/>
  <c r="X16" i="3" s="1"/>
  <c r="Z14" i="3"/>
  <c r="Z16" i="3" s="1"/>
  <c r="Z84" i="3"/>
  <c r="U86" i="3"/>
  <c r="U37" i="3"/>
  <c r="W86" i="3"/>
  <c r="W110" i="3" s="1"/>
  <c r="W37" i="3"/>
  <c r="Y86" i="3"/>
  <c r="Y37" i="3"/>
  <c r="AA86" i="3"/>
  <c r="AA37" i="3"/>
  <c r="U14" i="3"/>
  <c r="U16" i="3" s="1"/>
  <c r="Y14" i="3"/>
  <c r="Y16" i="3" s="1"/>
  <c r="R20" i="3"/>
  <c r="R22" i="3" s="1"/>
  <c r="V20" i="3"/>
  <c r="V22" i="3" s="1"/>
  <c r="Z20" i="3"/>
  <c r="Z22" i="3" s="1"/>
  <c r="S27" i="3"/>
  <c r="S29" i="3" s="1"/>
  <c r="W27" i="3"/>
  <c r="W29" i="3" s="1"/>
  <c r="AA27" i="3"/>
  <c r="AA29" i="3" s="1"/>
  <c r="S104" i="3"/>
  <c r="S106" i="3" s="1"/>
  <c r="S33" i="3"/>
  <c r="U104" i="3"/>
  <c r="U33" i="3"/>
  <c r="W104" i="3"/>
  <c r="W33" i="3"/>
  <c r="Y104" i="3"/>
  <c r="Y33" i="3"/>
  <c r="AA104" i="3"/>
  <c r="AA33" i="3"/>
  <c r="V33" i="3"/>
  <c r="Z33" i="3"/>
  <c r="T35" i="3"/>
  <c r="X35" i="3"/>
  <c r="R36" i="3"/>
  <c r="V36" i="3"/>
  <c r="Z36" i="3"/>
  <c r="G108" i="3"/>
  <c r="G87" i="3"/>
  <c r="G89" i="3" s="1"/>
  <c r="J108" i="3"/>
  <c r="J87" i="3"/>
  <c r="J89" i="3" s="1"/>
  <c r="L108" i="3"/>
  <c r="L87" i="3"/>
  <c r="L89" i="3" s="1"/>
  <c r="N108" i="3"/>
  <c r="N87" i="3"/>
  <c r="N89" i="3" s="1"/>
  <c r="P108" i="3"/>
  <c r="P87" i="3"/>
  <c r="P89" i="3" s="1"/>
  <c r="F94" i="3"/>
  <c r="K94" i="3"/>
  <c r="J100" i="3"/>
  <c r="N100" i="3"/>
  <c r="S84" i="3"/>
  <c r="U84" i="3"/>
  <c r="W84" i="3"/>
  <c r="Y84" i="3"/>
  <c r="AA84" i="3"/>
  <c r="S86" i="3"/>
  <c r="S91" i="3"/>
  <c r="U91" i="3"/>
  <c r="W91" i="3"/>
  <c r="Y91" i="3"/>
  <c r="AA91" i="3"/>
  <c r="S20" i="3"/>
  <c r="S22" i="3" s="1"/>
  <c r="U20" i="3"/>
  <c r="U22" i="3" s="1"/>
  <c r="W20" i="3"/>
  <c r="W22" i="3" s="1"/>
  <c r="Y20" i="3"/>
  <c r="Y22" i="3" s="1"/>
  <c r="AA20" i="3"/>
  <c r="AA22" i="3" s="1"/>
  <c r="R97" i="3"/>
  <c r="T97" i="3"/>
  <c r="V97" i="3"/>
  <c r="X97" i="3"/>
  <c r="Z97" i="3"/>
  <c r="R99" i="3"/>
  <c r="T99" i="3"/>
  <c r="V99" i="3"/>
  <c r="X99" i="3"/>
  <c r="X110" i="3" s="1"/>
  <c r="Z99" i="3"/>
  <c r="R27" i="3"/>
  <c r="R29" i="3" s="1"/>
  <c r="T27" i="3"/>
  <c r="T29" i="3" s="1"/>
  <c r="V27" i="3"/>
  <c r="V29" i="3" s="1"/>
  <c r="X27" i="3"/>
  <c r="X29" i="3" s="1"/>
  <c r="Z27" i="3"/>
  <c r="Z29" i="3" s="1"/>
  <c r="W105" i="3"/>
  <c r="AA105" i="3"/>
  <c r="S35" i="3"/>
  <c r="U35" i="3"/>
  <c r="W35" i="3"/>
  <c r="Y35" i="3"/>
  <c r="AA35" i="3"/>
  <c r="U36" i="3"/>
  <c r="Y36" i="3"/>
  <c r="S37" i="3"/>
  <c r="V70" i="3"/>
  <c r="X70" i="3"/>
  <c r="Z70" i="3"/>
  <c r="R72" i="3"/>
  <c r="T72" i="3"/>
  <c r="V72" i="3"/>
  <c r="X72" i="3"/>
  <c r="Z72" i="3"/>
  <c r="I63" i="3"/>
  <c r="I101" i="3" s="1"/>
  <c r="F109" i="3"/>
  <c r="I109" i="3"/>
  <c r="K109" i="3"/>
  <c r="M109" i="3"/>
  <c r="O109" i="3"/>
  <c r="Q109" i="3"/>
  <c r="T86" i="3"/>
  <c r="F87" i="3"/>
  <c r="F89" i="3" s="1"/>
  <c r="K87" i="3"/>
  <c r="K89" i="3" s="1"/>
  <c r="O87" i="3"/>
  <c r="O89" i="3" s="1"/>
  <c r="F108" i="3"/>
  <c r="O108" i="3"/>
  <c r="R14" i="2"/>
  <c r="R16" i="2" s="1"/>
  <c r="V14" i="2"/>
  <c r="V16" i="2" s="1"/>
  <c r="Z14" i="2"/>
  <c r="Z16" i="2" s="1"/>
  <c r="R35" i="2"/>
  <c r="V35" i="2"/>
  <c r="Z35" i="2"/>
  <c r="T36" i="2"/>
  <c r="X36" i="2"/>
  <c r="R37" i="2"/>
  <c r="V37" i="2"/>
  <c r="Z37" i="2"/>
  <c r="W70" i="2"/>
  <c r="W49" i="2"/>
  <c r="W51" i="2" s="1"/>
  <c r="Y70" i="2"/>
  <c r="Y49" i="2"/>
  <c r="Y51" i="2" s="1"/>
  <c r="AA70" i="2"/>
  <c r="AA49" i="2"/>
  <c r="AA51" i="2" s="1"/>
  <c r="Y85" i="2"/>
  <c r="Y71" i="2"/>
  <c r="F94" i="2"/>
  <c r="F63" i="2"/>
  <c r="F64" i="2" s="1"/>
  <c r="I63" i="2"/>
  <c r="I64" i="2" s="1"/>
  <c r="I94" i="2"/>
  <c r="U70" i="2"/>
  <c r="S85" i="2"/>
  <c r="W85" i="2"/>
  <c r="AA85" i="2"/>
  <c r="T14" i="2"/>
  <c r="T16" i="2" s="1"/>
  <c r="X14" i="2"/>
  <c r="X16" i="2" s="1"/>
  <c r="U20" i="2"/>
  <c r="U22" i="2" s="1"/>
  <c r="Y20" i="2"/>
  <c r="Y22" i="2" s="1"/>
  <c r="F29" i="2"/>
  <c r="R27" i="2"/>
  <c r="R29" i="2" s="1"/>
  <c r="V27" i="2"/>
  <c r="V29" i="2" s="1"/>
  <c r="Z27" i="2"/>
  <c r="Z29" i="2" s="1"/>
  <c r="R33" i="2"/>
  <c r="V33" i="2"/>
  <c r="Z33" i="2"/>
  <c r="T35" i="2"/>
  <c r="X35" i="2"/>
  <c r="R36" i="2"/>
  <c r="V36" i="2"/>
  <c r="Z36" i="2"/>
  <c r="T37" i="2"/>
  <c r="X37" i="2"/>
  <c r="L63" i="2"/>
  <c r="L64" i="2" s="1"/>
  <c r="S70" i="2"/>
  <c r="X70" i="2"/>
  <c r="U71" i="2"/>
  <c r="F87" i="2"/>
  <c r="F89" i="2" s="1"/>
  <c r="K87" i="2"/>
  <c r="K89" i="2" s="1"/>
  <c r="O87" i="2"/>
  <c r="O89" i="2" s="1"/>
  <c r="M108" i="2"/>
  <c r="S84" i="2"/>
  <c r="U84" i="2"/>
  <c r="W84" i="2"/>
  <c r="Y84" i="2"/>
  <c r="AA84" i="2"/>
  <c r="S86" i="2"/>
  <c r="S110" i="2" s="1"/>
  <c r="U86" i="2"/>
  <c r="U110" i="2" s="1"/>
  <c r="W86" i="2"/>
  <c r="W110" i="2" s="1"/>
  <c r="Y86" i="2"/>
  <c r="AA86" i="2"/>
  <c r="S14" i="2"/>
  <c r="S16" i="2" s="1"/>
  <c r="U14" i="2"/>
  <c r="U16" i="2" s="1"/>
  <c r="W14" i="2"/>
  <c r="W16" i="2" s="1"/>
  <c r="Y14" i="2"/>
  <c r="Y16" i="2" s="1"/>
  <c r="AA14" i="2"/>
  <c r="AA16" i="2" s="1"/>
  <c r="T20" i="2"/>
  <c r="T22" i="2" s="1"/>
  <c r="X20" i="2"/>
  <c r="X22" i="2" s="1"/>
  <c r="R99" i="2"/>
  <c r="S27" i="2"/>
  <c r="S29" i="2" s="1"/>
  <c r="W27" i="2"/>
  <c r="W29" i="2" s="1"/>
  <c r="AA27" i="2"/>
  <c r="AA29" i="2" s="1"/>
  <c r="J101" i="2"/>
  <c r="N101" i="2"/>
  <c r="P101" i="2"/>
  <c r="R101" i="2"/>
  <c r="T101" i="2"/>
  <c r="V101" i="2"/>
  <c r="X101" i="2"/>
  <c r="Z101" i="2"/>
  <c r="S104" i="2"/>
  <c r="U104" i="2"/>
  <c r="W104" i="2"/>
  <c r="Y104" i="2"/>
  <c r="AA104" i="2"/>
  <c r="U105" i="2"/>
  <c r="Y105" i="2"/>
  <c r="S33" i="2"/>
  <c r="U33" i="2"/>
  <c r="W33" i="2"/>
  <c r="Y33" i="2"/>
  <c r="AA33" i="2"/>
  <c r="S35" i="2"/>
  <c r="U35" i="2"/>
  <c r="W35" i="2"/>
  <c r="Y35" i="2"/>
  <c r="AA35" i="2"/>
  <c r="S36" i="2"/>
  <c r="W36" i="2"/>
  <c r="AA36" i="2"/>
  <c r="S37" i="2"/>
  <c r="U37" i="2"/>
  <c r="W37" i="2"/>
  <c r="Y37" i="2"/>
  <c r="AA37" i="2"/>
  <c r="R71" i="2"/>
  <c r="T71" i="2"/>
  <c r="V71" i="2"/>
  <c r="X71" i="2"/>
  <c r="Z71" i="2"/>
  <c r="G108" i="2"/>
  <c r="G87" i="2"/>
  <c r="G89" i="2" s="1"/>
  <c r="J108" i="2"/>
  <c r="J87" i="2"/>
  <c r="J89" i="2" s="1"/>
  <c r="L108" i="2"/>
  <c r="L87" i="2"/>
  <c r="L89" i="2" s="1"/>
  <c r="N108" i="2"/>
  <c r="N87" i="2"/>
  <c r="N89" i="2" s="1"/>
  <c r="P108" i="2"/>
  <c r="P87" i="2"/>
  <c r="P89" i="2" s="1"/>
  <c r="I87" i="2"/>
  <c r="I89" i="2" s="1"/>
  <c r="M87" i="2"/>
  <c r="M89" i="2" s="1"/>
  <c r="Q87" i="2"/>
  <c r="Q89" i="2" s="1"/>
  <c r="I108" i="2"/>
  <c r="Q108" i="2"/>
  <c r="G115" i="2"/>
  <c r="L115" i="2"/>
  <c r="P115" i="2"/>
  <c r="T115" i="2"/>
  <c r="X77" i="2"/>
  <c r="W115" i="2"/>
  <c r="F95" i="3" l="1"/>
  <c r="W93" i="2"/>
  <c r="W95" i="2" s="1"/>
  <c r="AA93" i="2"/>
  <c r="AA95" i="2" s="1"/>
  <c r="S93" i="2"/>
  <c r="S95" i="2" s="1"/>
  <c r="U93" i="3"/>
  <c r="U95" i="3" s="1"/>
  <c r="Z93" i="3"/>
  <c r="Z95" i="3" s="1"/>
  <c r="V87" i="4"/>
  <c r="V89" i="4" s="1"/>
  <c r="Y100" i="3"/>
  <c r="S100" i="3"/>
  <c r="V106" i="3"/>
  <c r="T106" i="2"/>
  <c r="S110" i="3"/>
  <c r="Y106" i="3"/>
  <c r="U110" i="3"/>
  <c r="AA110" i="3"/>
  <c r="V93" i="3"/>
  <c r="V95" i="3" s="1"/>
  <c r="R110" i="3"/>
  <c r="U100" i="3"/>
  <c r="U102" i="3" s="1"/>
  <c r="AA87" i="5"/>
  <c r="AA89" i="5" s="1"/>
  <c r="S109" i="5"/>
  <c r="U100" i="2"/>
  <c r="R100" i="2"/>
  <c r="R102" i="2" s="1"/>
  <c r="O102" i="2"/>
  <c r="P111" i="2"/>
  <c r="P102" i="2"/>
  <c r="AA106" i="2"/>
  <c r="Z106" i="2"/>
  <c r="T87" i="2"/>
  <c r="T89" i="2" s="1"/>
  <c r="AA109" i="2"/>
  <c r="N102" i="2"/>
  <c r="X113" i="6"/>
  <c r="X115" i="6" s="1"/>
  <c r="V73" i="2"/>
  <c r="V108" i="2"/>
  <c r="U110" i="4"/>
  <c r="X110" i="4"/>
  <c r="F102" i="4"/>
  <c r="X106" i="4"/>
  <c r="R106" i="4"/>
  <c r="S73" i="4"/>
  <c r="T106" i="4"/>
  <c r="W110" i="4"/>
  <c r="U106" i="4"/>
  <c r="J111" i="3"/>
  <c r="O111" i="2"/>
  <c r="Z106" i="3"/>
  <c r="T106" i="3"/>
  <c r="S106" i="2"/>
  <c r="S109" i="2"/>
  <c r="W100" i="3"/>
  <c r="W102" i="3" s="1"/>
  <c r="T73" i="2"/>
  <c r="V100" i="2"/>
  <c r="V102" i="2" s="1"/>
  <c r="X108" i="4"/>
  <c r="X87" i="4"/>
  <c r="X89" i="4" s="1"/>
  <c r="T110" i="2"/>
  <c r="AA100" i="3"/>
  <c r="AA102" i="3" s="1"/>
  <c r="Z110" i="3"/>
  <c r="V110" i="2"/>
  <c r="J102" i="2"/>
  <c r="Z38" i="3"/>
  <c r="X93" i="3"/>
  <c r="X95" i="3" s="1"/>
  <c r="V106" i="2"/>
  <c r="X100" i="4"/>
  <c r="X102" i="4" s="1"/>
  <c r="R110" i="4"/>
  <c r="Z87" i="2"/>
  <c r="Z89" i="2" s="1"/>
  <c r="I95" i="4"/>
  <c r="Z108" i="4"/>
  <c r="T109" i="4"/>
  <c r="V109" i="4"/>
  <c r="X73" i="4"/>
  <c r="R87" i="4"/>
  <c r="R89" i="4" s="1"/>
  <c r="Z106" i="4"/>
  <c r="X106" i="3"/>
  <c r="Y73" i="3"/>
  <c r="W93" i="3"/>
  <c r="W95" i="3" s="1"/>
  <c r="V38" i="3"/>
  <c r="Y100" i="2"/>
  <c r="Y102" i="2" s="1"/>
  <c r="X93" i="2"/>
  <c r="X95" i="2" s="1"/>
  <c r="AA86" i="6"/>
  <c r="S110" i="4"/>
  <c r="Z109" i="4"/>
  <c r="X109" i="2"/>
  <c r="F111" i="2"/>
  <c r="Y110" i="2"/>
  <c r="I95" i="2"/>
  <c r="W100" i="4"/>
  <c r="W102" i="4" s="1"/>
  <c r="X108" i="2"/>
  <c r="L89" i="5"/>
  <c r="R109" i="3"/>
  <c r="U73" i="3"/>
  <c r="S102" i="3"/>
  <c r="Y109" i="3"/>
  <c r="K95" i="2"/>
  <c r="R106" i="5"/>
  <c r="P95" i="5"/>
  <c r="U87" i="5"/>
  <c r="U89" i="5" s="1"/>
  <c r="Y106" i="2"/>
  <c r="T100" i="2"/>
  <c r="T102" i="2" s="1"/>
  <c r="X110" i="2"/>
  <c r="R73" i="2"/>
  <c r="G111" i="2"/>
  <c r="K102" i="2"/>
  <c r="R93" i="2"/>
  <c r="R95" i="2" s="1"/>
  <c r="Z109" i="2"/>
  <c r="W73" i="2"/>
  <c r="U109" i="2"/>
  <c r="AA38" i="5"/>
  <c r="W110" i="5"/>
  <c r="Y106" i="5"/>
  <c r="W106" i="5"/>
  <c r="J95" i="5"/>
  <c r="W98" i="6"/>
  <c r="V93" i="2"/>
  <c r="V95" i="2" s="1"/>
  <c r="R108" i="2"/>
  <c r="Z100" i="2"/>
  <c r="Z102" i="2" s="1"/>
  <c r="T93" i="2"/>
  <c r="T95" i="2" s="1"/>
  <c r="U93" i="2"/>
  <c r="U95" i="2" s="1"/>
  <c r="V109" i="2"/>
  <c r="V111" i="2" s="1"/>
  <c r="V87" i="5"/>
  <c r="V89" i="5" s="1"/>
  <c r="U38" i="4"/>
  <c r="Y110" i="3"/>
  <c r="X55" i="6"/>
  <c r="X57" i="6" s="1"/>
  <c r="X68" i="6"/>
  <c r="L111" i="2"/>
  <c r="S102" i="2"/>
  <c r="Y68" i="6"/>
  <c r="S73" i="2"/>
  <c r="V109" i="5"/>
  <c r="AA109" i="5"/>
  <c r="U100" i="4"/>
  <c r="U102" i="4" s="1"/>
  <c r="AA92" i="6"/>
  <c r="U73" i="4"/>
  <c r="X87" i="2"/>
  <c r="X89" i="2" s="1"/>
  <c r="Y110" i="4"/>
  <c r="P64" i="5"/>
  <c r="R97" i="6"/>
  <c r="S100" i="4"/>
  <c r="S102" i="4" s="1"/>
  <c r="U109" i="3"/>
  <c r="R93" i="4"/>
  <c r="R95" i="4" s="1"/>
  <c r="Z73" i="2"/>
  <c r="Y100" i="5"/>
  <c r="Y102" i="5" s="1"/>
  <c r="T108" i="4"/>
  <c r="T108" i="5"/>
  <c r="T108" i="2"/>
  <c r="P101" i="5"/>
  <c r="P102" i="5" s="1"/>
  <c r="Z110" i="2"/>
  <c r="G63" i="6"/>
  <c r="G64" i="6" s="1"/>
  <c r="I95" i="5"/>
  <c r="N111" i="2"/>
  <c r="J111" i="2"/>
  <c r="Z93" i="2"/>
  <c r="Z95" i="2" s="1"/>
  <c r="T109" i="2"/>
  <c r="W100" i="2"/>
  <c r="W102" i="2" s="1"/>
  <c r="R87" i="2"/>
  <c r="R89" i="2" s="1"/>
  <c r="K111" i="3"/>
  <c r="Q111" i="3"/>
  <c r="X99" i="6"/>
  <c r="R109" i="4"/>
  <c r="J111" i="4"/>
  <c r="K95" i="4"/>
  <c r="Y100" i="4"/>
  <c r="Y102" i="4" s="1"/>
  <c r="Z73" i="4"/>
  <c r="U106" i="5"/>
  <c r="X110" i="5"/>
  <c r="L95" i="5"/>
  <c r="U109" i="5"/>
  <c r="N102" i="5"/>
  <c r="U100" i="5"/>
  <c r="U102" i="5" s="1"/>
  <c r="X100" i="5"/>
  <c r="X102" i="5" s="1"/>
  <c r="K111" i="5"/>
  <c r="X38" i="5"/>
  <c r="F111" i="5"/>
  <c r="R87" i="5"/>
  <c r="R89" i="5" s="1"/>
  <c r="T87" i="5"/>
  <c r="T89" i="5" s="1"/>
  <c r="O102" i="4"/>
  <c r="X100" i="2"/>
  <c r="X102" i="2" s="1"/>
  <c r="K111" i="2"/>
  <c r="M111" i="2"/>
  <c r="Z108" i="2"/>
  <c r="T38" i="3"/>
  <c r="R38" i="3"/>
  <c r="X109" i="3"/>
  <c r="S109" i="4"/>
  <c r="J102" i="4"/>
  <c r="G95" i="4"/>
  <c r="Y38" i="4"/>
  <c r="AA100" i="5"/>
  <c r="AA102" i="5" s="1"/>
  <c r="X109" i="5"/>
  <c r="O111" i="5"/>
  <c r="O64" i="5"/>
  <c r="T109" i="5"/>
  <c r="S62" i="6"/>
  <c r="S64" i="6" s="1"/>
  <c r="Q102" i="4"/>
  <c r="T102" i="4"/>
  <c r="F95" i="4"/>
  <c r="Z100" i="4"/>
  <c r="Z102" i="4" s="1"/>
  <c r="N102" i="4"/>
  <c r="W73" i="4"/>
  <c r="I102" i="4"/>
  <c r="I28" i="6"/>
  <c r="I29" i="6" s="1"/>
  <c r="X72" i="6"/>
  <c r="W55" i="6"/>
  <c r="W57" i="6" s="1"/>
  <c r="X109" i="4"/>
  <c r="V100" i="4"/>
  <c r="V102" i="4" s="1"/>
  <c r="R108" i="4"/>
  <c r="F111" i="4"/>
  <c r="M95" i="5"/>
  <c r="N95" i="5"/>
  <c r="K64" i="5"/>
  <c r="K63" i="6"/>
  <c r="K64" i="6" s="1"/>
  <c r="F95" i="5"/>
  <c r="Q95" i="5"/>
  <c r="R98" i="6"/>
  <c r="T86" i="6"/>
  <c r="S105" i="6"/>
  <c r="T20" i="6"/>
  <c r="T22" i="6" s="1"/>
  <c r="AA98" i="6"/>
  <c r="T92" i="6"/>
  <c r="U92" i="6"/>
  <c r="G95" i="5"/>
  <c r="Y38" i="5"/>
  <c r="O101" i="5"/>
  <c r="O102" i="5" s="1"/>
  <c r="W100" i="5"/>
  <c r="W102" i="5" s="1"/>
  <c r="S87" i="5"/>
  <c r="S89" i="5" s="1"/>
  <c r="W87" i="5"/>
  <c r="W89" i="5" s="1"/>
  <c r="W104" i="6"/>
  <c r="T110" i="5"/>
  <c r="W109" i="5"/>
  <c r="Y87" i="5"/>
  <c r="Y89" i="5" s="1"/>
  <c r="Z73" i="5"/>
  <c r="I111" i="5"/>
  <c r="Y110" i="5"/>
  <c r="Z109" i="5"/>
  <c r="U38" i="5"/>
  <c r="T106" i="5"/>
  <c r="F101" i="5"/>
  <c r="F102" i="5" s="1"/>
  <c r="S84" i="6"/>
  <c r="T84" i="6"/>
  <c r="X87" i="5"/>
  <c r="X89" i="5" s="1"/>
  <c r="X84" i="6"/>
  <c r="Z72" i="6"/>
  <c r="T72" i="6"/>
  <c r="T98" i="6"/>
  <c r="N111" i="4"/>
  <c r="X62" i="6"/>
  <c r="X64" i="6" s="1"/>
  <c r="X98" i="6"/>
  <c r="S49" i="6"/>
  <c r="S51" i="6" s="1"/>
  <c r="U109" i="4"/>
  <c r="J95" i="4"/>
  <c r="R85" i="6"/>
  <c r="AA100" i="4"/>
  <c r="AA102" i="4" s="1"/>
  <c r="W86" i="6"/>
  <c r="R100" i="4"/>
  <c r="R102" i="4" s="1"/>
  <c r="Y86" i="6"/>
  <c r="AA37" i="6"/>
  <c r="Z104" i="6"/>
  <c r="Z97" i="6"/>
  <c r="V98" i="6"/>
  <c r="V110" i="3"/>
  <c r="W72" i="6"/>
  <c r="Z20" i="6"/>
  <c r="Z22" i="6" s="1"/>
  <c r="T73" i="3"/>
  <c r="AA93" i="3"/>
  <c r="AA95" i="3" s="1"/>
  <c r="S93" i="3"/>
  <c r="S95" i="3" s="1"/>
  <c r="U106" i="3"/>
  <c r="S109" i="3"/>
  <c r="G64" i="3"/>
  <c r="T68" i="6"/>
  <c r="T105" i="6"/>
  <c r="U105" i="6"/>
  <c r="Y84" i="6"/>
  <c r="Z71" i="6"/>
  <c r="R73" i="3"/>
  <c r="K95" i="3"/>
  <c r="L111" i="3"/>
  <c r="G111" i="3"/>
  <c r="X38" i="3"/>
  <c r="S86" i="6"/>
  <c r="W84" i="6"/>
  <c r="AA68" i="6"/>
  <c r="V62" i="6"/>
  <c r="V64" i="6" s="1"/>
  <c r="W37" i="6"/>
  <c r="Z84" i="6"/>
  <c r="U84" i="6"/>
  <c r="U104" i="6"/>
  <c r="AA20" i="6"/>
  <c r="AA22" i="6" s="1"/>
  <c r="U20" i="6"/>
  <c r="U22" i="6" s="1"/>
  <c r="M102" i="2"/>
  <c r="AA71" i="6"/>
  <c r="W33" i="6"/>
  <c r="W62" i="6"/>
  <c r="W64" i="6" s="1"/>
  <c r="V104" i="6"/>
  <c r="V27" i="6"/>
  <c r="V29" i="6" s="1"/>
  <c r="S98" i="6"/>
  <c r="AA84" i="6"/>
  <c r="V92" i="6"/>
  <c r="Y92" i="6"/>
  <c r="U70" i="6"/>
  <c r="AA100" i="2"/>
  <c r="AA102" i="2" s="1"/>
  <c r="Q111" i="2"/>
  <c r="I111" i="2"/>
  <c r="W109" i="2"/>
  <c r="F95" i="2"/>
  <c r="AA73" i="2"/>
  <c r="R109" i="2"/>
  <c r="Y99" i="6"/>
  <c r="AA97" i="6"/>
  <c r="AA105" i="6"/>
  <c r="Z33" i="6"/>
  <c r="Z37" i="6"/>
  <c r="U98" i="6"/>
  <c r="Y20" i="6"/>
  <c r="Y22" i="6" s="1"/>
  <c r="X92" i="6"/>
  <c r="W106" i="2"/>
  <c r="X20" i="6"/>
  <c r="X22" i="6" s="1"/>
  <c r="Z99" i="6"/>
  <c r="V87" i="2"/>
  <c r="V89" i="2" s="1"/>
  <c r="G101" i="2"/>
  <c r="G102" i="2" s="1"/>
  <c r="Q102" i="2"/>
  <c r="X27" i="6"/>
  <c r="X29" i="6" s="1"/>
  <c r="W105" i="6"/>
  <c r="Y55" i="6"/>
  <c r="Y57" i="6" s="1"/>
  <c r="W20" i="6"/>
  <c r="W22" i="6" s="1"/>
  <c r="S92" i="6"/>
  <c r="AA110" i="2"/>
  <c r="X106" i="2"/>
  <c r="X70" i="6"/>
  <c r="R84" i="6"/>
  <c r="W71" i="6"/>
  <c r="V20" i="6"/>
  <c r="V22" i="6" s="1"/>
  <c r="Z92" i="6"/>
  <c r="S72" i="6"/>
  <c r="X71" i="6"/>
  <c r="S55" i="6"/>
  <c r="S57" i="6" s="1"/>
  <c r="W92" i="6"/>
  <c r="T55" i="6"/>
  <c r="T57" i="6" s="1"/>
  <c r="O111" i="3"/>
  <c r="Z86" i="6"/>
  <c r="O102" i="3"/>
  <c r="J101" i="3"/>
  <c r="J102" i="3" s="1"/>
  <c r="W70" i="6"/>
  <c r="Z62" i="6"/>
  <c r="Z64" i="6" s="1"/>
  <c r="R72" i="6"/>
  <c r="V33" i="6"/>
  <c r="R105" i="6"/>
  <c r="U37" i="6"/>
  <c r="X33" i="6"/>
  <c r="Z98" i="6"/>
  <c r="V71" i="6"/>
  <c r="I111" i="3"/>
  <c r="Y93" i="3"/>
  <c r="Y95" i="3" s="1"/>
  <c r="P111" i="3"/>
  <c r="F102" i="3"/>
  <c r="Z109" i="3"/>
  <c r="X91" i="6"/>
  <c r="S104" i="6"/>
  <c r="R37" i="6"/>
  <c r="V84" i="6"/>
  <c r="U99" i="6"/>
  <c r="W91" i="6"/>
  <c r="R68" i="6"/>
  <c r="AA14" i="6"/>
  <c r="AA16" i="6" s="1"/>
  <c r="R71" i="6"/>
  <c r="V105" i="6"/>
  <c r="T97" i="6"/>
  <c r="V37" i="6"/>
  <c r="V68" i="6"/>
  <c r="T109" i="3"/>
  <c r="U55" i="6"/>
  <c r="U57" i="6" s="1"/>
  <c r="AA27" i="6"/>
  <c r="AA29" i="6" s="1"/>
  <c r="V109" i="3"/>
  <c r="U91" i="6"/>
  <c r="X37" i="6"/>
  <c r="R99" i="6"/>
  <c r="W49" i="6"/>
  <c r="W51" i="6" s="1"/>
  <c r="T62" i="6"/>
  <c r="T64" i="6" s="1"/>
  <c r="S99" i="6"/>
  <c r="L102" i="3"/>
  <c r="Y98" i="6"/>
  <c r="P102" i="3"/>
  <c r="Y102" i="3"/>
  <c r="X104" i="6"/>
  <c r="S71" i="6"/>
  <c r="R27" i="6"/>
  <c r="R29" i="6" s="1"/>
  <c r="K111" i="4"/>
  <c r="Z38" i="4"/>
  <c r="V86" i="6"/>
  <c r="M102" i="4"/>
  <c r="I29" i="4"/>
  <c r="Y91" i="6"/>
  <c r="Y71" i="6"/>
  <c r="T27" i="6"/>
  <c r="T29" i="6" s="1"/>
  <c r="AA35" i="6"/>
  <c r="W68" i="6"/>
  <c r="R62" i="6"/>
  <c r="Y105" i="6"/>
  <c r="U62" i="6"/>
  <c r="U64" i="6" s="1"/>
  <c r="Y37" i="6"/>
  <c r="Z105" i="6"/>
  <c r="S33" i="6"/>
  <c r="Z27" i="6"/>
  <c r="Z29" i="6" s="1"/>
  <c r="Z68" i="6"/>
  <c r="L111" i="4"/>
  <c r="U33" i="6"/>
  <c r="O111" i="4"/>
  <c r="R73" i="4"/>
  <c r="R38" i="4"/>
  <c r="U86" i="6"/>
  <c r="P102" i="4"/>
  <c r="V110" i="4"/>
  <c r="L102" i="4"/>
  <c r="V97" i="6"/>
  <c r="U71" i="6"/>
  <c r="R92" i="6"/>
  <c r="S37" i="6"/>
  <c r="T91" i="6"/>
  <c r="S68" i="6"/>
  <c r="T99" i="6"/>
  <c r="X97" i="6"/>
  <c r="X105" i="6"/>
  <c r="T38" i="5"/>
  <c r="S106" i="5"/>
  <c r="AA73" i="5"/>
  <c r="W38" i="5"/>
  <c r="X86" i="6"/>
  <c r="U36" i="6"/>
  <c r="U85" i="6"/>
  <c r="W14" i="6"/>
  <c r="W16" i="6" s="1"/>
  <c r="W35" i="6"/>
  <c r="T14" i="6"/>
  <c r="T16" i="6" s="1"/>
  <c r="T35" i="6"/>
  <c r="R104" i="6"/>
  <c r="K57" i="6"/>
  <c r="K94" i="6"/>
  <c r="K95" i="6" s="1"/>
  <c r="T71" i="6"/>
  <c r="T49" i="6"/>
  <c r="T51" i="6" s="1"/>
  <c r="V70" i="6"/>
  <c r="V49" i="6"/>
  <c r="V51" i="6" s="1"/>
  <c r="W27" i="6"/>
  <c r="W29" i="6" s="1"/>
  <c r="W97" i="6"/>
  <c r="S70" i="6"/>
  <c r="AA72" i="6"/>
  <c r="AA99" i="6"/>
  <c r="AA62" i="6"/>
  <c r="AA64" i="6" s="1"/>
  <c r="Y62" i="6"/>
  <c r="Y64" i="6" s="1"/>
  <c r="N57" i="6"/>
  <c r="N94" i="6"/>
  <c r="N95" i="6" s="1"/>
  <c r="AA55" i="6"/>
  <c r="AA57" i="6" s="1"/>
  <c r="AA70" i="6"/>
  <c r="R55" i="6"/>
  <c r="R57" i="6" s="1"/>
  <c r="R91" i="6"/>
  <c r="U72" i="6"/>
  <c r="Y49" i="6"/>
  <c r="Y51" i="6" s="1"/>
  <c r="W36" i="6"/>
  <c r="W85" i="6"/>
  <c r="Y14" i="6"/>
  <c r="Y16" i="6" s="1"/>
  <c r="Y35" i="6"/>
  <c r="Q57" i="6"/>
  <c r="Q94" i="6"/>
  <c r="Q95" i="6" s="1"/>
  <c r="W99" i="6"/>
  <c r="Z36" i="6"/>
  <c r="Z85" i="6"/>
  <c r="AA104" i="6"/>
  <c r="P57" i="6"/>
  <c r="P94" i="6"/>
  <c r="P95" i="6" s="1"/>
  <c r="Z55" i="6"/>
  <c r="Z57" i="6" s="1"/>
  <c r="Z91" i="6"/>
  <c r="S20" i="6"/>
  <c r="S22" i="6" s="1"/>
  <c r="S91" i="6"/>
  <c r="T36" i="6"/>
  <c r="T85" i="6"/>
  <c r="V55" i="6"/>
  <c r="V57" i="6" s="1"/>
  <c r="V91" i="6"/>
  <c r="X14" i="6"/>
  <c r="X16" i="6" s="1"/>
  <c r="X35" i="6"/>
  <c r="S110" i="5"/>
  <c r="R93" i="5"/>
  <c r="R95" i="5" s="1"/>
  <c r="AA33" i="6"/>
  <c r="R70" i="6"/>
  <c r="Y36" i="6"/>
  <c r="Y85" i="6"/>
  <c r="S35" i="6"/>
  <c r="S14" i="6"/>
  <c r="S16" i="6" s="1"/>
  <c r="X49" i="6"/>
  <c r="X51" i="6" s="1"/>
  <c r="V36" i="6"/>
  <c r="V85" i="6"/>
  <c r="O94" i="6"/>
  <c r="O95" i="6" s="1"/>
  <c r="O57" i="6"/>
  <c r="F57" i="6"/>
  <c r="F94" i="6"/>
  <c r="F95" i="6" s="1"/>
  <c r="Z70" i="6"/>
  <c r="Z49" i="6"/>
  <c r="Z51" i="6" s="1"/>
  <c r="S27" i="6"/>
  <c r="S29" i="6" s="1"/>
  <c r="S97" i="6"/>
  <c r="R110" i="5"/>
  <c r="T104" i="6"/>
  <c r="T70" i="6"/>
  <c r="V72" i="6"/>
  <c r="V99" i="6"/>
  <c r="J57" i="6"/>
  <c r="J94" i="6"/>
  <c r="J95" i="6" s="1"/>
  <c r="U49" i="6"/>
  <c r="U51" i="6" s="1"/>
  <c r="Y33" i="6"/>
  <c r="AA36" i="6"/>
  <c r="AA85" i="6"/>
  <c r="S36" i="6"/>
  <c r="S85" i="6"/>
  <c r="U35" i="6"/>
  <c r="U14" i="6"/>
  <c r="U16" i="6" s="1"/>
  <c r="U68" i="6"/>
  <c r="I57" i="6"/>
  <c r="I94" i="6"/>
  <c r="I95" i="6" s="1"/>
  <c r="U27" i="6"/>
  <c r="U29" i="6" s="1"/>
  <c r="U97" i="6"/>
  <c r="T37" i="6"/>
  <c r="R36" i="6"/>
  <c r="AA91" i="6"/>
  <c r="G57" i="6"/>
  <c r="G94" i="6"/>
  <c r="G95" i="6" s="1"/>
  <c r="V14" i="6"/>
  <c r="V16" i="6" s="1"/>
  <c r="V35" i="6"/>
  <c r="R109" i="5"/>
  <c r="T100" i="5"/>
  <c r="T102" i="5" s="1"/>
  <c r="T73" i="5"/>
  <c r="AA49" i="6"/>
  <c r="AA51" i="6" s="1"/>
  <c r="R86" i="6"/>
  <c r="L57" i="6"/>
  <c r="L94" i="6"/>
  <c r="L95" i="6" s="1"/>
  <c r="R49" i="6"/>
  <c r="R51" i="6" s="1"/>
  <c r="L51" i="6"/>
  <c r="L88" i="6"/>
  <c r="R33" i="6"/>
  <c r="X36" i="6"/>
  <c r="X85" i="6"/>
  <c r="Z35" i="6"/>
  <c r="Z14" i="6"/>
  <c r="Z16" i="6" s="1"/>
  <c r="R35" i="6"/>
  <c r="R14" i="6"/>
  <c r="R16" i="6" s="1"/>
  <c r="M57" i="6"/>
  <c r="M94" i="6"/>
  <c r="M95" i="6" s="1"/>
  <c r="Y72" i="6"/>
  <c r="Y27" i="6"/>
  <c r="Y29" i="6" s="1"/>
  <c r="Y97" i="6"/>
  <c r="Y104" i="6"/>
  <c r="Y70" i="6"/>
  <c r="R20" i="6"/>
  <c r="R22" i="6" s="1"/>
  <c r="T33" i="6"/>
  <c r="G102" i="3"/>
  <c r="M111" i="3"/>
  <c r="I102" i="3"/>
  <c r="AA38" i="3"/>
  <c r="N111" i="3"/>
  <c r="M102" i="3"/>
  <c r="K102" i="3"/>
  <c r="T38" i="4"/>
  <c r="K102" i="4"/>
  <c r="G111" i="4"/>
  <c r="T73" i="4"/>
  <c r="AA109" i="4"/>
  <c r="H111" i="4"/>
  <c r="V115" i="6"/>
  <c r="Q111" i="5"/>
  <c r="J102" i="5"/>
  <c r="M111" i="5"/>
  <c r="G111" i="5"/>
  <c r="U73" i="5"/>
  <c r="G102" i="5"/>
  <c r="Q102" i="3"/>
  <c r="N102" i="3"/>
  <c r="P101" i="6"/>
  <c r="P102" i="6" s="1"/>
  <c r="U73" i="2"/>
  <c r="R38" i="2"/>
  <c r="R110" i="2"/>
  <c r="AA101" i="6"/>
  <c r="X73" i="2"/>
  <c r="X38" i="2"/>
  <c r="Z38" i="2"/>
  <c r="L63" i="6"/>
  <c r="L64" i="6" s="1"/>
  <c r="AA115" i="6"/>
  <c r="F63" i="6"/>
  <c r="F64" i="6" s="1"/>
  <c r="U102" i="2"/>
  <c r="P29" i="6"/>
  <c r="Z115" i="6"/>
  <c r="X101" i="6"/>
  <c r="Z73" i="3"/>
  <c r="W38" i="3"/>
  <c r="T100" i="3"/>
  <c r="T102" i="3" s="1"/>
  <c r="T101" i="6"/>
  <c r="V101" i="6"/>
  <c r="Z101" i="6"/>
  <c r="T110" i="3"/>
  <c r="V73" i="3"/>
  <c r="S38" i="3"/>
  <c r="X100" i="3"/>
  <c r="X102" i="3" s="1"/>
  <c r="W115" i="6"/>
  <c r="P111" i="4"/>
  <c r="Q111" i="4"/>
  <c r="I111" i="4"/>
  <c r="J29" i="4"/>
  <c r="F28" i="6"/>
  <c r="G28" i="6"/>
  <c r="G102" i="4"/>
  <c r="G29" i="4"/>
  <c r="Y115" i="6"/>
  <c r="K28" i="6"/>
  <c r="K29" i="6" s="1"/>
  <c r="J28" i="6"/>
  <c r="J29" i="6" s="1"/>
  <c r="V73" i="5"/>
  <c r="K102" i="5"/>
  <c r="N111" i="5"/>
  <c r="R64" i="5"/>
  <c r="R63" i="6"/>
  <c r="W101" i="6"/>
  <c r="P111" i="5"/>
  <c r="L111" i="5"/>
  <c r="L101" i="5"/>
  <c r="L102" i="5" s="1"/>
  <c r="J64" i="5"/>
  <c r="J63" i="6"/>
  <c r="S101" i="6"/>
  <c r="U101" i="6"/>
  <c r="Q64" i="5"/>
  <c r="Q63" i="6"/>
  <c r="Y101" i="6"/>
  <c r="M64" i="5"/>
  <c r="M63" i="6"/>
  <c r="Z38" i="5"/>
  <c r="O101" i="6"/>
  <c r="O102" i="6" s="1"/>
  <c r="O29" i="6"/>
  <c r="I64" i="5"/>
  <c r="I63" i="6"/>
  <c r="S73" i="5"/>
  <c r="S100" i="5"/>
  <c r="S102" i="5" s="1"/>
  <c r="X108" i="5"/>
  <c r="N64" i="5"/>
  <c r="N63" i="6"/>
  <c r="R100" i="5"/>
  <c r="R102" i="5" s="1"/>
  <c r="P108" i="6"/>
  <c r="P111" i="6" s="1"/>
  <c r="P87" i="6"/>
  <c r="P89" i="6" s="1"/>
  <c r="N108" i="6"/>
  <c r="N111" i="6" s="1"/>
  <c r="N87" i="6"/>
  <c r="N89" i="6" s="1"/>
  <c r="L108" i="6"/>
  <c r="L111" i="6" s="1"/>
  <c r="L87" i="6"/>
  <c r="J108" i="6"/>
  <c r="J111" i="6" s="1"/>
  <c r="J87" i="6"/>
  <c r="J89" i="6" s="1"/>
  <c r="F108" i="6"/>
  <c r="F111" i="6" s="1"/>
  <c r="F87" i="6"/>
  <c r="F89" i="6" s="1"/>
  <c r="Q108" i="6"/>
  <c r="Q111" i="6" s="1"/>
  <c r="Q87" i="6"/>
  <c r="Q89" i="6" s="1"/>
  <c r="O108" i="6"/>
  <c r="O111" i="6" s="1"/>
  <c r="O87" i="6"/>
  <c r="O89" i="6" s="1"/>
  <c r="M108" i="6"/>
  <c r="M111" i="6" s="1"/>
  <c r="M87" i="6"/>
  <c r="M89" i="6" s="1"/>
  <c r="K108" i="6"/>
  <c r="K111" i="6" s="1"/>
  <c r="K87" i="6"/>
  <c r="K89" i="6" s="1"/>
  <c r="I108" i="6"/>
  <c r="I111" i="6" s="1"/>
  <c r="I87" i="6"/>
  <c r="I89" i="6" s="1"/>
  <c r="G108" i="6"/>
  <c r="G111" i="6" s="1"/>
  <c r="G87" i="6"/>
  <c r="G89" i="6" s="1"/>
  <c r="V38" i="5"/>
  <c r="R73" i="5"/>
  <c r="S38" i="5"/>
  <c r="Z106" i="5"/>
  <c r="U110" i="5"/>
  <c r="AA108" i="5"/>
  <c r="Y108" i="5"/>
  <c r="W108" i="5"/>
  <c r="W111" i="5" s="1"/>
  <c r="U108" i="5"/>
  <c r="S108" i="5"/>
  <c r="Q101" i="5"/>
  <c r="Q102" i="5" s="1"/>
  <c r="I101" i="5"/>
  <c r="I102" i="5" s="1"/>
  <c r="Z108" i="5"/>
  <c r="V108" i="5"/>
  <c r="R108" i="5"/>
  <c r="J111" i="5"/>
  <c r="R38" i="5"/>
  <c r="Y73" i="5"/>
  <c r="W73" i="5"/>
  <c r="X106" i="5"/>
  <c r="V106" i="5"/>
  <c r="Z102" i="5"/>
  <c r="V102" i="5"/>
  <c r="X73" i="5"/>
  <c r="M101" i="5"/>
  <c r="M102" i="5" s="1"/>
  <c r="Z87" i="5"/>
  <c r="Z89" i="5" s="1"/>
  <c r="Y106" i="4"/>
  <c r="Y108" i="4"/>
  <c r="Y87" i="4"/>
  <c r="Y89" i="4" s="1"/>
  <c r="AA73" i="4"/>
  <c r="U108" i="4"/>
  <c r="U87" i="4"/>
  <c r="U89" i="4" s="1"/>
  <c r="AA38" i="4"/>
  <c r="W108" i="4"/>
  <c r="W87" i="4"/>
  <c r="W89" i="4" s="1"/>
  <c r="S38" i="4"/>
  <c r="W106" i="4"/>
  <c r="W109" i="4"/>
  <c r="M111" i="4"/>
  <c r="V38" i="4"/>
  <c r="H101" i="4"/>
  <c r="H102" i="4" s="1"/>
  <c r="H29" i="4"/>
  <c r="AA106" i="4"/>
  <c r="Y73" i="4"/>
  <c r="X38" i="4"/>
  <c r="K29" i="4"/>
  <c r="Y109" i="4"/>
  <c r="AA108" i="4"/>
  <c r="AA87" i="4"/>
  <c r="AA89" i="4" s="1"/>
  <c r="W38" i="4"/>
  <c r="S108" i="4"/>
  <c r="S87" i="4"/>
  <c r="S89" i="4" s="1"/>
  <c r="F29" i="4"/>
  <c r="F111" i="3"/>
  <c r="X73" i="3"/>
  <c r="Y38" i="3"/>
  <c r="U38" i="3"/>
  <c r="Z100" i="3"/>
  <c r="Z102" i="3" s="1"/>
  <c r="V100" i="3"/>
  <c r="V102" i="3" s="1"/>
  <c r="R100" i="3"/>
  <c r="R102" i="3" s="1"/>
  <c r="AA87" i="3"/>
  <c r="AA89" i="3" s="1"/>
  <c r="AA108" i="3"/>
  <c r="W108" i="3"/>
  <c r="W87" i="3"/>
  <c r="W89" i="3" s="1"/>
  <c r="S87" i="3"/>
  <c r="S89" i="3" s="1"/>
  <c r="S108" i="3"/>
  <c r="X108" i="3"/>
  <c r="X87" i="3"/>
  <c r="X89" i="3" s="1"/>
  <c r="T108" i="3"/>
  <c r="T87" i="3"/>
  <c r="T89" i="3" s="1"/>
  <c r="AA73" i="3"/>
  <c r="W73" i="3"/>
  <c r="Y108" i="3"/>
  <c r="Y87" i="3"/>
  <c r="Y89" i="3" s="1"/>
  <c r="U108" i="3"/>
  <c r="U87" i="3"/>
  <c r="U89" i="3" s="1"/>
  <c r="AA106" i="3"/>
  <c r="W106" i="3"/>
  <c r="Z108" i="3"/>
  <c r="Z87" i="3"/>
  <c r="Z89" i="3" s="1"/>
  <c r="V108" i="3"/>
  <c r="V87" i="3"/>
  <c r="V89" i="3" s="1"/>
  <c r="R108" i="3"/>
  <c r="R87" i="3"/>
  <c r="R89" i="3" s="1"/>
  <c r="I64" i="3"/>
  <c r="AA109" i="3"/>
  <c r="W109" i="3"/>
  <c r="S73" i="3"/>
  <c r="Y38" i="2"/>
  <c r="U38" i="2"/>
  <c r="U106" i="2"/>
  <c r="AA108" i="2"/>
  <c r="AA87" i="2"/>
  <c r="AA89" i="2" s="1"/>
  <c r="W108" i="2"/>
  <c r="W87" i="2"/>
  <c r="W89" i="2" s="1"/>
  <c r="S108" i="2"/>
  <c r="S87" i="2"/>
  <c r="S89" i="2" s="1"/>
  <c r="Y73" i="2"/>
  <c r="F101" i="2"/>
  <c r="F102" i="2" s="1"/>
  <c r="AA38" i="2"/>
  <c r="W38" i="2"/>
  <c r="S38" i="2"/>
  <c r="L101" i="2"/>
  <c r="L102" i="2" s="1"/>
  <c r="Y108" i="2"/>
  <c r="Y87" i="2"/>
  <c r="Y89" i="2" s="1"/>
  <c r="U87" i="2"/>
  <c r="U89" i="2" s="1"/>
  <c r="U108" i="2"/>
  <c r="U111" i="2" s="1"/>
  <c r="T38" i="2"/>
  <c r="Y109" i="2"/>
  <c r="V38" i="2"/>
  <c r="I101" i="2"/>
  <c r="I102" i="2" s="1"/>
  <c r="R111" i="2" l="1"/>
  <c r="S111" i="2"/>
  <c r="AA111" i="2"/>
  <c r="R111" i="3"/>
  <c r="X111" i="2"/>
  <c r="X111" i="4"/>
  <c r="Z111" i="4"/>
  <c r="R111" i="4"/>
  <c r="S111" i="4"/>
  <c r="V111" i="4"/>
  <c r="V111" i="5"/>
  <c r="T111" i="4"/>
  <c r="Z111" i="5"/>
  <c r="X111" i="3"/>
  <c r="R111" i="5"/>
  <c r="AA111" i="5"/>
  <c r="T111" i="2"/>
  <c r="Y111" i="3"/>
  <c r="U111" i="3"/>
  <c r="X111" i="5"/>
  <c r="Z111" i="2"/>
  <c r="AA93" i="6"/>
  <c r="AA95" i="6" s="1"/>
  <c r="U111" i="5"/>
  <c r="U111" i="4"/>
  <c r="W111" i="2"/>
  <c r="Z111" i="3"/>
  <c r="X110" i="6"/>
  <c r="S111" i="5"/>
  <c r="S87" i="6"/>
  <c r="S89" i="6" s="1"/>
  <c r="Y111" i="5"/>
  <c r="T111" i="5"/>
  <c r="T110" i="6"/>
  <c r="U93" i="6"/>
  <c r="U95" i="6" s="1"/>
  <c r="S106" i="6"/>
  <c r="R100" i="6"/>
  <c r="S100" i="6"/>
  <c r="S102" i="6" s="1"/>
  <c r="Z87" i="6"/>
  <c r="Z89" i="6" s="1"/>
  <c r="Y110" i="6"/>
  <c r="Y73" i="6"/>
  <c r="X100" i="6"/>
  <c r="X102" i="6" s="1"/>
  <c r="V106" i="6"/>
  <c r="W93" i="6"/>
  <c r="W95" i="6" s="1"/>
  <c r="W73" i="6"/>
  <c r="W106" i="6"/>
  <c r="T106" i="6"/>
  <c r="W110" i="6"/>
  <c r="R110" i="6"/>
  <c r="AA106" i="6"/>
  <c r="W109" i="6"/>
  <c r="T93" i="6"/>
  <c r="T95" i="6" s="1"/>
  <c r="AA109" i="6"/>
  <c r="Y87" i="6"/>
  <c r="Y89" i="6" s="1"/>
  <c r="U106" i="6"/>
  <c r="X93" i="6"/>
  <c r="X95" i="6" s="1"/>
  <c r="S110" i="6"/>
  <c r="Z110" i="6"/>
  <c r="Y93" i="6"/>
  <c r="Y95" i="6" s="1"/>
  <c r="X87" i="6"/>
  <c r="X89" i="6" s="1"/>
  <c r="Z73" i="6"/>
  <c r="Z106" i="6"/>
  <c r="Z100" i="6"/>
  <c r="Z102" i="6" s="1"/>
  <c r="S111" i="3"/>
  <c r="V87" i="6"/>
  <c r="V89" i="6" s="1"/>
  <c r="X73" i="6"/>
  <c r="V111" i="3"/>
  <c r="T109" i="6"/>
  <c r="T87" i="6"/>
  <c r="T89" i="6" s="1"/>
  <c r="S109" i="6"/>
  <c r="U100" i="6"/>
  <c r="U102" i="6" s="1"/>
  <c r="V93" i="6"/>
  <c r="V95" i="6" s="1"/>
  <c r="S93" i="6"/>
  <c r="S95" i="6" s="1"/>
  <c r="T100" i="6"/>
  <c r="T102" i="6" s="1"/>
  <c r="R87" i="6"/>
  <c r="R89" i="6" s="1"/>
  <c r="Z93" i="6"/>
  <c r="Z95" i="6" s="1"/>
  <c r="R93" i="6"/>
  <c r="R95" i="6" s="1"/>
  <c r="AA100" i="6"/>
  <c r="AA102" i="6" s="1"/>
  <c r="U109" i="6"/>
  <c r="S108" i="6"/>
  <c r="R106" i="6"/>
  <c r="U110" i="6"/>
  <c r="R109" i="6"/>
  <c r="Y100" i="6"/>
  <c r="Y102" i="6" s="1"/>
  <c r="Z38" i="6"/>
  <c r="V100" i="6"/>
  <c r="V102" i="6" s="1"/>
  <c r="Z109" i="6"/>
  <c r="W87" i="6"/>
  <c r="W89" i="6" s="1"/>
  <c r="X108" i="6"/>
  <c r="V108" i="6"/>
  <c r="T111" i="3"/>
  <c r="U87" i="6"/>
  <c r="U89" i="6" s="1"/>
  <c r="Z108" i="6"/>
  <c r="R73" i="6"/>
  <c r="AA38" i="6"/>
  <c r="U108" i="6"/>
  <c r="V109" i="6"/>
  <c r="S73" i="6"/>
  <c r="U73" i="6"/>
  <c r="X109" i="6"/>
  <c r="Y108" i="6"/>
  <c r="R38" i="6"/>
  <c r="T73" i="6"/>
  <c r="AA110" i="6"/>
  <c r="T108" i="6"/>
  <c r="Y106" i="6"/>
  <c r="Y109" i="6"/>
  <c r="X106" i="6"/>
  <c r="AA108" i="6"/>
  <c r="L89" i="6"/>
  <c r="S38" i="6"/>
  <c r="Y38" i="6"/>
  <c r="AA73" i="6"/>
  <c r="V73" i="6"/>
  <c r="W38" i="6"/>
  <c r="W100" i="6"/>
  <c r="W102" i="6" s="1"/>
  <c r="AA87" i="6"/>
  <c r="AA89" i="6" s="1"/>
  <c r="V38" i="6"/>
  <c r="U38" i="6"/>
  <c r="X38" i="6"/>
  <c r="T38" i="6"/>
  <c r="V110" i="6"/>
  <c r="W108" i="6"/>
  <c r="R108" i="6"/>
  <c r="AA111" i="4"/>
  <c r="L101" i="6"/>
  <c r="L102" i="6" s="1"/>
  <c r="F101" i="6"/>
  <c r="F102" i="6" s="1"/>
  <c r="F29" i="6"/>
  <c r="K101" i="6"/>
  <c r="K102" i="6" s="1"/>
  <c r="G29" i="6"/>
  <c r="G101" i="6"/>
  <c r="G102" i="6" s="1"/>
  <c r="N64" i="6"/>
  <c r="N101" i="6"/>
  <c r="N102" i="6" s="1"/>
  <c r="Q64" i="6"/>
  <c r="Q101" i="6"/>
  <c r="Q102" i="6" s="1"/>
  <c r="R64" i="6"/>
  <c r="R101" i="6"/>
  <c r="J64" i="6"/>
  <c r="J101" i="6"/>
  <c r="J102" i="6" s="1"/>
  <c r="M64" i="6"/>
  <c r="M101" i="6"/>
  <c r="M102" i="6" s="1"/>
  <c r="I64" i="6"/>
  <c r="I101" i="6"/>
  <c r="I102" i="6" s="1"/>
  <c r="Y111" i="4"/>
  <c r="W111" i="4"/>
  <c r="W111" i="3"/>
  <c r="AA111" i="3"/>
  <c r="Y111" i="2"/>
  <c r="R102" i="6" l="1"/>
  <c r="X111" i="6"/>
  <c r="W111" i="6"/>
  <c r="Z111" i="6"/>
  <c r="V111" i="6"/>
  <c r="T111" i="6"/>
  <c r="U111" i="6"/>
  <c r="S111" i="6"/>
  <c r="R111" i="6"/>
  <c r="Y111" i="6"/>
  <c r="AA111" i="6"/>
</calcChain>
</file>

<file path=xl/sharedStrings.xml><?xml version="1.0" encoding="utf-8"?>
<sst xmlns="http://schemas.openxmlformats.org/spreadsheetml/2006/main" count="905" uniqueCount="62">
  <si>
    <t>TABLE 1.40</t>
  </si>
  <si>
    <t>STUDENT FINANCIAL AID AWARDED</t>
  </si>
  <si>
    <t>UNIVERSITY OF MISSOURI-COLUMBIA</t>
  </si>
  <si>
    <t>FY 1993</t>
  </si>
  <si>
    <t>FY 1994</t>
  </si>
  <si>
    <t>FY 1995</t>
  </si>
  <si>
    <t>FY 1996</t>
  </si>
  <si>
    <t>FY 1997</t>
  </si>
  <si>
    <t>FY 1998</t>
  </si>
  <si>
    <t>FY 1999</t>
  </si>
  <si>
    <t>FY 2000</t>
  </si>
  <si>
    <t>FY 2001</t>
  </si>
  <si>
    <t>FY 2002</t>
  </si>
  <si>
    <t>FY 2003</t>
  </si>
  <si>
    <t>FY 2004</t>
  </si>
  <si>
    <t>FY 2005</t>
  </si>
  <si>
    <t>FY 2006</t>
  </si>
  <si>
    <t>FY 2007</t>
  </si>
  <si>
    <t>FY 2008</t>
  </si>
  <si>
    <t>FY 2009</t>
  </si>
  <si>
    <t>FY 2010</t>
  </si>
  <si>
    <t>FY 2011</t>
  </si>
  <si>
    <t>FY 2012</t>
  </si>
  <si>
    <t>FY 2013</t>
  </si>
  <si>
    <t>FY 2014</t>
  </si>
  <si>
    <t>UNDERGRADUATE</t>
  </si>
  <si>
    <t>Federal Sources</t>
  </si>
  <si>
    <t>Grants</t>
  </si>
  <si>
    <t>Loans</t>
  </si>
  <si>
    <t>Employment</t>
  </si>
  <si>
    <t>Less matching funds</t>
  </si>
  <si>
    <t>State Sources</t>
  </si>
  <si>
    <t>Institutional Sources</t>
  </si>
  <si>
    <t>With matching funds</t>
  </si>
  <si>
    <t>Other Sources</t>
  </si>
  <si>
    <t>- - -</t>
  </si>
  <si>
    <t>Total from all Sources</t>
  </si>
  <si>
    <t>Unduplicated Headcount</t>
  </si>
  <si>
    <t>Need Based</t>
  </si>
  <si>
    <t>Non-Need Based</t>
  </si>
  <si>
    <t>GRADUATE</t>
  </si>
  <si>
    <t>GRAND TOTAL</t>
  </si>
  <si>
    <t>Notes: Prior to FY04, financial aid from Other Sources was reported as a combined figure that included both grants and loans.</t>
  </si>
  <si>
    <t xml:space="preserve">             Matching Funds made by the University to certain types of government financial aid have been subtracted from Federal &amp;</t>
  </si>
  <si>
    <t xml:space="preserve">             State Source totals and added to Institutional Sources.  Amounts reported as "Institutional Matching Funds" on the DHE 14-1</t>
  </si>
  <si>
    <t xml:space="preserve">             form are for informational purposes to identify the University's contribution to Federal and State awards.</t>
  </si>
  <si>
    <t>Source: DHE 14-1, Student Financial Aid Awarded</t>
  </si>
  <si>
    <t>UNIVERSITY OF MISSOURI-KANSAS CITY</t>
  </si>
  <si>
    <t>MISSOURI UNIVERSITY OF SCIENCE AND TECHNOLOGY</t>
  </si>
  <si>
    <t>UNIVERSITY OF MISSOURI-ST. LOUIS</t>
  </si>
  <si>
    <t>UNIVERSITY OF MISSOURI SYSTEM</t>
  </si>
  <si>
    <t>FY 2015</t>
  </si>
  <si>
    <t>FY 2016</t>
  </si>
  <si>
    <t>FY 2017</t>
  </si>
  <si>
    <t>FY 2018</t>
  </si>
  <si>
    <t>FY 2019</t>
  </si>
  <si>
    <t>FY 2020</t>
  </si>
  <si>
    <t>FY 2021</t>
  </si>
  <si>
    <t>FY 2022</t>
  </si>
  <si>
    <t>FY 2023</t>
  </si>
  <si>
    <t>FY 2024</t>
  </si>
  <si>
    <t>UM-IR 10/24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</si>
</sst>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&quot;$&quot;#,##0"/>
    <numFmt numFmtId="165" formatCode="0.0%"/>
    <numFmt numFmtId="166" formatCode="&quot;$&quot;#,##0.00"/>
  </numFmts>
  <fonts count="12" x14ac:knownFonts="1">
    <font>
      <sz val="11"/>
      <color theme="1"/>
      <name val="Calibri"/>
      <family val="2"/>
      <scheme val="minor"/>
    </font>
    <font>
      <sz val="10"/>
      <name val="Tms Rmn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u/>
      <sz val="10"/>
      <name val="Calibri"/>
      <family val="2"/>
      <scheme val="minor"/>
    </font>
    <font>
      <u/>
      <sz val="10"/>
      <name val="Calibri"/>
      <family val="2"/>
      <scheme val="minor"/>
    </font>
    <font>
      <u/>
      <sz val="8.6999999999999993"/>
      <color indexed="12"/>
      <name val="Tms Rmn"/>
    </font>
    <font>
      <u/>
      <sz val="10"/>
      <color indexed="12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72">
    <xf numFmtId="0" fontId="0" fillId="0" borderId="0" xfId="0"/>
    <xf numFmtId="0" fontId="2" fillId="0" borderId="0" xfId="1" applyFont="1"/>
    <xf numFmtId="0" fontId="5" fillId="0" borderId="0" xfId="1" applyFont="1"/>
    <xf numFmtId="0" fontId="2" fillId="0" borderId="4" xfId="1" applyFont="1" applyBorder="1"/>
    <xf numFmtId="0" fontId="5" fillId="0" borderId="5" xfId="1" applyFont="1" applyBorder="1"/>
    <xf numFmtId="0" fontId="2" fillId="0" borderId="6" xfId="1" applyFont="1" applyBorder="1"/>
    <xf numFmtId="0" fontId="3" fillId="0" borderId="2" xfId="1" applyFont="1" applyBorder="1"/>
    <xf numFmtId="0" fontId="5" fillId="0" borderId="2" xfId="1" applyFont="1" applyBorder="1"/>
    <xf numFmtId="0" fontId="3" fillId="0" borderId="0" xfId="1" applyFont="1"/>
    <xf numFmtId="0" fontId="5" fillId="0" borderId="7" xfId="1" applyFont="1" applyBorder="1"/>
    <xf numFmtId="0" fontId="5" fillId="0" borderId="8" xfId="1" applyFont="1" applyBorder="1"/>
    <xf numFmtId="0" fontId="2" fillId="0" borderId="9" xfId="1" applyFont="1" applyBorder="1"/>
    <xf numFmtId="0" fontId="2" fillId="0" borderId="10" xfId="1" applyFont="1" applyBorder="1"/>
    <xf numFmtId="0" fontId="2" fillId="0" borderId="9" xfId="1" applyFont="1" applyBorder="1" applyAlignment="1">
      <alignment horizontal="right"/>
    </xf>
    <xf numFmtId="0" fontId="2" fillId="0" borderId="11" xfId="1" applyFont="1" applyBorder="1" applyAlignment="1">
      <alignment horizontal="right"/>
    </xf>
    <xf numFmtId="0" fontId="2" fillId="0" borderId="12" xfId="1" applyFont="1" applyBorder="1"/>
    <xf numFmtId="0" fontId="2" fillId="0" borderId="0" xfId="1" applyFont="1" applyAlignment="1">
      <alignment horizontal="right"/>
    </xf>
    <xf numFmtId="0" fontId="2" fillId="0" borderId="13" xfId="1" applyFont="1" applyBorder="1"/>
    <xf numFmtId="0" fontId="5" fillId="2" borderId="0" xfId="1" applyFont="1" applyFill="1" applyAlignment="1">
      <alignment vertical="center"/>
    </xf>
    <xf numFmtId="0" fontId="5" fillId="2" borderId="0" xfId="1" applyFont="1" applyFill="1"/>
    <xf numFmtId="0" fontId="2" fillId="2" borderId="0" xfId="1" applyFont="1" applyFill="1"/>
    <xf numFmtId="164" fontId="2" fillId="0" borderId="0" xfId="1" applyNumberFormat="1" applyFont="1"/>
    <xf numFmtId="5" fontId="2" fillId="0" borderId="13" xfId="1" applyNumberFormat="1" applyFont="1" applyBorder="1"/>
    <xf numFmtId="3" fontId="2" fillId="0" borderId="0" xfId="1" applyNumberFormat="1" applyFont="1"/>
    <xf numFmtId="3" fontId="2" fillId="0" borderId="5" xfId="1" applyNumberFormat="1" applyFont="1" applyBorder="1"/>
    <xf numFmtId="5" fontId="2" fillId="0" borderId="6" xfId="1" applyNumberFormat="1" applyFont="1" applyBorder="1"/>
    <xf numFmtId="0" fontId="2" fillId="3" borderId="0" xfId="1" applyFont="1" applyFill="1"/>
    <xf numFmtId="3" fontId="6" fillId="3" borderId="0" xfId="1" applyNumberFormat="1" applyFont="1" applyFill="1" applyAlignment="1">
      <alignment horizontal="right"/>
    </xf>
    <xf numFmtId="3" fontId="7" fillId="3" borderId="0" xfId="1" applyNumberFormat="1" applyFont="1" applyFill="1"/>
    <xf numFmtId="164" fontId="6" fillId="3" borderId="0" xfId="1" applyNumberFormat="1" applyFont="1" applyFill="1"/>
    <xf numFmtId="37" fontId="7" fillId="3" borderId="0" xfId="1" applyNumberFormat="1" applyFont="1" applyFill="1"/>
    <xf numFmtId="3" fontId="2" fillId="0" borderId="5" xfId="1" quotePrefix="1" applyNumberFormat="1" applyFont="1" applyBorder="1" applyAlignment="1">
      <alignment horizontal="right"/>
    </xf>
    <xf numFmtId="37" fontId="2" fillId="0" borderId="0" xfId="1" applyNumberFormat="1" applyFont="1"/>
    <xf numFmtId="37" fontId="2" fillId="0" borderId="5" xfId="1" applyNumberFormat="1" applyFont="1" applyBorder="1"/>
    <xf numFmtId="165" fontId="2" fillId="0" borderId="6" xfId="1" applyNumberFormat="1" applyFont="1" applyBorder="1"/>
    <xf numFmtId="0" fontId="8" fillId="0" borderId="0" xfId="1" applyFont="1"/>
    <xf numFmtId="0" fontId="2" fillId="0" borderId="5" xfId="1" applyFont="1" applyBorder="1" applyAlignment="1">
      <alignment horizontal="right"/>
    </xf>
    <xf numFmtId="164" fontId="2" fillId="3" borderId="0" xfId="1" applyNumberFormat="1" applyFont="1" applyFill="1"/>
    <xf numFmtId="0" fontId="2" fillId="0" borderId="5" xfId="1" applyFont="1" applyBorder="1"/>
    <xf numFmtId="0" fontId="2" fillId="0" borderId="14" xfId="1" applyFont="1" applyBorder="1"/>
    <xf numFmtId="0" fontId="2" fillId="0" borderId="10" xfId="1" applyFont="1" applyBorder="1" applyAlignment="1">
      <alignment horizontal="right"/>
    </xf>
    <xf numFmtId="0" fontId="2" fillId="0" borderId="15" xfId="1" applyFont="1" applyBorder="1"/>
    <xf numFmtId="0" fontId="5" fillId="4" borderId="0" xfId="1" applyFont="1" applyFill="1" applyAlignment="1">
      <alignment vertical="center"/>
    </xf>
    <xf numFmtId="0" fontId="5" fillId="4" borderId="0" xfId="1" applyFont="1" applyFill="1"/>
    <xf numFmtId="0" fontId="2" fillId="4" borderId="0" xfId="1" applyFont="1" applyFill="1"/>
    <xf numFmtId="3" fontId="2" fillId="3" borderId="0" xfId="1" applyNumberFormat="1" applyFont="1" applyFill="1"/>
    <xf numFmtId="166" fontId="2" fillId="0" borderId="0" xfId="1" applyNumberFormat="1" applyFont="1"/>
    <xf numFmtId="165" fontId="2" fillId="0" borderId="13" xfId="1" applyNumberFormat="1" applyFont="1" applyBorder="1"/>
    <xf numFmtId="164" fontId="2" fillId="0" borderId="5" xfId="1" applyNumberFormat="1" applyFont="1" applyBorder="1"/>
    <xf numFmtId="0" fontId="5" fillId="5" borderId="0" xfId="1" applyFont="1" applyFill="1" applyAlignment="1">
      <alignment vertical="center"/>
    </xf>
    <xf numFmtId="0" fontId="5" fillId="5" borderId="0" xfId="1" applyFont="1" applyFill="1"/>
    <xf numFmtId="0" fontId="2" fillId="5" borderId="0" xfId="1" applyFont="1" applyFill="1"/>
    <xf numFmtId="37" fontId="2" fillId="0" borderId="13" xfId="1" applyNumberFormat="1" applyFont="1" applyBorder="1"/>
    <xf numFmtId="0" fontId="5" fillId="6" borderId="0" xfId="1" applyFont="1" applyFill="1" applyAlignment="1">
      <alignment vertical="center"/>
    </xf>
    <xf numFmtId="0" fontId="5" fillId="6" borderId="0" xfId="1" applyFont="1" applyFill="1"/>
    <xf numFmtId="0" fontId="2" fillId="6" borderId="0" xfId="1" applyFont="1" applyFill="1"/>
    <xf numFmtId="0" fontId="5" fillId="7" borderId="0" xfId="1" applyFont="1" applyFill="1" applyAlignment="1">
      <alignment vertical="center"/>
    </xf>
    <xf numFmtId="0" fontId="5" fillId="7" borderId="0" xfId="1" applyFont="1" applyFill="1"/>
    <xf numFmtId="0" fontId="2" fillId="7" borderId="0" xfId="1" applyFont="1" applyFill="1"/>
    <xf numFmtId="0" fontId="2" fillId="0" borderId="12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3" fontId="6" fillId="3" borderId="0" xfId="1" applyNumberFormat="1" applyFont="1" applyFill="1" applyAlignment="1">
      <alignment horizontal="right" vertical="center"/>
    </xf>
    <xf numFmtId="0" fontId="2" fillId="0" borderId="13" xfId="1" applyFont="1" applyBorder="1" applyAlignment="1">
      <alignment vertical="center"/>
    </xf>
    <xf numFmtId="165" fontId="2" fillId="0" borderId="0" xfId="1" applyNumberFormat="1" applyFont="1"/>
    <xf numFmtId="9" fontId="2" fillId="0" borderId="0" xfId="1" applyNumberFormat="1" applyFont="1"/>
    <xf numFmtId="0" fontId="3" fillId="0" borderId="1" xfId="1" applyFont="1" applyBorder="1" applyAlignment="1">
      <alignment horizontal="center"/>
    </xf>
    <xf numFmtId="0" fontId="4" fillId="0" borderId="2" xfId="1" applyFont="1" applyBorder="1"/>
    <xf numFmtId="0" fontId="4" fillId="0" borderId="3" xfId="1" applyFont="1" applyBorder="1"/>
    <xf numFmtId="0" fontId="10" fillId="0" borderId="5" xfId="2" applyFont="1" applyFill="1" applyBorder="1" applyAlignment="1" applyProtection="1"/>
    <xf numFmtId="0" fontId="10" fillId="0" borderId="5" xfId="2" applyFont="1" applyBorder="1" applyAlignment="1" applyProtection="1"/>
    <xf numFmtId="0" fontId="0" fillId="0" borderId="5" xfId="0" applyBorder="1"/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B7C1627C-B888-46AF-9055-A2C31D7848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msystem.edu/ums/fa/ir/dhe141" TargetMode="External"/><Relationship Id="rId1" Type="http://schemas.openxmlformats.org/officeDocument/2006/relationships/hyperlink" Target="https://www.umsystem.edu/ums/institutional-effectiveness/ir/dhe14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umsystem.edu/ums/fa/ir/dhe141" TargetMode="External"/><Relationship Id="rId1" Type="http://schemas.openxmlformats.org/officeDocument/2006/relationships/hyperlink" Target="https://www.umsystem.edu/ums/institutional-effectiveness/ir/dhe14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umsystem.edu/ums/fa/ir/dhe141" TargetMode="External"/><Relationship Id="rId1" Type="http://schemas.openxmlformats.org/officeDocument/2006/relationships/hyperlink" Target="https://www.umsystem.edu/ums/institutional-effectiveness/ir/dhe14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umsystem.edu/ums/fa/ir/dhe141" TargetMode="External"/><Relationship Id="rId1" Type="http://schemas.openxmlformats.org/officeDocument/2006/relationships/hyperlink" Target="https://www.umsystem.edu/ums/institutional-effectiveness/ir/dhe14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umsystem.edu/ums/fa/ir/dhe141" TargetMode="External"/><Relationship Id="rId1" Type="http://schemas.openxmlformats.org/officeDocument/2006/relationships/hyperlink" Target="https://www.umsystem.edu/ums/institutional-effectiveness/ir/dhe14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O139"/>
  <sheetViews>
    <sheetView tabSelected="1" zoomScaleNormal="100" workbookViewId="0"/>
  </sheetViews>
  <sheetFormatPr defaultColWidth="10.85546875" defaultRowHeight="13.5" customHeight="1" x14ac:dyDescent="0.2"/>
  <cols>
    <col min="1" max="3" width="2.7109375" style="1" customWidth="1"/>
    <col min="4" max="4" width="13.7109375" style="1" customWidth="1"/>
    <col min="5" max="5" width="3.7109375" style="1" customWidth="1"/>
    <col min="6" max="31" width="13.7109375" style="1" hidden="1" customWidth="1"/>
    <col min="32" max="37" width="13.7109375" style="1" customWidth="1"/>
    <col min="38" max="38" width="2.7109375" style="1" customWidth="1"/>
    <col min="39" max="39" width="8.28515625" style="1" customWidth="1"/>
    <col min="40" max="73" width="10.85546875" style="1" customWidth="1"/>
    <col min="74" max="16384" width="10.85546875" style="1"/>
  </cols>
  <sheetData>
    <row r="1" spans="1:41" ht="13.5" customHeight="1" x14ac:dyDescent="0.2">
      <c r="A1" s="2"/>
    </row>
    <row r="2" spans="1:41" ht="15" customHeight="1" x14ac:dyDescent="0.25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8"/>
      <c r="AM2" s="2"/>
      <c r="AN2" s="2"/>
      <c r="AO2" s="2"/>
    </row>
    <row r="3" spans="1:41" ht="13.5" customHeight="1" x14ac:dyDescent="0.2">
      <c r="A3" s="3"/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5"/>
    </row>
    <row r="4" spans="1:41" ht="15" customHeight="1" x14ac:dyDescent="0.25">
      <c r="A4" s="3"/>
      <c r="B4" s="6" t="s">
        <v>1</v>
      </c>
      <c r="C4" s="7"/>
      <c r="D4" s="7"/>
      <c r="E4" s="7"/>
      <c r="F4" s="7"/>
      <c r="G4" s="7"/>
      <c r="H4" s="7"/>
      <c r="I4" s="7"/>
      <c r="J4" s="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5"/>
    </row>
    <row r="5" spans="1:41" ht="15" customHeight="1" x14ac:dyDescent="0.25">
      <c r="A5" s="3"/>
      <c r="B5" s="8" t="s">
        <v>50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5"/>
    </row>
    <row r="6" spans="1:41" ht="13.5" customHeight="1" thickBot="1" x14ac:dyDescent="0.25">
      <c r="A6" s="3"/>
      <c r="B6" s="9"/>
      <c r="C6" s="9"/>
      <c r="D6" s="9"/>
      <c r="E6" s="9"/>
      <c r="F6" s="9"/>
      <c r="G6" s="9"/>
      <c r="H6" s="9"/>
      <c r="I6" s="9"/>
      <c r="J6" s="9"/>
      <c r="K6" s="2"/>
      <c r="L6" s="10"/>
      <c r="M6" s="10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5"/>
    </row>
    <row r="7" spans="1:41" ht="13.5" customHeight="1" thickTop="1" x14ac:dyDescent="0.2">
      <c r="A7" s="15"/>
      <c r="B7" s="12"/>
      <c r="C7" s="12"/>
      <c r="D7" s="12"/>
      <c r="E7" s="12"/>
      <c r="F7" s="40" t="s">
        <v>3</v>
      </c>
      <c r="G7" s="40" t="s">
        <v>4</v>
      </c>
      <c r="H7" s="40" t="s">
        <v>5</v>
      </c>
      <c r="I7" s="40" t="s">
        <v>6</v>
      </c>
      <c r="J7" s="40" t="s">
        <v>7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4" t="s">
        <v>13</v>
      </c>
      <c r="Q7" s="14" t="s">
        <v>14</v>
      </c>
      <c r="R7" s="14" t="s">
        <v>15</v>
      </c>
      <c r="S7" s="14" t="s">
        <v>16</v>
      </c>
      <c r="T7" s="14" t="s">
        <v>17</v>
      </c>
      <c r="U7" s="14" t="s">
        <v>18</v>
      </c>
      <c r="V7" s="14" t="s">
        <v>19</v>
      </c>
      <c r="W7" s="14" t="s">
        <v>20</v>
      </c>
      <c r="X7" s="14" t="s">
        <v>21</v>
      </c>
      <c r="Y7" s="14" t="s">
        <v>22</v>
      </c>
      <c r="Z7" s="14" t="s">
        <v>23</v>
      </c>
      <c r="AA7" s="14" t="s">
        <v>24</v>
      </c>
      <c r="AB7" s="14" t="s">
        <v>51</v>
      </c>
      <c r="AC7" s="14" t="s">
        <v>52</v>
      </c>
      <c r="AD7" s="14" t="s">
        <v>53</v>
      </c>
      <c r="AE7" s="14" t="s">
        <v>54</v>
      </c>
      <c r="AF7" s="14" t="s">
        <v>55</v>
      </c>
      <c r="AG7" s="14" t="s">
        <v>56</v>
      </c>
      <c r="AH7" s="14" t="s">
        <v>57</v>
      </c>
      <c r="AI7" s="14" t="s">
        <v>58</v>
      </c>
      <c r="AJ7" s="14" t="s">
        <v>59</v>
      </c>
      <c r="AK7" s="14" t="s">
        <v>60</v>
      </c>
      <c r="AL7" s="5"/>
    </row>
    <row r="8" spans="1:41" ht="13.5" customHeight="1" x14ac:dyDescent="0.2">
      <c r="A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7"/>
    </row>
    <row r="9" spans="1:41" ht="13.5" customHeight="1" x14ac:dyDescent="0.2">
      <c r="A9" s="15"/>
      <c r="B9" s="56" t="s">
        <v>25</v>
      </c>
      <c r="C9" s="57"/>
      <c r="D9" s="57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17"/>
    </row>
    <row r="10" spans="1:41" ht="13.5" customHeight="1" x14ac:dyDescent="0.2">
      <c r="A10" s="15"/>
      <c r="C10" s="2" t="s">
        <v>26</v>
      </c>
      <c r="D10" s="2"/>
      <c r="AL10" s="17"/>
    </row>
    <row r="11" spans="1:41" ht="13.5" customHeight="1" x14ac:dyDescent="0.2">
      <c r="A11" s="15"/>
      <c r="D11" s="1" t="s">
        <v>27</v>
      </c>
      <c r="E11" s="21"/>
      <c r="F11" s="21">
        <f>MU!F11+UMKC!F11+'S&amp;T'!F11+UMSL!F11</f>
        <v>15669923</v>
      </c>
      <c r="G11" s="21">
        <f>MU!G11+UMKC!G11+'S&amp;T'!G11+UMSL!G11</f>
        <v>12833360</v>
      </c>
      <c r="H11" s="21">
        <f>MU!H11+UMKC!H11+'S&amp;T'!H11+UMSL!H11</f>
        <v>13133218</v>
      </c>
      <c r="I11" s="21">
        <f>MU!I11+UMKC!I11+'S&amp;T'!I11+UMSL!I11</f>
        <v>13604172</v>
      </c>
      <c r="J11" s="21">
        <f>MU!J11+UMKC!J11+'S&amp;T'!J11+UMSL!J11</f>
        <v>14274421</v>
      </c>
      <c r="K11" s="21">
        <f>MU!K11+UMKC!K11+'S&amp;T'!K11+UMSL!K11</f>
        <v>15377776</v>
      </c>
      <c r="L11" s="21">
        <f>MU!L11+UMKC!L11+'S&amp;T'!L11+UMSL!L11</f>
        <v>17100848</v>
      </c>
      <c r="M11" s="21">
        <f>MU!M11+UMKC!M11+'S&amp;T'!M11+UMSL!M11</f>
        <v>16775688</v>
      </c>
      <c r="N11" s="21">
        <f>MU!N11+UMKC!N11+'S&amp;T'!N11+UMSL!N11</f>
        <v>18922252</v>
      </c>
      <c r="O11" s="21">
        <f>MU!O11+UMKC!O11+'S&amp;T'!O11+UMSL!O11</f>
        <v>22443976</v>
      </c>
      <c r="P11" s="21">
        <f>MU!P11+UMKC!P11+'S&amp;T'!P11+UMSL!P11</f>
        <v>25085920</v>
      </c>
      <c r="Q11" s="21">
        <f>MU!Q11+UMKC!Q11+'S&amp;T'!Q11+UMSL!Q11</f>
        <v>27448219</v>
      </c>
      <c r="R11" s="21">
        <f>MU!R11+UMKC!R11+'S&amp;T'!R11+UMSL!R11</f>
        <v>29050242</v>
      </c>
      <c r="S11" s="21">
        <f>MU!S11+UMKC!S11+'S&amp;T'!S11+UMSL!S11</f>
        <v>29487649</v>
      </c>
      <c r="T11" s="21">
        <f>MU!T11+UMKC!T11+'S&amp;T'!T11+UMSL!T11</f>
        <v>32265150</v>
      </c>
      <c r="U11" s="21">
        <f>MU!U11+UMKC!U11+'S&amp;T'!U11+UMSL!U11</f>
        <v>35005488</v>
      </c>
      <c r="V11" s="21">
        <f>MU!V11+UMKC!V11+'S&amp;T'!V11+UMSL!V11</f>
        <v>40885670</v>
      </c>
      <c r="W11" s="21">
        <f>MU!W11+UMKC!W11+'S&amp;T'!W11+UMSL!W11</f>
        <v>60150996</v>
      </c>
      <c r="X11" s="21">
        <f>MU!X11+UMKC!X11+'S&amp;T'!X11+UMSL!X11</f>
        <v>68519745</v>
      </c>
      <c r="Y11" s="21">
        <f>MU!Y11+UMKC!Y11+'S&amp;T'!Y11+UMSL!Y11</f>
        <v>65492592</v>
      </c>
      <c r="Z11" s="21">
        <f>MU!Z11+UMKC!Z11+'S&amp;T'!Z11+UMSL!Z11</f>
        <v>65601947</v>
      </c>
      <c r="AA11" s="21">
        <f>MU!AA11+UMKC!AA11+'S&amp;T'!AA11+UMSL!AA11</f>
        <v>67069708</v>
      </c>
      <c r="AB11" s="21">
        <f>MU!AB11+UMKC!AB11+'S&amp;T'!AB11+UMSL!AB11</f>
        <v>73369756</v>
      </c>
      <c r="AC11" s="21">
        <f>MU!AC11+UMKC!AC11+'S&amp;T'!AC11+UMSL!AC11</f>
        <v>69088039</v>
      </c>
      <c r="AD11" s="21">
        <f>MU!AD11+UMKC!AD11+'S&amp;T'!AD11+UMSL!AD11</f>
        <v>61310927</v>
      </c>
      <c r="AE11" s="21">
        <f>MU!AE11+UMKC!AE11+'S&amp;T'!AE11+UMSL!AE11</f>
        <v>66697230</v>
      </c>
      <c r="AF11" s="21">
        <f>MU!AF11+UMKC!AF11+'S&amp;T'!AF11+UMSL!AF11</f>
        <v>67583985</v>
      </c>
      <c r="AG11" s="21">
        <f>MU!AG11+UMKC!AG11+'S&amp;T'!AG11+UMSL!AG11</f>
        <v>74921304</v>
      </c>
      <c r="AH11" s="21">
        <f>MU!AH11+UMKC!AH11+'S&amp;T'!AH11+UMSL!AH11</f>
        <v>78055534</v>
      </c>
      <c r="AI11" s="21">
        <f>MU!AI11+UMKC!AI11+'S&amp;T'!AI11+UMSL!AI11</f>
        <v>91666789</v>
      </c>
      <c r="AJ11" s="21">
        <f>MU!AJ11+UMKC!AJ11+'S&amp;T'!AJ11+UMSL!AJ11</f>
        <v>67752723</v>
      </c>
      <c r="AK11" s="21">
        <f>MU!AK11+UMKC!AK11+'S&amp;T'!AK11+UMSL!AK11</f>
        <v>74135876</v>
      </c>
      <c r="AL11" s="17"/>
    </row>
    <row r="12" spans="1:41" ht="13.5" customHeight="1" x14ac:dyDescent="0.2">
      <c r="A12" s="15"/>
      <c r="D12" s="1" t="s">
        <v>28</v>
      </c>
      <c r="E12" s="23"/>
      <c r="F12" s="23">
        <f>MU!F12+UMKC!F12+'S&amp;T'!F12+UMSL!F12</f>
        <v>36276879</v>
      </c>
      <c r="G12" s="23">
        <f>MU!G12+UMKC!G12+'S&amp;T'!G12+UMSL!G12</f>
        <v>53457984</v>
      </c>
      <c r="H12" s="23">
        <f>MU!H12+UMKC!H12+'S&amp;T'!H12+UMSL!H12</f>
        <v>65289690</v>
      </c>
      <c r="I12" s="23">
        <f>MU!I12+UMKC!I12+'S&amp;T'!I12+UMSL!I12</f>
        <v>81226561</v>
      </c>
      <c r="J12" s="23">
        <f>MU!J12+UMKC!J12+'S&amp;T'!J12+UMSL!J12</f>
        <v>91417889</v>
      </c>
      <c r="K12" s="23">
        <f>MU!K12+UMKC!K12+'S&amp;T'!K12+UMSL!K12</f>
        <v>94384116</v>
      </c>
      <c r="L12" s="23">
        <f>MU!L12+UMKC!L12+'S&amp;T'!L12+UMSL!L12</f>
        <v>95734572</v>
      </c>
      <c r="M12" s="23">
        <f>MU!M12+UMKC!M12+'S&amp;T'!M12+UMSL!M12</f>
        <v>97543518</v>
      </c>
      <c r="N12" s="23">
        <f>MU!N12+UMKC!N12+'S&amp;T'!N12+UMSL!N12</f>
        <v>102064288</v>
      </c>
      <c r="O12" s="23">
        <f>MU!O12+UMKC!O12+'S&amp;T'!O12+UMSL!O12</f>
        <v>105883377</v>
      </c>
      <c r="P12" s="23">
        <f>MU!P12+UMKC!P12+'S&amp;T'!P12+UMSL!P12</f>
        <v>124879970</v>
      </c>
      <c r="Q12" s="23">
        <f>MU!Q12+UMKC!Q12+'S&amp;T'!Q12+UMSL!Q12</f>
        <v>144417658</v>
      </c>
      <c r="R12" s="23">
        <f>MU!R12+UMKC!R12+'S&amp;T'!R12+UMSL!R12</f>
        <v>161528516</v>
      </c>
      <c r="S12" s="23">
        <f>MU!S12+UMKC!S12+'S&amp;T'!S12+UMSL!S12</f>
        <v>171124247</v>
      </c>
      <c r="T12" s="23">
        <f>MU!T12+UMKC!T12+'S&amp;T'!T12+UMSL!T12</f>
        <v>169201359</v>
      </c>
      <c r="U12" s="23">
        <f>MU!U12+UMKC!U12+'S&amp;T'!U12+UMSL!U12</f>
        <v>177026233</v>
      </c>
      <c r="V12" s="23">
        <f>MU!V12+UMKC!V12+'S&amp;T'!V12+UMSL!V12</f>
        <v>213926318</v>
      </c>
      <c r="W12" s="23">
        <f>MU!W12+UMKC!W12+'S&amp;T'!W12+UMSL!W12</f>
        <v>251417289</v>
      </c>
      <c r="X12" s="23">
        <f>MU!X12+UMKC!X12+'S&amp;T'!X12+UMSL!X12</f>
        <v>268483056</v>
      </c>
      <c r="Y12" s="23">
        <f>MU!Y12+UMKC!Y12+'S&amp;T'!Y12+UMSL!Y12</f>
        <v>280599333</v>
      </c>
      <c r="Z12" s="23">
        <f>MU!Z12+UMKC!Z12+'S&amp;T'!Z12+UMSL!Z12</f>
        <v>272253326</v>
      </c>
      <c r="AA12" s="23">
        <f>MU!AA12+UMKC!AA12+'S&amp;T'!AA12+UMSL!AA12</f>
        <v>265003670</v>
      </c>
      <c r="AB12" s="23">
        <f>MU!AB12+UMKC!AB12+'S&amp;T'!AB12+UMSL!AB12</f>
        <v>258639092</v>
      </c>
      <c r="AC12" s="23">
        <f>MU!AC12+UMKC!AC12+'S&amp;T'!AC12+UMSL!AC12</f>
        <v>252857803</v>
      </c>
      <c r="AD12" s="23">
        <f>MU!AD12+UMKC!AD12+'S&amp;T'!AD12+UMSL!AD12</f>
        <v>242689926</v>
      </c>
      <c r="AE12" s="23">
        <f>MU!AE12+UMKC!AE12+'S&amp;T'!AE12+UMSL!AE12</f>
        <v>222992394</v>
      </c>
      <c r="AF12" s="23">
        <f>MU!AF12+UMKC!AF12+'S&amp;T'!AF12+UMSL!AF12</f>
        <v>203578953</v>
      </c>
      <c r="AG12" s="23">
        <f>MU!AG12+UMKC!AG12+'S&amp;T'!AG12+UMSL!AG12</f>
        <v>192716238</v>
      </c>
      <c r="AH12" s="23">
        <f>MU!AH12+UMKC!AH12+'S&amp;T'!AH12+UMSL!AH12</f>
        <v>175072849</v>
      </c>
      <c r="AI12" s="23">
        <f>MU!AI12+UMKC!AI12+'S&amp;T'!AI12+UMSL!AI12</f>
        <v>161783007</v>
      </c>
      <c r="AJ12" s="23">
        <f>MU!AJ12+UMKC!AJ12+'S&amp;T'!AJ12+UMSL!AJ12</f>
        <v>160035098</v>
      </c>
      <c r="AK12" s="23">
        <f>MU!AK12+UMKC!AK12+'S&amp;T'!AK12+UMSL!AK12</f>
        <v>165449829</v>
      </c>
      <c r="AL12" s="17"/>
    </row>
    <row r="13" spans="1:41" ht="13.5" customHeight="1" x14ac:dyDescent="0.2">
      <c r="A13" s="15"/>
      <c r="D13" s="1" t="s">
        <v>29</v>
      </c>
      <c r="E13" s="23"/>
      <c r="F13" s="24">
        <f>MU!F13+UMKC!F13+'S&amp;T'!F13+UMSL!F13</f>
        <v>2002425</v>
      </c>
      <c r="G13" s="24">
        <f>MU!G13+UMKC!G13+'S&amp;T'!G13+UMSL!G13</f>
        <v>1837467</v>
      </c>
      <c r="H13" s="24">
        <f>MU!H13+UMKC!H13+'S&amp;T'!H13+UMSL!H13</f>
        <v>1768884</v>
      </c>
      <c r="I13" s="24">
        <f>MU!I13+UMKC!I13+'S&amp;T'!I13+UMSL!I13</f>
        <v>1968692</v>
      </c>
      <c r="J13" s="24">
        <f>MU!J13+UMKC!J13+'S&amp;T'!J13+UMSL!J13</f>
        <v>2101940</v>
      </c>
      <c r="K13" s="24">
        <f>MU!K13+UMKC!K13+'S&amp;T'!K13+UMSL!K13</f>
        <v>2979287</v>
      </c>
      <c r="L13" s="24">
        <f>MU!L13+UMKC!L13+'S&amp;T'!L13+UMSL!L13</f>
        <v>2511204</v>
      </c>
      <c r="M13" s="24">
        <f>MU!M13+UMKC!M13+'S&amp;T'!M13+UMSL!M13</f>
        <v>2306757</v>
      </c>
      <c r="N13" s="24">
        <f>MU!N13+UMKC!N13+'S&amp;T'!N13+UMSL!N13</f>
        <v>2899112</v>
      </c>
      <c r="O13" s="24">
        <f>MU!O13+UMKC!O13+'S&amp;T'!O13+UMSL!O13</f>
        <v>2778511</v>
      </c>
      <c r="P13" s="24">
        <f>MU!P13+UMKC!P13+'S&amp;T'!P13+UMSL!P13</f>
        <v>3872750</v>
      </c>
      <c r="Q13" s="24">
        <f>MU!Q13+UMKC!Q13+'S&amp;T'!Q13+UMSL!Q13</f>
        <v>3747338</v>
      </c>
      <c r="R13" s="24">
        <f>MU!R13+UMKC!R13+'S&amp;T'!R13+UMSL!R13</f>
        <v>3228072</v>
      </c>
      <c r="S13" s="24">
        <f>MU!S13+UMKC!S13+'S&amp;T'!S13+UMSL!S13</f>
        <v>3627737</v>
      </c>
      <c r="T13" s="24">
        <f>MU!T13+UMKC!T13+'S&amp;T'!T13+UMSL!T13</f>
        <v>3380023</v>
      </c>
      <c r="U13" s="24">
        <f>MU!U13+UMKC!U13+'S&amp;T'!U13+UMSL!U13</f>
        <v>2776358</v>
      </c>
      <c r="V13" s="24">
        <f>MU!V13+UMKC!V13+'S&amp;T'!V13+UMSL!V13</f>
        <v>3522261</v>
      </c>
      <c r="W13" s="24">
        <f>MU!W13+UMKC!W13+'S&amp;T'!W13+UMSL!W13</f>
        <v>3530357</v>
      </c>
      <c r="X13" s="24">
        <f>MU!X13+UMKC!X13+'S&amp;T'!X13+UMSL!X13</f>
        <v>2846133</v>
      </c>
      <c r="Y13" s="24">
        <f>MU!Y13+UMKC!Y13+'S&amp;T'!Y13+UMSL!Y13</f>
        <v>3294594</v>
      </c>
      <c r="Z13" s="24">
        <f>MU!Z13+UMKC!Z13+'S&amp;T'!Z13+UMSL!Z13</f>
        <v>2831746</v>
      </c>
      <c r="AA13" s="24">
        <f>MU!AA13+UMKC!AA13+'S&amp;T'!AA13+UMSL!AA13</f>
        <v>2812906</v>
      </c>
      <c r="AB13" s="24">
        <f>MU!AB13+UMKC!AB13+'S&amp;T'!AB13+UMSL!AB13</f>
        <v>2738974</v>
      </c>
      <c r="AC13" s="24">
        <f>MU!AC13+UMKC!AC13+'S&amp;T'!AC13+UMSL!AC13</f>
        <v>2708557</v>
      </c>
      <c r="AD13" s="24">
        <f>MU!AD13+UMKC!AD13+'S&amp;T'!AD13+UMSL!AD13</f>
        <v>2604748</v>
      </c>
      <c r="AE13" s="24">
        <f>MU!AE13+UMKC!AE13+'S&amp;T'!AE13+UMSL!AE13</f>
        <v>2444713</v>
      </c>
      <c r="AF13" s="24">
        <f>MU!AF13+UMKC!AF13+'S&amp;T'!AF13+UMSL!AF13</f>
        <v>2847108</v>
      </c>
      <c r="AG13" s="24">
        <f>MU!AG13+UMKC!AG13+'S&amp;T'!AG13+UMSL!AG13</f>
        <v>2476239</v>
      </c>
      <c r="AH13" s="24">
        <f>MU!AH13+UMKC!AH13+'S&amp;T'!AH13+UMSL!AH13</f>
        <v>2077885</v>
      </c>
      <c r="AI13" s="24">
        <f>MU!AI13+UMKC!AI13+'S&amp;T'!AI13+UMSL!AI13</f>
        <v>2034695.5</v>
      </c>
      <c r="AJ13" s="24">
        <f>MU!AJ13+UMKC!AJ13+'S&amp;T'!AJ13+UMSL!AJ13</f>
        <v>2075431</v>
      </c>
      <c r="AK13" s="24">
        <f>MU!AK13+UMKC!AK13+'S&amp;T'!AK13+UMSL!AK13</f>
        <v>2879474</v>
      </c>
      <c r="AL13" s="17"/>
    </row>
    <row r="14" spans="1:41" ht="13.5" customHeight="1" x14ac:dyDescent="0.2">
      <c r="A14" s="15"/>
      <c r="E14" s="23"/>
      <c r="F14" s="21">
        <f t="shared" ref="F14:H14" si="0">SUM(F11:F13)</f>
        <v>53949227</v>
      </c>
      <c r="G14" s="21">
        <f t="shared" si="0"/>
        <v>68128811</v>
      </c>
      <c r="H14" s="21">
        <f t="shared" si="0"/>
        <v>80191792</v>
      </c>
      <c r="I14" s="21">
        <f t="shared" ref="I14:L14" si="1">SUM(I11:I13)</f>
        <v>96799425</v>
      </c>
      <c r="J14" s="21">
        <f t="shared" si="1"/>
        <v>107794250</v>
      </c>
      <c r="K14" s="21">
        <f t="shared" si="1"/>
        <v>112741179</v>
      </c>
      <c r="L14" s="21">
        <f t="shared" si="1"/>
        <v>115346624</v>
      </c>
      <c r="M14" s="21">
        <f t="shared" ref="M14:O14" si="2">SUM(M11:M13)</f>
        <v>116625963</v>
      </c>
      <c r="N14" s="21">
        <f t="shared" si="2"/>
        <v>123885652</v>
      </c>
      <c r="O14" s="21">
        <f t="shared" si="2"/>
        <v>131105864</v>
      </c>
      <c r="P14" s="21">
        <f t="shared" ref="P14" si="3">SUM(P11:P13)</f>
        <v>153838640</v>
      </c>
      <c r="Q14" s="21">
        <f t="shared" ref="Q14:AA14" si="4">SUM(Q11:Q13)</f>
        <v>175613215</v>
      </c>
      <c r="R14" s="21">
        <f t="shared" si="4"/>
        <v>193806830</v>
      </c>
      <c r="S14" s="21">
        <f t="shared" si="4"/>
        <v>204239633</v>
      </c>
      <c r="T14" s="21">
        <f t="shared" si="4"/>
        <v>204846532</v>
      </c>
      <c r="U14" s="21">
        <f t="shared" si="4"/>
        <v>214808079</v>
      </c>
      <c r="V14" s="21">
        <f t="shared" ref="V14:Z14" si="5">SUM(V11:V13)</f>
        <v>258334249</v>
      </c>
      <c r="W14" s="21">
        <f t="shared" si="5"/>
        <v>315098642</v>
      </c>
      <c r="X14" s="21">
        <f t="shared" si="5"/>
        <v>339848934</v>
      </c>
      <c r="Y14" s="21">
        <f t="shared" si="5"/>
        <v>349386519</v>
      </c>
      <c r="Z14" s="21">
        <f t="shared" si="5"/>
        <v>340687019</v>
      </c>
      <c r="AA14" s="21">
        <f t="shared" si="4"/>
        <v>334886284</v>
      </c>
      <c r="AB14" s="21">
        <f t="shared" ref="AB14" si="6">SUM(AB11:AB13)</f>
        <v>334747822</v>
      </c>
      <c r="AC14" s="21">
        <f t="shared" ref="AC14:AD14" si="7">SUM(AC11:AC13)</f>
        <v>324654399</v>
      </c>
      <c r="AD14" s="21">
        <f t="shared" si="7"/>
        <v>306605601</v>
      </c>
      <c r="AE14" s="21">
        <f t="shared" ref="AE14:AF14" si="8">SUM(AE11:AE13)</f>
        <v>292134337</v>
      </c>
      <c r="AF14" s="21">
        <f t="shared" si="8"/>
        <v>274010046</v>
      </c>
      <c r="AG14" s="21">
        <f t="shared" ref="AG14:AH14" si="9">SUM(AG11:AG13)</f>
        <v>270113781</v>
      </c>
      <c r="AH14" s="21">
        <f t="shared" si="9"/>
        <v>255206268</v>
      </c>
      <c r="AI14" s="21">
        <f t="shared" ref="AI14:AJ14" si="10">SUM(AI11:AI13)</f>
        <v>255484491.5</v>
      </c>
      <c r="AJ14" s="21">
        <f t="shared" si="10"/>
        <v>229863252</v>
      </c>
      <c r="AK14" s="21">
        <f t="shared" ref="AK14" si="11">SUM(AK11:AK13)</f>
        <v>242465179</v>
      </c>
      <c r="AL14" s="17"/>
    </row>
    <row r="15" spans="1:41" s="60" customFormat="1" ht="13.5" hidden="1" customHeight="1" x14ac:dyDescent="0.2">
      <c r="A15" s="59"/>
      <c r="D15" s="61"/>
      <c r="E15" s="62"/>
      <c r="F15" s="28">
        <f>MU!F15+UMKC!F15+'S&amp;T'!F15+UMSL!F15</f>
        <v>-956156</v>
      </c>
      <c r="G15" s="28">
        <f>MU!G15+UMKC!G15+'S&amp;T'!G15+UMSL!G15</f>
        <v>-1036742</v>
      </c>
      <c r="H15" s="30"/>
      <c r="I15" s="28">
        <f>MU!I15+UMKC!I15+'S&amp;T'!I15+UMSL!I15</f>
        <v>-1146974</v>
      </c>
      <c r="J15" s="28">
        <f>MU!J15+UMKC!J15+'S&amp;T'!J15+UMSL!J15</f>
        <v>-912519</v>
      </c>
      <c r="K15" s="28">
        <f>MU!K15+UMKC!K15+'S&amp;T'!K15+UMSL!K15</f>
        <v>-1204399</v>
      </c>
      <c r="L15" s="28">
        <f>MU!L15+UMKC!L15+'S&amp;T'!L15+UMSL!L15</f>
        <v>-1102371</v>
      </c>
      <c r="M15" s="28">
        <f>MU!M15+UMKC!M15+'S&amp;T'!M15+UMSL!M15</f>
        <v>-1069710</v>
      </c>
      <c r="N15" s="28">
        <f>MU!N15+UMKC!N15+'S&amp;T'!N15+UMSL!N15</f>
        <v>-1075589</v>
      </c>
      <c r="O15" s="28">
        <f>MU!O15+UMKC!O15+'S&amp;T'!O15+UMSL!O15</f>
        <v>-1156992</v>
      </c>
      <c r="P15" s="28">
        <f>MU!P15+UMKC!P15+'S&amp;T'!P15+UMSL!P15</f>
        <v>-1434590</v>
      </c>
      <c r="Q15" s="28">
        <f>MU!Q15+UMKC!Q15+'S&amp;T'!Q15+UMSL!Q15</f>
        <v>-2281730</v>
      </c>
      <c r="R15" s="28">
        <f>MU!R15+UMKC!R15+'S&amp;T'!R15+UMSL!R15</f>
        <v>-1613019</v>
      </c>
      <c r="S15" s="28">
        <f>MU!S15+UMKC!S15+'S&amp;T'!S15+UMSL!S15</f>
        <v>-1554393</v>
      </c>
      <c r="T15" s="28">
        <f>MU!T15+UMKC!T15+'S&amp;T'!T15+UMSL!T15</f>
        <v>-1555029</v>
      </c>
      <c r="U15" s="28">
        <f>MU!U15+UMKC!U15+'S&amp;T'!U15+UMSL!U15</f>
        <v>-1034134</v>
      </c>
      <c r="V15" s="28">
        <f>MU!V15+UMKC!V15+'S&amp;T'!V15+UMSL!V15</f>
        <v>-1587843</v>
      </c>
      <c r="W15" s="28">
        <f>MU!W15+UMKC!W15+'S&amp;T'!W15+UMSL!W15</f>
        <v>-1253444</v>
      </c>
      <c r="X15" s="28">
        <f>MU!X15+UMKC!X15+'S&amp;T'!X15+UMSL!X15</f>
        <v>-1223430</v>
      </c>
      <c r="Y15" s="28">
        <f>MU!Y15+UMKC!Y15+'S&amp;T'!Y15+UMSL!Y15</f>
        <v>-1794041</v>
      </c>
      <c r="Z15" s="28">
        <f>MU!Z15+UMKC!Z15+'S&amp;T'!Z15+UMSL!Z15</f>
        <v>-1200496</v>
      </c>
      <c r="AA15" s="28">
        <f>MU!AA15+UMKC!AA15+'S&amp;T'!AA15+UMSL!AA15</f>
        <v>-1342250</v>
      </c>
      <c r="AB15" s="28">
        <f>MU!AB15+UMKC!AB15+'S&amp;T'!AB15+UMSL!AB15</f>
        <v>-1122272</v>
      </c>
      <c r="AC15" s="28">
        <f>MU!AC15+UMKC!AC15+'S&amp;T'!AC15+UMSL!AC15</f>
        <v>-1012631</v>
      </c>
      <c r="AD15" s="28">
        <f>MU!AD15+UMKC!AD15+'S&amp;T'!AD15+UMSL!AD15</f>
        <v>-1146188</v>
      </c>
      <c r="AE15" s="28">
        <f>MU!AE15+UMKC!AE15+'S&amp;T'!AE15+UMSL!AE15</f>
        <v>-1233261</v>
      </c>
      <c r="AF15" s="28">
        <f>MU!AF15+UMKC!AF15+'S&amp;T'!AF15+UMSL!AF15</f>
        <v>-792618</v>
      </c>
      <c r="AG15" s="28">
        <f>MU!AG15+UMKC!AG15+'S&amp;T'!AG15+UMSL!AG15</f>
        <v>-693238</v>
      </c>
      <c r="AH15" s="28">
        <f>MU!AH15+UMKC!AH15+'S&amp;T'!AH15+UMSL!AH15</f>
        <v>-756136</v>
      </c>
      <c r="AI15" s="28">
        <f>MU!AI15+UMKC!AI15+'S&amp;T'!AI15+UMSL!AI15</f>
        <v>-529501</v>
      </c>
      <c r="AJ15" s="28">
        <f>MU!AJ15+UMKC!AJ15+'S&amp;T'!AJ15+UMSL!AJ15</f>
        <v>-304228</v>
      </c>
      <c r="AK15" s="28">
        <f>MU!AK15+UMKC!AK15+'S&amp;T'!AK15+UMSL!AK15</f>
        <v>-568706</v>
      </c>
      <c r="AL15" s="63"/>
    </row>
    <row r="16" spans="1:41" ht="13.5" customHeight="1" x14ac:dyDescent="0.2">
      <c r="A16" s="15"/>
      <c r="D16" s="26"/>
      <c r="E16" s="27" t="s">
        <v>30</v>
      </c>
      <c r="F16" s="29">
        <f t="shared" ref="F16:G16" si="12">SUM(F14:F15)</f>
        <v>52993071</v>
      </c>
      <c r="G16" s="29">
        <f t="shared" si="12"/>
        <v>67092069</v>
      </c>
      <c r="H16" s="29"/>
      <c r="I16" s="29">
        <f t="shared" ref="I16:L16" si="13">SUM(I14:I15)</f>
        <v>95652451</v>
      </c>
      <c r="J16" s="29">
        <f t="shared" si="13"/>
        <v>106881731</v>
      </c>
      <c r="K16" s="29">
        <f t="shared" si="13"/>
        <v>111536780</v>
      </c>
      <c r="L16" s="29">
        <f t="shared" si="13"/>
        <v>114244253</v>
      </c>
      <c r="M16" s="29">
        <f t="shared" ref="M16:O16" si="14">SUM(M14:M15)</f>
        <v>115556253</v>
      </c>
      <c r="N16" s="29">
        <f t="shared" si="14"/>
        <v>122810063</v>
      </c>
      <c r="O16" s="29">
        <f t="shared" si="14"/>
        <v>129948872</v>
      </c>
      <c r="P16" s="29">
        <f t="shared" ref="P16" si="15">SUM(P14:P15)</f>
        <v>152404050</v>
      </c>
      <c r="Q16" s="29">
        <f t="shared" ref="Q16:AA16" si="16">SUM(Q14:Q15)</f>
        <v>173331485</v>
      </c>
      <c r="R16" s="29">
        <f t="shared" si="16"/>
        <v>192193811</v>
      </c>
      <c r="S16" s="29">
        <f t="shared" si="16"/>
        <v>202685240</v>
      </c>
      <c r="T16" s="29">
        <f t="shared" si="16"/>
        <v>203291503</v>
      </c>
      <c r="U16" s="29">
        <f t="shared" si="16"/>
        <v>213773945</v>
      </c>
      <c r="V16" s="29">
        <f t="shared" ref="V16:Z16" si="17">SUM(V14:V15)</f>
        <v>256746406</v>
      </c>
      <c r="W16" s="29">
        <f t="shared" si="17"/>
        <v>313845198</v>
      </c>
      <c r="X16" s="29">
        <f t="shared" si="17"/>
        <v>338625504</v>
      </c>
      <c r="Y16" s="29">
        <f t="shared" si="17"/>
        <v>347592478</v>
      </c>
      <c r="Z16" s="29">
        <f t="shared" si="17"/>
        <v>339486523</v>
      </c>
      <c r="AA16" s="29">
        <f t="shared" si="16"/>
        <v>333544034</v>
      </c>
      <c r="AB16" s="29">
        <f t="shared" ref="AB16" si="18">SUM(AB14:AB15)</f>
        <v>333625550</v>
      </c>
      <c r="AC16" s="29">
        <f t="shared" ref="AC16:AD16" si="19">SUM(AC14:AC15)</f>
        <v>323641768</v>
      </c>
      <c r="AD16" s="29">
        <f t="shared" si="19"/>
        <v>305459413</v>
      </c>
      <c r="AE16" s="29">
        <f t="shared" ref="AE16:AF16" si="20">SUM(AE14:AE15)</f>
        <v>290901076</v>
      </c>
      <c r="AF16" s="29">
        <f t="shared" si="20"/>
        <v>273217428</v>
      </c>
      <c r="AG16" s="29">
        <f t="shared" ref="AG16:AH16" si="21">SUM(AG14:AG15)</f>
        <v>269420543</v>
      </c>
      <c r="AH16" s="29">
        <f t="shared" si="21"/>
        <v>254450132</v>
      </c>
      <c r="AI16" s="29">
        <f t="shared" ref="AI16:AJ16" si="22">SUM(AI14:AI15)</f>
        <v>254954990.5</v>
      </c>
      <c r="AJ16" s="29">
        <f t="shared" si="22"/>
        <v>229559024</v>
      </c>
      <c r="AK16" s="29">
        <f t="shared" ref="AK16" si="23">SUM(AK14:AK15)</f>
        <v>241896473</v>
      </c>
      <c r="AL16" s="22"/>
    </row>
    <row r="17" spans="1:38" ht="13.5" customHeight="1" x14ac:dyDescent="0.2">
      <c r="A17" s="15"/>
      <c r="C17" s="2" t="s">
        <v>31</v>
      </c>
      <c r="AL17" s="17"/>
    </row>
    <row r="18" spans="1:38" ht="13.5" customHeight="1" x14ac:dyDescent="0.2">
      <c r="A18" s="15"/>
      <c r="D18" s="1" t="s">
        <v>27</v>
      </c>
      <c r="E18" s="21"/>
      <c r="F18" s="21">
        <f>MU!F18+UMKC!F18+'S&amp;T'!F18+UMSL!F18</f>
        <v>12523790</v>
      </c>
      <c r="G18" s="21">
        <f>MU!G18+UMKC!G18+'S&amp;T'!G18+UMSL!G18</f>
        <v>7310011</v>
      </c>
      <c r="H18" s="21">
        <f>MU!H18+UMKC!H18+'S&amp;T'!H18+UMSL!H18</f>
        <v>14472063</v>
      </c>
      <c r="I18" s="21">
        <f>MU!I18+UMKC!I18+'S&amp;T'!I18+UMSL!I18</f>
        <v>7955813</v>
      </c>
      <c r="J18" s="21">
        <f>MU!J18+UMKC!J18+'S&amp;T'!J18+UMSL!J18</f>
        <v>8572322</v>
      </c>
      <c r="K18" s="21">
        <f>MU!K18+UMKC!K18+'S&amp;T'!K18+UMSL!K18</f>
        <v>9255460</v>
      </c>
      <c r="L18" s="21">
        <f>MU!L18+UMKC!L18+'S&amp;T'!L18+UMSL!L18</f>
        <v>11205644</v>
      </c>
      <c r="M18" s="21">
        <f>MU!M18+UMKC!M18+'S&amp;T'!M18+UMSL!M18</f>
        <v>12397383</v>
      </c>
      <c r="N18" s="21">
        <f>MU!N18+UMKC!N18+'S&amp;T'!N18+UMSL!N18</f>
        <v>14022611</v>
      </c>
      <c r="O18" s="21">
        <f>MU!O18+UMKC!O18+'S&amp;T'!O18+UMSL!O18</f>
        <v>15378719</v>
      </c>
      <c r="P18" s="21">
        <f>MU!P18+UMKC!P18+'S&amp;T'!P18+UMSL!P18</f>
        <v>14277044</v>
      </c>
      <c r="Q18" s="21">
        <f>MU!Q18+UMKC!Q18+'S&amp;T'!Q18+UMSL!Q18</f>
        <v>14196984</v>
      </c>
      <c r="R18" s="21">
        <f>MU!R18+UMKC!R18+'S&amp;T'!R18+UMSL!R18</f>
        <v>13222469</v>
      </c>
      <c r="S18" s="21">
        <f>MU!S18+UMKC!S18+'S&amp;T'!S18+UMSL!S18</f>
        <v>14679457</v>
      </c>
      <c r="T18" s="21">
        <f>MU!T18+UMKC!T18+'S&amp;T'!T18+UMSL!T18</f>
        <v>14694204</v>
      </c>
      <c r="U18" s="21">
        <f>MU!U18+UMKC!U18+'S&amp;T'!U18+UMSL!U18</f>
        <v>21995593</v>
      </c>
      <c r="V18" s="21">
        <f>MU!V18+UMKC!V18+'S&amp;T'!V18+UMSL!V18</f>
        <v>23037730</v>
      </c>
      <c r="W18" s="21">
        <f>MU!W18+UMKC!W18+'S&amp;T'!W18+UMSL!W18</f>
        <v>21282690</v>
      </c>
      <c r="X18" s="21">
        <f>MU!X18+UMKC!X18+'S&amp;T'!X18+UMSL!X18</f>
        <v>15806840</v>
      </c>
      <c r="Y18" s="21">
        <f>MU!Y18+UMKC!Y18+'S&amp;T'!Y18+UMSL!Y18</f>
        <v>16092479</v>
      </c>
      <c r="Z18" s="21">
        <f>MU!Z18+UMKC!Z18+'S&amp;T'!Z18+UMSL!Z18</f>
        <v>17928305</v>
      </c>
      <c r="AA18" s="21">
        <f>MU!AA18+UMKC!AA18+'S&amp;T'!AA18+UMSL!AA18</f>
        <v>18972918</v>
      </c>
      <c r="AB18" s="21">
        <f>MU!AB18+UMKC!AB18+'S&amp;T'!AB18+UMSL!AB18</f>
        <v>24354928</v>
      </c>
      <c r="AC18" s="21">
        <f>MU!AC18+UMKC!AC18+'S&amp;T'!AC18+UMSL!AC18</f>
        <v>28131751</v>
      </c>
      <c r="AD18" s="21">
        <f>MU!AD18+UMKC!AD18+'S&amp;T'!AD18+UMSL!AD18</f>
        <v>29118491</v>
      </c>
      <c r="AE18" s="21">
        <f>MU!AE18+UMKC!AE18+'S&amp;T'!AE18+UMSL!AE18</f>
        <v>26926398</v>
      </c>
      <c r="AF18" s="21">
        <f>MU!AF18+UMKC!AF18+'S&amp;T'!AF18+UMSL!AF18</f>
        <v>28563200</v>
      </c>
      <c r="AG18" s="21">
        <f>MU!AG18+UMKC!AG18+'S&amp;T'!AG18+UMSL!AG18</f>
        <v>29508506</v>
      </c>
      <c r="AH18" s="21">
        <f>MU!AH18+UMKC!AH18+'S&amp;T'!AH18+UMSL!AH18</f>
        <v>26426410</v>
      </c>
      <c r="AI18" s="21">
        <f>MU!AI18+UMKC!AI18+'S&amp;T'!AI18+UMSL!AI18</f>
        <v>31677918</v>
      </c>
      <c r="AJ18" s="21">
        <f>MU!AJ18+UMKC!AJ18+'S&amp;T'!AJ18+UMSL!AJ18</f>
        <v>33573941</v>
      </c>
      <c r="AK18" s="21">
        <f>MU!AK18+UMKC!AK18+'S&amp;T'!AK18+UMSL!AK18</f>
        <v>34386447</v>
      </c>
      <c r="AL18" s="17"/>
    </row>
    <row r="19" spans="1:38" ht="13.5" customHeight="1" x14ac:dyDescent="0.2">
      <c r="A19" s="15"/>
      <c r="D19" s="1" t="s">
        <v>28</v>
      </c>
      <c r="E19" s="23"/>
      <c r="F19" s="24">
        <f>MU!F19+UMKC!F19+'S&amp;T'!F19+UMSL!F19</f>
        <v>0</v>
      </c>
      <c r="G19" s="24">
        <f>MU!G19+UMKC!G19+'S&amp;T'!G19+UMSL!G19</f>
        <v>0</v>
      </c>
      <c r="H19" s="24">
        <f>MU!H19+UMKC!H19+'S&amp;T'!H19+UMSL!H19</f>
        <v>0</v>
      </c>
      <c r="I19" s="24">
        <f>MU!I19+UMKC!I19+'S&amp;T'!I19+UMSL!I19</f>
        <v>0</v>
      </c>
      <c r="J19" s="24">
        <f>MU!J19+UMKC!J19+'S&amp;T'!J19+UMSL!J19</f>
        <v>0</v>
      </c>
      <c r="K19" s="24">
        <f>MU!K19+UMKC!K19+'S&amp;T'!K19+UMSL!K19</f>
        <v>0</v>
      </c>
      <c r="L19" s="24">
        <f>MU!L19+UMKC!L19+'S&amp;T'!L19+UMSL!L19</f>
        <v>0</v>
      </c>
      <c r="M19" s="24">
        <f>MU!M19+UMKC!M19+'S&amp;T'!M19+UMSL!M19</f>
        <v>1116517</v>
      </c>
      <c r="N19" s="24">
        <f>MU!N19+UMKC!N19+'S&amp;T'!N19+UMSL!N19</f>
        <v>859952</v>
      </c>
      <c r="O19" s="24">
        <f>MU!O19+UMKC!O19+'S&amp;T'!O19+UMSL!O19</f>
        <v>473732</v>
      </c>
      <c r="P19" s="24">
        <f>MU!P19+UMKC!P19+'S&amp;T'!P19+UMSL!P19</f>
        <v>242862</v>
      </c>
      <c r="Q19" s="24">
        <f>MU!Q19+UMKC!Q19+'S&amp;T'!Q19+UMSL!Q19</f>
        <v>143911</v>
      </c>
      <c r="R19" s="24">
        <f>MU!R19+UMKC!R19+'S&amp;T'!R19+UMSL!R19</f>
        <v>23166</v>
      </c>
      <c r="S19" s="24">
        <f>MU!S19+UMKC!S19+'S&amp;T'!S19+UMSL!S19</f>
        <v>0</v>
      </c>
      <c r="T19" s="24">
        <f>MU!T19+UMKC!T19+'S&amp;T'!T19+UMSL!T19</f>
        <v>0</v>
      </c>
      <c r="U19" s="24">
        <f>MU!U19+UMKC!U19+'S&amp;T'!U19+UMSL!U19</f>
        <v>0</v>
      </c>
      <c r="V19" s="24">
        <f>MU!V19+UMKC!V19+'S&amp;T'!V19+UMSL!V19</f>
        <v>5000</v>
      </c>
      <c r="W19" s="24">
        <f>MU!W19+UMKC!W19+'S&amp;T'!W19+UMSL!W19</f>
        <v>5001</v>
      </c>
      <c r="X19" s="24">
        <f>MU!X19+UMKC!X19+'S&amp;T'!X19+UMSL!X19</f>
        <v>0</v>
      </c>
      <c r="Y19" s="24">
        <f>MU!Y19+UMKC!Y19+'S&amp;T'!Y19+UMSL!Y19</f>
        <v>0</v>
      </c>
      <c r="Z19" s="24">
        <f>MU!Z19+UMKC!Z19+'S&amp;T'!Z19+UMSL!Z19</f>
        <v>0</v>
      </c>
      <c r="AA19" s="24">
        <f>MU!AA19+UMKC!AA19+'S&amp;T'!AA19+UMSL!AA19</f>
        <v>17500</v>
      </c>
      <c r="AB19" s="24">
        <f>MU!AB19+UMKC!AB19+'S&amp;T'!AB19+UMSL!AB19</f>
        <v>10000</v>
      </c>
      <c r="AC19" s="24">
        <f>MU!AC19+UMKC!AC19+'S&amp;T'!AC19+UMSL!AC19</f>
        <v>0</v>
      </c>
      <c r="AD19" s="24">
        <f>MU!AD19+UMKC!AD19+'S&amp;T'!AD19+UMSL!AD19</f>
        <v>0</v>
      </c>
      <c r="AE19" s="24">
        <f>MU!AE19+UMKC!AE19+'S&amp;T'!AE19+UMSL!AE19</f>
        <v>0</v>
      </c>
      <c r="AF19" s="24">
        <f>MU!AF19+UMKC!AF19+'S&amp;T'!AF19+UMSL!AF19</f>
        <v>0</v>
      </c>
      <c r="AG19" s="24">
        <f>MU!AG19+UMKC!AG19+'S&amp;T'!AG19+UMSL!AG19</f>
        <v>0</v>
      </c>
      <c r="AH19" s="24">
        <f>MU!AH19+UMKC!AH19+'S&amp;T'!AH19+UMSL!AH19</f>
        <v>0</v>
      </c>
      <c r="AI19" s="24">
        <f>MU!AI19+UMKC!AI19+'S&amp;T'!AI19+UMSL!AI19</f>
        <v>0</v>
      </c>
      <c r="AJ19" s="24">
        <f>MU!AJ19+UMKC!AJ19+'S&amp;T'!AJ19+UMSL!AJ19</f>
        <v>0</v>
      </c>
      <c r="AK19" s="24">
        <f>MU!AK19+UMKC!AK19+'S&amp;T'!AK19+UMSL!AK19</f>
        <v>0</v>
      </c>
      <c r="AL19" s="17"/>
    </row>
    <row r="20" spans="1:38" ht="13.5" customHeight="1" x14ac:dyDescent="0.2">
      <c r="A20" s="15"/>
      <c r="E20" s="23"/>
      <c r="F20" s="21">
        <f t="shared" ref="F20:H20" si="24">SUM(F18:F19)</f>
        <v>12523790</v>
      </c>
      <c r="G20" s="21">
        <f t="shared" si="24"/>
        <v>7310011</v>
      </c>
      <c r="H20" s="21">
        <f t="shared" si="24"/>
        <v>14472063</v>
      </c>
      <c r="I20" s="21">
        <f t="shared" ref="I20:L20" si="25">SUM(I18:I19)</f>
        <v>7955813</v>
      </c>
      <c r="J20" s="21">
        <f t="shared" si="25"/>
        <v>8572322</v>
      </c>
      <c r="K20" s="21">
        <f t="shared" si="25"/>
        <v>9255460</v>
      </c>
      <c r="L20" s="21">
        <f t="shared" si="25"/>
        <v>11205644</v>
      </c>
      <c r="M20" s="21">
        <f t="shared" ref="M20:O20" si="26">SUM(M18:M19)</f>
        <v>13513900</v>
      </c>
      <c r="N20" s="21">
        <f t="shared" si="26"/>
        <v>14882563</v>
      </c>
      <c r="O20" s="21">
        <f t="shared" si="26"/>
        <v>15852451</v>
      </c>
      <c r="P20" s="21">
        <f t="shared" ref="P20" si="27">SUM(P18:P19)</f>
        <v>14519906</v>
      </c>
      <c r="Q20" s="21">
        <f t="shared" ref="Q20:AA20" si="28">SUM(Q18:Q19)</f>
        <v>14340895</v>
      </c>
      <c r="R20" s="21">
        <f t="shared" si="28"/>
        <v>13245635</v>
      </c>
      <c r="S20" s="21">
        <f t="shared" si="28"/>
        <v>14679457</v>
      </c>
      <c r="T20" s="21">
        <f t="shared" si="28"/>
        <v>14694204</v>
      </c>
      <c r="U20" s="21">
        <f t="shared" si="28"/>
        <v>21995593</v>
      </c>
      <c r="V20" s="21">
        <f t="shared" ref="V20:Z20" si="29">SUM(V18:V19)</f>
        <v>23042730</v>
      </c>
      <c r="W20" s="21">
        <f t="shared" si="29"/>
        <v>21287691</v>
      </c>
      <c r="X20" s="21">
        <f t="shared" si="29"/>
        <v>15806840</v>
      </c>
      <c r="Y20" s="21">
        <f t="shared" si="29"/>
        <v>16092479</v>
      </c>
      <c r="Z20" s="21">
        <f t="shared" si="29"/>
        <v>17928305</v>
      </c>
      <c r="AA20" s="21">
        <f t="shared" si="28"/>
        <v>18990418</v>
      </c>
      <c r="AB20" s="21">
        <f t="shared" ref="AB20" si="30">SUM(AB18:AB19)</f>
        <v>24364928</v>
      </c>
      <c r="AC20" s="21">
        <f t="shared" ref="AC20:AD20" si="31">SUM(AC18:AC19)</f>
        <v>28131751</v>
      </c>
      <c r="AD20" s="21">
        <f t="shared" si="31"/>
        <v>29118491</v>
      </c>
      <c r="AE20" s="21">
        <f t="shared" ref="AE20:AF20" si="32">SUM(AE18:AE19)</f>
        <v>26926398</v>
      </c>
      <c r="AF20" s="21">
        <f t="shared" si="32"/>
        <v>28563200</v>
      </c>
      <c r="AG20" s="21">
        <f t="shared" ref="AG20:AH20" si="33">SUM(AG18:AG19)</f>
        <v>29508506</v>
      </c>
      <c r="AH20" s="21">
        <f t="shared" si="33"/>
        <v>26426410</v>
      </c>
      <c r="AI20" s="21">
        <f t="shared" ref="AI20:AJ20" si="34">SUM(AI18:AI19)</f>
        <v>31677918</v>
      </c>
      <c r="AJ20" s="21">
        <f t="shared" si="34"/>
        <v>33573941</v>
      </c>
      <c r="AK20" s="21">
        <f t="shared" ref="AK20" si="35">SUM(AK18:AK19)</f>
        <v>34386447</v>
      </c>
      <c r="AL20" s="17"/>
    </row>
    <row r="21" spans="1:38" s="60" customFormat="1" ht="13.5" hidden="1" customHeight="1" x14ac:dyDescent="0.2">
      <c r="A21" s="59"/>
      <c r="D21" s="61"/>
      <c r="E21" s="62"/>
      <c r="F21" s="28">
        <f>MU!F21+UMKC!F21+'S&amp;T'!F21+UMSL!F21</f>
        <v>-35750</v>
      </c>
      <c r="G21" s="28">
        <f>MU!G21+UMKC!G21+'S&amp;T'!G21+UMSL!G21</f>
        <v>-32500</v>
      </c>
      <c r="H21" s="30"/>
      <c r="I21" s="28">
        <f>MU!I21+UMKC!I21+'S&amp;T'!I21+UMSL!I21</f>
        <v>-41500</v>
      </c>
      <c r="J21" s="28">
        <f>MU!J21+UMKC!J21+'S&amp;T'!J21+UMSL!J21</f>
        <v>-36250</v>
      </c>
      <c r="K21" s="28">
        <f>MU!K21+UMKC!K21+'S&amp;T'!K21+UMSL!K21</f>
        <v>-37000</v>
      </c>
      <c r="L21" s="28">
        <f>MU!L21+UMKC!L21+'S&amp;T'!L21+UMSL!L21</f>
        <v>-41053</v>
      </c>
      <c r="M21" s="28">
        <f>MU!M21+UMKC!M21+'S&amp;T'!M21+UMSL!M21</f>
        <v>-87777</v>
      </c>
      <c r="N21" s="28">
        <f>MU!N21+UMKC!N21+'S&amp;T'!N21+UMSL!N21</f>
        <v>-52835</v>
      </c>
      <c r="O21" s="28">
        <f>MU!O21+UMKC!O21+'S&amp;T'!O21+UMSL!O21</f>
        <v>-56386</v>
      </c>
      <c r="P21" s="28">
        <f>MU!P21+UMKC!P21+'S&amp;T'!P21+UMSL!P21</f>
        <v>-67877</v>
      </c>
      <c r="Q21" s="28">
        <f>MU!Q21+UMKC!Q21+'S&amp;T'!Q21+UMSL!Q21</f>
        <v>-103888</v>
      </c>
      <c r="R21" s="28">
        <f>MU!R21+UMKC!R21+'S&amp;T'!R21+UMSL!R21</f>
        <v>-83026</v>
      </c>
      <c r="S21" s="28">
        <f>MU!S21+UMKC!S21+'S&amp;T'!S21+UMSL!S21</f>
        <v>-65439</v>
      </c>
      <c r="T21" s="28">
        <f>MU!T21+UMKC!T21+'S&amp;T'!T21+UMSL!T21</f>
        <v>-48500</v>
      </c>
      <c r="U21" s="28">
        <f>MU!U21+UMKC!U21+'S&amp;T'!U21+UMSL!U21</f>
        <v>-69367</v>
      </c>
      <c r="V21" s="28">
        <f>MU!V21+UMKC!V21+'S&amp;T'!V21+UMSL!V21</f>
        <v>-47158</v>
      </c>
      <c r="W21" s="28">
        <f>MU!W21+UMKC!W21+'S&amp;T'!W21+UMSL!W21</f>
        <v>-8500</v>
      </c>
      <c r="X21" s="28">
        <f>MU!X21+UMKC!X21+'S&amp;T'!X21+UMSL!X21</f>
        <v>-4000</v>
      </c>
      <c r="Y21" s="28">
        <f>MU!Y21+UMKC!Y21+'S&amp;T'!Y21+UMSL!Y21</f>
        <v>-1000</v>
      </c>
      <c r="Z21" s="28">
        <f>MU!Z21+UMKC!Z21+'S&amp;T'!Z21+UMSL!Z21</f>
        <v>-1000</v>
      </c>
      <c r="AA21" s="28">
        <f>MU!AA21+UMKC!AA21+'S&amp;T'!AA21+UMSL!AA21</f>
        <v>-1000</v>
      </c>
      <c r="AB21" s="28">
        <f>MU!AB21+UMKC!AB21+'S&amp;T'!AB21+UMSL!AB21</f>
        <v>-1000</v>
      </c>
      <c r="AC21" s="28">
        <f>MU!AC21+UMKC!AC21+'S&amp;T'!AC21+UMSL!AC21</f>
        <v>-1000</v>
      </c>
      <c r="AD21" s="28">
        <f>MU!AD21+UMKC!AD21+'S&amp;T'!AD21+UMSL!AD21</f>
        <v>0</v>
      </c>
      <c r="AE21" s="28">
        <f>MU!AE21+UMKC!AE21+'S&amp;T'!AE21+UMSL!AE21</f>
        <v>0</v>
      </c>
      <c r="AF21" s="28">
        <f>MU!AF21+UMKC!AF21+'S&amp;T'!AF21+UMSL!AF21</f>
        <v>0</v>
      </c>
      <c r="AG21" s="28">
        <f>MU!AG21+UMKC!AG21+'S&amp;T'!AG21+UMSL!AG21</f>
        <v>0</v>
      </c>
      <c r="AH21" s="28">
        <f>MU!AH21+UMKC!AH21+'S&amp;T'!AH21+UMSL!AH21</f>
        <v>0</v>
      </c>
      <c r="AI21" s="28">
        <f>MU!AI21+UMKC!AI21+'S&amp;T'!AI21+UMSL!AI21</f>
        <v>0</v>
      </c>
      <c r="AJ21" s="28">
        <f>MU!AJ21+UMKC!AJ21+'S&amp;T'!AJ21+UMSL!AJ21</f>
        <v>0</v>
      </c>
      <c r="AK21" s="28">
        <f>MU!AK21+UMKC!AK21+'S&amp;T'!AK21+UMSL!AK21</f>
        <v>0</v>
      </c>
      <c r="AL21" s="63"/>
    </row>
    <row r="22" spans="1:38" ht="13.5" customHeight="1" x14ac:dyDescent="0.2">
      <c r="A22" s="15"/>
      <c r="D22" s="26"/>
      <c r="E22" s="27" t="s">
        <v>30</v>
      </c>
      <c r="F22" s="29">
        <f t="shared" ref="F22:G22" si="36">SUM(F20:F21)</f>
        <v>12488040</v>
      </c>
      <c r="G22" s="29">
        <f t="shared" si="36"/>
        <v>7277511</v>
      </c>
      <c r="H22" s="29"/>
      <c r="I22" s="29">
        <f t="shared" ref="I22:L22" si="37">SUM(I20:I21)</f>
        <v>7914313</v>
      </c>
      <c r="J22" s="29">
        <f t="shared" si="37"/>
        <v>8536072</v>
      </c>
      <c r="K22" s="29">
        <f t="shared" si="37"/>
        <v>9218460</v>
      </c>
      <c r="L22" s="29">
        <f t="shared" si="37"/>
        <v>11164591</v>
      </c>
      <c r="M22" s="29">
        <f t="shared" ref="M22:O22" si="38">SUM(M20:M21)</f>
        <v>13426123</v>
      </c>
      <c r="N22" s="29">
        <f t="shared" si="38"/>
        <v>14829728</v>
      </c>
      <c r="O22" s="29">
        <f t="shared" si="38"/>
        <v>15796065</v>
      </c>
      <c r="P22" s="29">
        <f t="shared" ref="P22" si="39">SUM(P20:P21)</f>
        <v>14452029</v>
      </c>
      <c r="Q22" s="29">
        <f t="shared" ref="Q22:AA22" si="40">SUM(Q20:Q21)</f>
        <v>14237007</v>
      </c>
      <c r="R22" s="29">
        <f t="shared" si="40"/>
        <v>13162609</v>
      </c>
      <c r="S22" s="29">
        <f t="shared" si="40"/>
        <v>14614018</v>
      </c>
      <c r="T22" s="29">
        <f t="shared" si="40"/>
        <v>14645704</v>
      </c>
      <c r="U22" s="29">
        <f t="shared" si="40"/>
        <v>21926226</v>
      </c>
      <c r="V22" s="29">
        <f t="shared" ref="V22:Z22" si="41">SUM(V20:V21)</f>
        <v>22995572</v>
      </c>
      <c r="W22" s="29">
        <f t="shared" si="41"/>
        <v>21279191</v>
      </c>
      <c r="X22" s="29">
        <f t="shared" si="41"/>
        <v>15802840</v>
      </c>
      <c r="Y22" s="29">
        <f t="shared" si="41"/>
        <v>16091479</v>
      </c>
      <c r="Z22" s="29">
        <f t="shared" si="41"/>
        <v>17927305</v>
      </c>
      <c r="AA22" s="29">
        <f t="shared" si="40"/>
        <v>18989418</v>
      </c>
      <c r="AB22" s="29">
        <f t="shared" ref="AB22" si="42">SUM(AB20:AB21)</f>
        <v>24363928</v>
      </c>
      <c r="AC22" s="29">
        <f t="shared" ref="AC22:AD22" si="43">SUM(AC20:AC21)</f>
        <v>28130751</v>
      </c>
      <c r="AD22" s="29">
        <f t="shared" si="43"/>
        <v>29118491</v>
      </c>
      <c r="AE22" s="29">
        <f t="shared" ref="AE22:AF22" si="44">SUM(AE20:AE21)</f>
        <v>26926398</v>
      </c>
      <c r="AF22" s="29">
        <f t="shared" si="44"/>
        <v>28563200</v>
      </c>
      <c r="AG22" s="29">
        <f t="shared" ref="AG22:AH22" si="45">SUM(AG20:AG21)</f>
        <v>29508506</v>
      </c>
      <c r="AH22" s="29">
        <f t="shared" si="45"/>
        <v>26426410</v>
      </c>
      <c r="AI22" s="29">
        <f t="shared" ref="AI22:AJ22" si="46">SUM(AI20:AI21)</f>
        <v>31677918</v>
      </c>
      <c r="AJ22" s="29">
        <f t="shared" si="46"/>
        <v>33573941</v>
      </c>
      <c r="AK22" s="29">
        <f t="shared" ref="AK22" si="47">SUM(AK20:AK21)</f>
        <v>34386447</v>
      </c>
      <c r="AL22" s="22"/>
    </row>
    <row r="23" spans="1:38" ht="13.5" customHeight="1" x14ac:dyDescent="0.2">
      <c r="A23" s="15"/>
      <c r="C23" s="2" t="s">
        <v>32</v>
      </c>
      <c r="D23" s="2"/>
      <c r="E23" s="23"/>
      <c r="AL23" s="17"/>
    </row>
    <row r="24" spans="1:38" ht="13.5" customHeight="1" x14ac:dyDescent="0.2">
      <c r="A24" s="15"/>
      <c r="D24" s="1" t="s">
        <v>27</v>
      </c>
      <c r="E24" s="21"/>
      <c r="F24" s="21">
        <f>MU!F24+UMKC!F24+'S&amp;T'!F24+UMSL!F24</f>
        <v>15410636</v>
      </c>
      <c r="G24" s="21">
        <f>MU!G24+UMKC!G24+'S&amp;T'!G24+UMSL!G24</f>
        <v>24365486</v>
      </c>
      <c r="H24" s="21">
        <f>MU!H24+UMKC!H24+'S&amp;T'!H24+UMSL!H24</f>
        <v>23545094</v>
      </c>
      <c r="I24" s="21">
        <f>MU!I24+UMKC!I24+'S&amp;T'!I24+UMSL!I24</f>
        <v>37091089</v>
      </c>
      <c r="J24" s="21">
        <f>MU!J24+UMKC!J24+'S&amp;T'!J24+UMSL!J24</f>
        <v>44487442</v>
      </c>
      <c r="K24" s="21">
        <f>MU!K24+UMKC!K24+'S&amp;T'!K24+UMSL!K24</f>
        <v>49079062</v>
      </c>
      <c r="L24" s="21">
        <f>MU!L24+UMKC!L24+'S&amp;T'!L24+UMSL!L24</f>
        <v>53483463</v>
      </c>
      <c r="M24" s="21">
        <f>MU!M24+UMKC!M24+'S&amp;T'!M24+UMSL!M24</f>
        <v>52030446</v>
      </c>
      <c r="N24" s="21">
        <f>MU!N24+UMKC!N24+'S&amp;T'!N24+UMSL!N24</f>
        <v>53904909</v>
      </c>
      <c r="O24" s="21">
        <f>MU!O24+UMKC!O24+'S&amp;T'!O24+UMSL!O24</f>
        <v>56015398</v>
      </c>
      <c r="P24" s="21">
        <f>MU!P24+UMKC!P24+'S&amp;T'!P24+UMSL!P24</f>
        <v>57238535</v>
      </c>
      <c r="Q24" s="21">
        <f>MU!Q24+UMKC!Q24+'S&amp;T'!Q24+UMSL!Q24</f>
        <v>62952828</v>
      </c>
      <c r="R24" s="21">
        <f>MU!R24+UMKC!R24+'S&amp;T'!R24+UMSL!R24</f>
        <v>68936790</v>
      </c>
      <c r="S24" s="21">
        <f>MU!S24+UMKC!S24+'S&amp;T'!S24+UMSL!S24</f>
        <v>75689212</v>
      </c>
      <c r="T24" s="21">
        <f>MU!T24+UMKC!T24+'S&amp;T'!T24+UMSL!T24</f>
        <v>82456534</v>
      </c>
      <c r="U24" s="21">
        <f>MU!U24+UMKC!U24+'S&amp;T'!U24+UMSL!U24</f>
        <v>85744305</v>
      </c>
      <c r="V24" s="21">
        <f>MU!V24+UMKC!V24+'S&amp;T'!V24+UMSL!V24</f>
        <v>94758880</v>
      </c>
      <c r="W24" s="21">
        <f>MU!W24+UMKC!W24+'S&amp;T'!W24+UMSL!W24</f>
        <v>96421589</v>
      </c>
      <c r="X24" s="21">
        <f>MU!X24+UMKC!X24+'S&amp;T'!X24+UMSL!X24</f>
        <v>102070814</v>
      </c>
      <c r="Y24" s="21">
        <f>MU!Y24+UMKC!Y24+'S&amp;T'!Y24+UMSL!Y24</f>
        <v>113681511</v>
      </c>
      <c r="Z24" s="21">
        <f>MU!Z24+UMKC!Z24+'S&amp;T'!Z24+UMSL!Z24</f>
        <v>123547750</v>
      </c>
      <c r="AA24" s="21">
        <f>MU!AA24+UMKC!AA24+'S&amp;T'!AA24+UMSL!AA24</f>
        <v>130667300</v>
      </c>
      <c r="AB24" s="21">
        <f>MU!AB24+UMKC!AB24+'S&amp;T'!AB24+UMSL!AB24</f>
        <v>140803113</v>
      </c>
      <c r="AC24" s="21">
        <f>MU!AC24+UMKC!AC24+'S&amp;T'!AC24+UMSL!AC24</f>
        <v>152601530</v>
      </c>
      <c r="AD24" s="21">
        <f>MU!AD24+UMKC!AD24+'S&amp;T'!AD24+UMSL!AD24</f>
        <v>153174427</v>
      </c>
      <c r="AE24" s="21">
        <f>MU!AE24+UMKC!AE24+'S&amp;T'!AE24+UMSL!AE24</f>
        <v>156412394</v>
      </c>
      <c r="AF24" s="21">
        <f>MU!AF24+UMKC!AF24+'S&amp;T'!AF24+UMSL!AF24</f>
        <v>159925331</v>
      </c>
      <c r="AG24" s="21">
        <f>MU!AG24+UMKC!AG24+'S&amp;T'!AG24+UMSL!AG24</f>
        <v>191287769</v>
      </c>
      <c r="AH24" s="21">
        <f>MU!AH24+UMKC!AH24+'S&amp;T'!AH24+UMSL!AH24</f>
        <v>207729693</v>
      </c>
      <c r="AI24" s="21">
        <f>MU!AI24+UMKC!AI24+'S&amp;T'!AI24+UMSL!AI24</f>
        <v>223528869</v>
      </c>
      <c r="AJ24" s="21">
        <f>MU!AJ24+UMKC!AJ24+'S&amp;T'!AJ24+UMSL!AJ24</f>
        <v>234181339</v>
      </c>
      <c r="AK24" s="21">
        <f>MU!AK24+UMKC!AK24+'S&amp;T'!AK24+UMSL!AK24</f>
        <v>266134324</v>
      </c>
      <c r="AL24" s="17"/>
    </row>
    <row r="25" spans="1:38" ht="13.5" customHeight="1" x14ac:dyDescent="0.2">
      <c r="A25" s="15"/>
      <c r="D25" s="1" t="s">
        <v>28</v>
      </c>
      <c r="E25" s="23"/>
      <c r="F25" s="23">
        <f>MU!F25+UMKC!F25+'S&amp;T'!F25+UMSL!F25</f>
        <v>965989</v>
      </c>
      <c r="G25" s="23">
        <f>MU!G25+UMKC!G25+'S&amp;T'!G25+UMSL!G25</f>
        <v>717792</v>
      </c>
      <c r="H25" s="23">
        <f>MU!H25+UMKC!H25+'S&amp;T'!H25+UMSL!H25</f>
        <v>815665</v>
      </c>
      <c r="I25" s="23">
        <f>MU!I25+UMKC!I25+'S&amp;T'!I25+UMSL!I25</f>
        <v>1435557</v>
      </c>
      <c r="J25" s="23">
        <f>MU!J25+UMKC!J25+'S&amp;T'!J25+UMSL!J25</f>
        <v>1984000</v>
      </c>
      <c r="K25" s="23">
        <f>MU!K25+UMKC!K25+'S&amp;T'!K25+UMSL!K25</f>
        <v>2297367</v>
      </c>
      <c r="L25" s="23">
        <f>MU!L25+UMKC!L25+'S&amp;T'!L25+UMSL!L25</f>
        <v>2317330</v>
      </c>
      <c r="M25" s="23">
        <f>MU!M25+UMKC!M25+'S&amp;T'!M25+UMSL!M25</f>
        <v>1791205</v>
      </c>
      <c r="N25" s="23">
        <f>MU!N25+UMKC!N25+'S&amp;T'!N25+UMSL!N25</f>
        <v>1919462</v>
      </c>
      <c r="O25" s="23">
        <f>MU!O25+UMKC!O25+'S&amp;T'!O25+UMSL!O25</f>
        <v>1670889</v>
      </c>
      <c r="P25" s="23">
        <f>MU!P25+UMKC!P25+'S&amp;T'!P25+UMSL!P25</f>
        <v>1151660</v>
      </c>
      <c r="Q25" s="23">
        <f>MU!Q25+UMKC!Q25+'S&amp;T'!Q25+UMSL!Q25</f>
        <v>2174923</v>
      </c>
      <c r="R25" s="23">
        <f>MU!R25+UMKC!R25+'S&amp;T'!R25+UMSL!R25</f>
        <v>2929836</v>
      </c>
      <c r="S25" s="23">
        <f>MU!S25+UMKC!S25+'S&amp;T'!S25+UMSL!S25</f>
        <v>3337664</v>
      </c>
      <c r="T25" s="23">
        <f>MU!T25+UMKC!T25+'S&amp;T'!T25+UMSL!T25</f>
        <v>2646133</v>
      </c>
      <c r="U25" s="23">
        <f>MU!U25+UMKC!U25+'S&amp;T'!U25+UMSL!U25</f>
        <v>2346959</v>
      </c>
      <c r="V25" s="23">
        <f>MU!V25+UMKC!V25+'S&amp;T'!V25+UMSL!V25</f>
        <v>2174205</v>
      </c>
      <c r="W25" s="23">
        <f>MU!W25+UMKC!W25+'S&amp;T'!W25+UMSL!W25</f>
        <v>1753905</v>
      </c>
      <c r="X25" s="23">
        <f>MU!X25+UMKC!X25+'S&amp;T'!X25+UMSL!X25</f>
        <v>2023156</v>
      </c>
      <c r="Y25" s="23">
        <f>MU!Y25+UMKC!Y25+'S&amp;T'!Y25+UMSL!Y25</f>
        <v>1849249</v>
      </c>
      <c r="Z25" s="23">
        <f>MU!Z25+UMKC!Z25+'S&amp;T'!Z25+UMSL!Z25</f>
        <v>1296651</v>
      </c>
      <c r="AA25" s="23">
        <f>MU!AA25+UMKC!AA25+'S&amp;T'!AA25+UMSL!AA25</f>
        <v>1112168</v>
      </c>
      <c r="AB25" s="23">
        <f>MU!AB25+UMKC!AB25+'S&amp;T'!AB25+UMSL!AB25</f>
        <v>862297</v>
      </c>
      <c r="AC25" s="23">
        <f>MU!AC25+UMKC!AC25+'S&amp;T'!AC25+UMSL!AC25</f>
        <v>671258</v>
      </c>
      <c r="AD25" s="23">
        <f>MU!AD25+UMKC!AD25+'S&amp;T'!AD25+UMSL!AD25</f>
        <v>735534</v>
      </c>
      <c r="AE25" s="23">
        <f>MU!AE25+UMKC!AE25+'S&amp;T'!AE25+UMSL!AE25</f>
        <v>1138216</v>
      </c>
      <c r="AF25" s="23">
        <f>MU!AF25+UMKC!AF25+'S&amp;T'!AF25+UMSL!AF25</f>
        <v>1322651</v>
      </c>
      <c r="AG25" s="23">
        <f>MU!AG25+UMKC!AG25+'S&amp;T'!AG25+UMSL!AG25</f>
        <v>917440</v>
      </c>
      <c r="AH25" s="23">
        <f>MU!AH25+UMKC!AH25+'S&amp;T'!AH25+UMSL!AH25</f>
        <v>638181</v>
      </c>
      <c r="AI25" s="23">
        <f>MU!AI25+UMKC!AI25+'S&amp;T'!AI25+UMSL!AI25</f>
        <v>472883</v>
      </c>
      <c r="AJ25" s="23">
        <f>MU!AJ25+UMKC!AJ25+'S&amp;T'!AJ25+UMSL!AJ25</f>
        <v>532870</v>
      </c>
      <c r="AK25" s="23">
        <f>MU!AK25+UMKC!AK25+'S&amp;T'!AK25+UMSL!AK25</f>
        <v>636029</v>
      </c>
      <c r="AL25" s="17"/>
    </row>
    <row r="26" spans="1:38" ht="13.5" customHeight="1" x14ac:dyDescent="0.2">
      <c r="A26" s="15"/>
      <c r="D26" s="1" t="s">
        <v>29</v>
      </c>
      <c r="E26" s="23"/>
      <c r="F26" s="24">
        <f>MU!F26+UMKC!F26+'S&amp;T'!F26+UMSL!F26</f>
        <v>11399698</v>
      </c>
      <c r="G26" s="24">
        <f>MU!G26+UMKC!G26+'S&amp;T'!G26+UMSL!G26</f>
        <v>12238718</v>
      </c>
      <c r="H26" s="24">
        <f>MU!H26+UMKC!H26+'S&amp;T'!H26+UMSL!H26</f>
        <v>12050094</v>
      </c>
      <c r="I26" s="24">
        <f>MU!I26+UMKC!I26+'S&amp;T'!I26+UMSL!I26</f>
        <v>10119950</v>
      </c>
      <c r="J26" s="24">
        <f>MU!J26+UMKC!J26+'S&amp;T'!J26+UMSL!J26</f>
        <v>10937537</v>
      </c>
      <c r="K26" s="24">
        <f>MU!K26+UMKC!K26+'S&amp;T'!K26+UMSL!K26</f>
        <v>12195518</v>
      </c>
      <c r="L26" s="24">
        <f>MU!L26+UMKC!L26+'S&amp;T'!L26+UMSL!L26</f>
        <v>13682800</v>
      </c>
      <c r="M26" s="24">
        <f>MU!M26+UMKC!M26+'S&amp;T'!M26+UMSL!M26</f>
        <v>12272712</v>
      </c>
      <c r="N26" s="24">
        <f>MU!N26+UMKC!N26+'S&amp;T'!N26+UMSL!N26</f>
        <v>11834451</v>
      </c>
      <c r="O26" s="24">
        <f>MU!O26+UMKC!O26+'S&amp;T'!O26+UMSL!O26</f>
        <v>10384660</v>
      </c>
      <c r="P26" s="24">
        <f>MU!P26+UMKC!P26+'S&amp;T'!P26+UMSL!P26</f>
        <v>8963467</v>
      </c>
      <c r="Q26" s="24">
        <f>MU!Q26+UMKC!Q26+'S&amp;T'!Q26+UMSL!Q26</f>
        <v>11617457</v>
      </c>
      <c r="R26" s="24">
        <f>MU!R26+UMKC!R26+'S&amp;T'!R26+UMSL!R26</f>
        <v>13569440</v>
      </c>
      <c r="S26" s="24">
        <f>MU!S26+UMKC!S26+'S&amp;T'!S26+UMSL!S26</f>
        <v>12333727</v>
      </c>
      <c r="T26" s="24">
        <f>MU!T26+UMKC!T26+'S&amp;T'!T26+UMSL!T26</f>
        <v>13824150</v>
      </c>
      <c r="U26" s="24">
        <f>MU!U26+UMKC!U26+'S&amp;T'!U26+UMSL!U26</f>
        <v>20122149</v>
      </c>
      <c r="V26" s="24">
        <f>MU!V26+UMKC!V26+'S&amp;T'!V26+UMSL!V26</f>
        <v>23512379</v>
      </c>
      <c r="W26" s="24">
        <f>MU!W26+UMKC!W26+'S&amp;T'!W26+UMSL!W26</f>
        <v>38939072</v>
      </c>
      <c r="X26" s="24">
        <f>MU!X26+UMKC!X26+'S&amp;T'!X26+UMSL!X26</f>
        <v>39013224</v>
      </c>
      <c r="Y26" s="24">
        <f>MU!Y26+UMKC!Y26+'S&amp;T'!Y26+UMSL!Y26</f>
        <v>43511774</v>
      </c>
      <c r="Z26" s="24">
        <f>MU!Z26+UMKC!Z26+'S&amp;T'!Z26+UMSL!Z26</f>
        <v>45820489</v>
      </c>
      <c r="AA26" s="24">
        <f>MU!AA26+UMKC!AA26+'S&amp;T'!AA26+UMSL!AA26</f>
        <v>42934598</v>
      </c>
      <c r="AB26" s="24">
        <f>MU!AB26+UMKC!AB26+'S&amp;T'!AB26+UMSL!AB26</f>
        <v>43828915</v>
      </c>
      <c r="AC26" s="24">
        <f>MU!AC26+UMKC!AC26+'S&amp;T'!AC26+UMSL!AC26</f>
        <v>26776650</v>
      </c>
      <c r="AD26" s="24">
        <f>MU!AD26+UMKC!AD26+'S&amp;T'!AD26+UMSL!AD26</f>
        <v>20771838</v>
      </c>
      <c r="AE26" s="24">
        <f>MU!AE26+UMKC!AE26+'S&amp;T'!AE26+UMSL!AE26</f>
        <v>22565271</v>
      </c>
      <c r="AF26" s="24">
        <f>MU!AF26+UMKC!AF26+'S&amp;T'!AF26+UMSL!AF26</f>
        <v>19004939</v>
      </c>
      <c r="AG26" s="24">
        <f>MU!AG26+UMKC!AG26+'S&amp;T'!AG26+UMSL!AG26</f>
        <v>18618445</v>
      </c>
      <c r="AH26" s="24">
        <f>MU!AH26+UMKC!AH26+'S&amp;T'!AH26+UMSL!AH26</f>
        <v>16046018</v>
      </c>
      <c r="AI26" s="24">
        <f>MU!AI26+UMKC!AI26+'S&amp;T'!AI26+UMSL!AI26</f>
        <v>27325932</v>
      </c>
      <c r="AJ26" s="24">
        <f>MU!AJ26+UMKC!AJ26+'S&amp;T'!AJ26+UMSL!AJ26</f>
        <v>30236708</v>
      </c>
      <c r="AK26" s="24">
        <f>MU!AK26+UMKC!AK26+'S&amp;T'!AK26+UMSL!AK26</f>
        <v>25468251</v>
      </c>
      <c r="AL26" s="17"/>
    </row>
    <row r="27" spans="1:38" ht="13.5" customHeight="1" x14ac:dyDescent="0.2">
      <c r="A27" s="15"/>
      <c r="E27" s="21"/>
      <c r="F27" s="21">
        <f t="shared" ref="F27:H27" si="48">SUM(F24:F26)</f>
        <v>27776323</v>
      </c>
      <c r="G27" s="21">
        <f t="shared" si="48"/>
        <v>37321996</v>
      </c>
      <c r="H27" s="21">
        <f t="shared" si="48"/>
        <v>36410853</v>
      </c>
      <c r="I27" s="21">
        <f t="shared" ref="I27:L27" si="49">SUM(I24:I26)</f>
        <v>48646596</v>
      </c>
      <c r="J27" s="21">
        <f t="shared" si="49"/>
        <v>57408979</v>
      </c>
      <c r="K27" s="21">
        <f t="shared" si="49"/>
        <v>63571947</v>
      </c>
      <c r="L27" s="21">
        <f t="shared" si="49"/>
        <v>69483593</v>
      </c>
      <c r="M27" s="21">
        <f t="shared" ref="M27:O27" si="50">SUM(M24:M26)</f>
        <v>66094363</v>
      </c>
      <c r="N27" s="21">
        <f t="shared" si="50"/>
        <v>67658822</v>
      </c>
      <c r="O27" s="21">
        <f t="shared" si="50"/>
        <v>68070947</v>
      </c>
      <c r="P27" s="21">
        <f t="shared" ref="P27" si="51">SUM(P24:P26)</f>
        <v>67353662</v>
      </c>
      <c r="Q27" s="21">
        <f t="shared" ref="Q27:AA27" si="52">SUM(Q24:Q26)</f>
        <v>76745208</v>
      </c>
      <c r="R27" s="21">
        <f t="shared" si="52"/>
        <v>85436066</v>
      </c>
      <c r="S27" s="21">
        <f t="shared" si="52"/>
        <v>91360603</v>
      </c>
      <c r="T27" s="21">
        <f t="shared" si="52"/>
        <v>98926817</v>
      </c>
      <c r="U27" s="21">
        <f t="shared" si="52"/>
        <v>108213413</v>
      </c>
      <c r="V27" s="21">
        <f t="shared" ref="V27:Z27" si="53">SUM(V24:V26)</f>
        <v>120445464</v>
      </c>
      <c r="W27" s="21">
        <f t="shared" si="53"/>
        <v>137114566</v>
      </c>
      <c r="X27" s="21">
        <f t="shared" si="53"/>
        <v>143107194</v>
      </c>
      <c r="Y27" s="21">
        <f t="shared" si="53"/>
        <v>159042534</v>
      </c>
      <c r="Z27" s="21">
        <f t="shared" si="53"/>
        <v>170664890</v>
      </c>
      <c r="AA27" s="21">
        <f t="shared" si="52"/>
        <v>174714066</v>
      </c>
      <c r="AB27" s="21">
        <f t="shared" ref="AB27" si="54">SUM(AB24:AB26)</f>
        <v>185494325</v>
      </c>
      <c r="AC27" s="21">
        <f t="shared" ref="AC27:AD27" si="55">SUM(AC24:AC26)</f>
        <v>180049438</v>
      </c>
      <c r="AD27" s="21">
        <f t="shared" si="55"/>
        <v>174681799</v>
      </c>
      <c r="AE27" s="21">
        <f t="shared" ref="AE27:AF27" si="56">SUM(AE24:AE26)</f>
        <v>180115881</v>
      </c>
      <c r="AF27" s="21">
        <f t="shared" si="56"/>
        <v>180252921</v>
      </c>
      <c r="AG27" s="21">
        <f t="shared" ref="AG27:AH27" si="57">SUM(AG24:AG26)</f>
        <v>210823654</v>
      </c>
      <c r="AH27" s="21">
        <f t="shared" si="57"/>
        <v>224413892</v>
      </c>
      <c r="AI27" s="21">
        <f t="shared" ref="AI27:AJ27" si="58">SUM(AI24:AI26)</f>
        <v>251327684</v>
      </c>
      <c r="AJ27" s="21">
        <f t="shared" si="58"/>
        <v>264950917</v>
      </c>
      <c r="AK27" s="21">
        <f t="shared" ref="AK27" si="59">SUM(AK24:AK26)</f>
        <v>292238604</v>
      </c>
      <c r="AL27" s="17"/>
    </row>
    <row r="28" spans="1:38" s="60" customFormat="1" ht="13.5" hidden="1" customHeight="1" x14ac:dyDescent="0.2">
      <c r="A28" s="59"/>
      <c r="D28" s="61"/>
      <c r="E28" s="62"/>
      <c r="F28" s="28">
        <f>MU!F28+UMKC!F28+'S&amp;T'!F28+UMSL!F28</f>
        <v>991906</v>
      </c>
      <c r="G28" s="28">
        <f>MU!G28+UMKC!G28+'S&amp;T'!G28+UMSL!G28</f>
        <v>1069242</v>
      </c>
      <c r="H28" s="30"/>
      <c r="I28" s="28">
        <f>MU!I28+UMKC!I28+'S&amp;T'!I28+UMSL!I28</f>
        <v>1188474</v>
      </c>
      <c r="J28" s="28">
        <f>MU!J28+UMKC!J28+'S&amp;T'!J28+UMSL!J28</f>
        <v>948769</v>
      </c>
      <c r="K28" s="28">
        <f>MU!K28+UMKC!K28+'S&amp;T'!K28+UMSL!K28</f>
        <v>1241399</v>
      </c>
      <c r="L28" s="28">
        <f>MU!L28+UMKC!L28+'S&amp;T'!L28+UMSL!L28</f>
        <v>1143424</v>
      </c>
      <c r="M28" s="28">
        <f>MU!M28+UMKC!M28+'S&amp;T'!M28+UMSL!M28</f>
        <v>1157487</v>
      </c>
      <c r="N28" s="28">
        <f>MU!N28+UMKC!N28+'S&amp;T'!N28+UMSL!N28</f>
        <v>1128424</v>
      </c>
      <c r="O28" s="28">
        <f>MU!O28+UMKC!O28+'S&amp;T'!O28+UMSL!O28</f>
        <v>1213378</v>
      </c>
      <c r="P28" s="28">
        <f>MU!P28+UMKC!P28+'S&amp;T'!P28+UMSL!P28</f>
        <v>1502467</v>
      </c>
      <c r="Q28" s="28">
        <f>MU!Q28+UMKC!Q28+'S&amp;T'!Q28+UMSL!Q28</f>
        <v>2385618</v>
      </c>
      <c r="R28" s="28">
        <f>MU!R28+UMKC!R28+'S&amp;T'!R28+UMSL!R28</f>
        <v>1696045</v>
      </c>
      <c r="S28" s="28">
        <f>MU!S28+UMKC!S28+'S&amp;T'!S28+UMSL!S28</f>
        <v>1619832</v>
      </c>
      <c r="T28" s="28">
        <f>MU!T28+UMKC!T28+'S&amp;T'!T28+UMSL!T28</f>
        <v>1603529</v>
      </c>
      <c r="U28" s="28">
        <f>MU!U28+UMKC!U28+'S&amp;T'!U28+UMSL!U28</f>
        <v>1103501</v>
      </c>
      <c r="V28" s="28">
        <f>MU!V28+UMKC!V28+'S&amp;T'!V28+UMSL!V28</f>
        <v>1635001</v>
      </c>
      <c r="W28" s="28">
        <f>MU!W28+UMKC!W28+'S&amp;T'!W28+UMSL!W28</f>
        <v>1261944</v>
      </c>
      <c r="X28" s="28">
        <f>MU!X28+UMKC!X28+'S&amp;T'!X28+UMSL!X28</f>
        <v>1227430</v>
      </c>
      <c r="Y28" s="28">
        <f>MU!Y28+UMKC!Y28+'S&amp;T'!Y28+UMSL!Y28</f>
        <v>1795041</v>
      </c>
      <c r="Z28" s="28">
        <f>MU!Z28+UMKC!Z28+'S&amp;T'!Z28+UMSL!Z28</f>
        <v>1201496</v>
      </c>
      <c r="AA28" s="28">
        <f>MU!AA28+UMKC!AA28+'S&amp;T'!AA28+UMSL!AA28</f>
        <v>1343250</v>
      </c>
      <c r="AB28" s="28">
        <f>MU!AB28+UMKC!AB28+'S&amp;T'!AB28+UMSL!AB28</f>
        <v>1123272</v>
      </c>
      <c r="AC28" s="28">
        <f>MU!AC28+UMKC!AC28+'S&amp;T'!AC28+UMSL!AC28</f>
        <v>1013631</v>
      </c>
      <c r="AD28" s="28">
        <f>MU!AD28+UMKC!AD28+'S&amp;T'!AD28+UMSL!AD28</f>
        <v>1146188</v>
      </c>
      <c r="AE28" s="28">
        <f>MU!AE28+UMKC!AE28+'S&amp;T'!AE28+UMSL!AE28</f>
        <v>1233261</v>
      </c>
      <c r="AF28" s="28">
        <f>MU!AF28+UMKC!AF28+'S&amp;T'!AF28+UMSL!AF28</f>
        <v>792618</v>
      </c>
      <c r="AG28" s="28">
        <f>MU!AG28+UMKC!AG28+'S&amp;T'!AG28+UMSL!AG28</f>
        <v>693238</v>
      </c>
      <c r="AH28" s="28">
        <f>MU!AH28+UMKC!AH28+'S&amp;T'!AH28+UMSL!AH28</f>
        <v>756136</v>
      </c>
      <c r="AI28" s="28">
        <f>MU!AI28+UMKC!AI28+'S&amp;T'!AI28+UMSL!AI28</f>
        <v>529501</v>
      </c>
      <c r="AJ28" s="28">
        <f>MU!AJ28+UMKC!AJ28+'S&amp;T'!AJ28+UMSL!AJ28</f>
        <v>304228</v>
      </c>
      <c r="AK28" s="28">
        <f>MU!AK28+UMKC!AK28+'S&amp;T'!AK28+UMSL!AK28</f>
        <v>568706</v>
      </c>
      <c r="AL28" s="63"/>
    </row>
    <row r="29" spans="1:38" ht="13.5" customHeight="1" x14ac:dyDescent="0.2">
      <c r="A29" s="15"/>
      <c r="D29" s="26"/>
      <c r="E29" s="27" t="s">
        <v>33</v>
      </c>
      <c r="F29" s="29">
        <f t="shared" ref="F29:G29" si="60">SUM(F27:F28)</f>
        <v>28768229</v>
      </c>
      <c r="G29" s="29">
        <f t="shared" si="60"/>
        <v>38391238</v>
      </c>
      <c r="H29" s="29"/>
      <c r="I29" s="29">
        <f t="shared" ref="I29:L29" si="61">SUM(I27:I28)</f>
        <v>49835070</v>
      </c>
      <c r="J29" s="29">
        <f t="shared" si="61"/>
        <v>58357748</v>
      </c>
      <c r="K29" s="29">
        <f t="shared" si="61"/>
        <v>64813346</v>
      </c>
      <c r="L29" s="29">
        <f t="shared" si="61"/>
        <v>70627017</v>
      </c>
      <c r="M29" s="29">
        <f t="shared" ref="M29:O29" si="62">SUM(M27:M28)</f>
        <v>67251850</v>
      </c>
      <c r="N29" s="29">
        <f t="shared" si="62"/>
        <v>68787246</v>
      </c>
      <c r="O29" s="29">
        <f t="shared" si="62"/>
        <v>69284325</v>
      </c>
      <c r="P29" s="29">
        <f t="shared" ref="P29" si="63">SUM(P27:P28)</f>
        <v>68856129</v>
      </c>
      <c r="Q29" s="29">
        <f t="shared" ref="Q29:AA29" si="64">SUM(Q27:Q28)</f>
        <v>79130826</v>
      </c>
      <c r="R29" s="29">
        <f t="shared" si="64"/>
        <v>87132111</v>
      </c>
      <c r="S29" s="29">
        <f t="shared" si="64"/>
        <v>92980435</v>
      </c>
      <c r="T29" s="29">
        <f t="shared" si="64"/>
        <v>100530346</v>
      </c>
      <c r="U29" s="29">
        <f t="shared" si="64"/>
        <v>109316914</v>
      </c>
      <c r="V29" s="29">
        <f t="shared" ref="V29:Z29" si="65">SUM(V27:V28)</f>
        <v>122080465</v>
      </c>
      <c r="W29" s="29">
        <f t="shared" si="65"/>
        <v>138376510</v>
      </c>
      <c r="X29" s="29">
        <f t="shared" si="65"/>
        <v>144334624</v>
      </c>
      <c r="Y29" s="29">
        <f t="shared" si="65"/>
        <v>160837575</v>
      </c>
      <c r="Z29" s="29">
        <f t="shared" si="65"/>
        <v>171866386</v>
      </c>
      <c r="AA29" s="29">
        <f t="shared" si="64"/>
        <v>176057316</v>
      </c>
      <c r="AB29" s="29">
        <f t="shared" ref="AB29" si="66">SUM(AB27:AB28)</f>
        <v>186617597</v>
      </c>
      <c r="AC29" s="29">
        <f t="shared" ref="AC29:AD29" si="67">SUM(AC27:AC28)</f>
        <v>181063069</v>
      </c>
      <c r="AD29" s="29">
        <f t="shared" si="67"/>
        <v>175827987</v>
      </c>
      <c r="AE29" s="29">
        <f t="shared" ref="AE29:AF29" si="68">SUM(AE27:AE28)</f>
        <v>181349142</v>
      </c>
      <c r="AF29" s="29">
        <f t="shared" si="68"/>
        <v>181045539</v>
      </c>
      <c r="AG29" s="29">
        <f t="shared" ref="AG29:AH29" si="69">SUM(AG27:AG28)</f>
        <v>211516892</v>
      </c>
      <c r="AH29" s="29">
        <f t="shared" si="69"/>
        <v>225170028</v>
      </c>
      <c r="AI29" s="29">
        <f t="shared" ref="AI29:AJ29" si="70">SUM(AI27:AI28)</f>
        <v>251857185</v>
      </c>
      <c r="AJ29" s="29">
        <f t="shared" si="70"/>
        <v>265255145</v>
      </c>
      <c r="AK29" s="29">
        <f t="shared" ref="AK29" si="71">SUM(AK27:AK28)</f>
        <v>292807310</v>
      </c>
      <c r="AL29" s="22"/>
    </row>
    <row r="30" spans="1:38" ht="13.5" customHeight="1" x14ac:dyDescent="0.2">
      <c r="A30" s="15"/>
      <c r="C30" s="2" t="s">
        <v>34</v>
      </c>
      <c r="D30" s="2"/>
      <c r="E30" s="21"/>
      <c r="AL30" s="17"/>
    </row>
    <row r="31" spans="1:38" ht="13.5" customHeight="1" x14ac:dyDescent="0.2">
      <c r="A31" s="15"/>
      <c r="D31" s="1" t="s">
        <v>27</v>
      </c>
      <c r="E31" s="21"/>
      <c r="F31" s="21">
        <f>MU!F31+UMKC!F31+'S&amp;T'!F31+UMSL!F31</f>
        <v>5813034</v>
      </c>
      <c r="G31" s="21">
        <f>MU!G31+UMKC!G31+'S&amp;T'!G31+UMSL!G31</f>
        <v>6222675</v>
      </c>
      <c r="H31" s="21">
        <f>MU!H31+UMKC!H31+'S&amp;T'!H31+UMSL!H31</f>
        <v>7198427</v>
      </c>
      <c r="I31" s="21">
        <f>MU!I31+UMKC!I31+'S&amp;T'!I31+UMSL!I31</f>
        <v>7872726</v>
      </c>
      <c r="J31" s="21">
        <f>MU!J31+UMKC!J31+'S&amp;T'!J31+UMSL!J31</f>
        <v>8855428</v>
      </c>
      <c r="K31" s="21">
        <f>MU!K31+UMKC!K31+'S&amp;T'!K31+UMSL!K31</f>
        <v>9415531</v>
      </c>
      <c r="L31" s="21">
        <f>MU!L31+UMKC!L31+'S&amp;T'!L31+UMSL!L31</f>
        <v>10602451</v>
      </c>
      <c r="M31" s="21">
        <f>MU!M31+UMKC!M31+'S&amp;T'!M31+UMSL!M31</f>
        <v>11646736</v>
      </c>
      <c r="N31" s="21">
        <f>MU!N31+UMKC!N31+'S&amp;T'!N31+UMSL!N31</f>
        <v>15272413</v>
      </c>
      <c r="O31" s="21">
        <f>MU!O31+UMKC!O31+'S&amp;T'!O31+UMSL!O31</f>
        <v>18330412</v>
      </c>
      <c r="P31" s="21">
        <f>MU!P31+UMKC!P31+'S&amp;T'!P31+UMSL!P31</f>
        <v>23842518</v>
      </c>
      <c r="Q31" s="21">
        <f>MU!Q31+UMKC!Q31+'S&amp;T'!Q31+UMSL!Q31</f>
        <v>13327749</v>
      </c>
      <c r="R31" s="21">
        <f>MU!R31+UMKC!R31+'S&amp;T'!R31+UMSL!R31</f>
        <v>12572948</v>
      </c>
      <c r="S31" s="21">
        <f>MU!S31+UMKC!S31+'S&amp;T'!S31+UMSL!S31</f>
        <v>19479084</v>
      </c>
      <c r="T31" s="21">
        <f>MU!T31+UMKC!T31+'S&amp;T'!T31+UMSL!T31</f>
        <v>14970786</v>
      </c>
      <c r="U31" s="21">
        <f>MU!U31+UMKC!U31+'S&amp;T'!U31+UMSL!U31</f>
        <v>13890581</v>
      </c>
      <c r="V31" s="21">
        <f>MU!V31+UMKC!V31+'S&amp;T'!V31+UMSL!V31</f>
        <v>16177390</v>
      </c>
      <c r="W31" s="21">
        <f>MU!W31+UMKC!W31+'S&amp;T'!W31+UMSL!W31</f>
        <v>14288033</v>
      </c>
      <c r="X31" s="21">
        <f>MU!X31+UMKC!X31+'S&amp;T'!X31+UMSL!X31</f>
        <v>14057797</v>
      </c>
      <c r="Y31" s="21">
        <f>MU!Y31+UMKC!Y31+'S&amp;T'!Y31+UMSL!Y31</f>
        <v>15048241</v>
      </c>
      <c r="Z31" s="21">
        <f>MU!Z31+UMKC!Z31+'S&amp;T'!Z31+UMSL!Z31</f>
        <v>18365548</v>
      </c>
      <c r="AA31" s="21">
        <f>MU!AA31+UMKC!AA31+'S&amp;T'!AA31+UMSL!AA31</f>
        <v>18401004</v>
      </c>
      <c r="AB31" s="21">
        <f>MU!AB31+UMKC!AB31+'S&amp;T'!AB31+UMSL!AB31</f>
        <v>21084734</v>
      </c>
      <c r="AC31" s="21">
        <f>MU!AC31+UMKC!AC31+'S&amp;T'!AC31+UMSL!AC31</f>
        <v>21672966</v>
      </c>
      <c r="AD31" s="21">
        <f>MU!AD31+UMKC!AD31+'S&amp;T'!AD31+UMSL!AD31</f>
        <v>24925873</v>
      </c>
      <c r="AE31" s="21">
        <f>MU!AE31+UMKC!AE31+'S&amp;T'!AE31+UMSL!AE31</f>
        <v>21914690</v>
      </c>
      <c r="AF31" s="21">
        <f>MU!AF31+UMKC!AF31+'S&amp;T'!AF31+UMSL!AF31</f>
        <v>22247567</v>
      </c>
      <c r="AG31" s="21">
        <f>MU!AG31+UMKC!AG31+'S&amp;T'!AG31+UMSL!AG31</f>
        <v>23817167</v>
      </c>
      <c r="AH31" s="21">
        <f>MU!AH31+UMKC!AH31+'S&amp;T'!AH31+UMSL!AH31</f>
        <v>23752764</v>
      </c>
      <c r="AI31" s="21">
        <f>MU!AI31+UMKC!AI31+'S&amp;T'!AI31+UMSL!AI31</f>
        <v>23784139</v>
      </c>
      <c r="AJ31" s="21">
        <f>MU!AJ31+UMKC!AJ31+'S&amp;T'!AJ31+UMSL!AJ31</f>
        <v>24245009</v>
      </c>
      <c r="AK31" s="21">
        <f>MU!AK31+UMKC!AK31+'S&amp;T'!AK31+UMSL!AK31</f>
        <v>26344946</v>
      </c>
      <c r="AL31" s="17"/>
    </row>
    <row r="32" spans="1:38" ht="13.5" customHeight="1" x14ac:dyDescent="0.2">
      <c r="A32" s="15"/>
      <c r="D32" s="1" t="s">
        <v>28</v>
      </c>
      <c r="E32" s="23"/>
      <c r="F32" s="31" t="s">
        <v>35</v>
      </c>
      <c r="G32" s="31" t="s">
        <v>35</v>
      </c>
      <c r="H32" s="31" t="s">
        <v>35</v>
      </c>
      <c r="I32" s="31" t="s">
        <v>35</v>
      </c>
      <c r="J32" s="31" t="s">
        <v>35</v>
      </c>
      <c r="K32" s="31" t="s">
        <v>35</v>
      </c>
      <c r="L32" s="31" t="s">
        <v>35</v>
      </c>
      <c r="M32" s="31" t="s">
        <v>35</v>
      </c>
      <c r="N32" s="31" t="s">
        <v>35</v>
      </c>
      <c r="O32" s="31" t="s">
        <v>35</v>
      </c>
      <c r="P32" s="31" t="s">
        <v>35</v>
      </c>
      <c r="Q32" s="24">
        <f>MU!Q32+UMKC!Q32+'S&amp;T'!Q32+UMSL!Q32</f>
        <v>16562945</v>
      </c>
      <c r="R32" s="24">
        <f>MU!R32+UMKC!R32+'S&amp;T'!R32+UMSL!R32</f>
        <v>22007076</v>
      </c>
      <c r="S32" s="24">
        <f>MU!S32+UMKC!S32+'S&amp;T'!S32+UMSL!S32</f>
        <v>27706516</v>
      </c>
      <c r="T32" s="24">
        <f>MU!T32+UMKC!T32+'S&amp;T'!T32+UMSL!T32</f>
        <v>33106121</v>
      </c>
      <c r="U32" s="24">
        <f>MU!U32+UMKC!U32+'S&amp;T'!U32+UMSL!U32</f>
        <v>29997707</v>
      </c>
      <c r="V32" s="24">
        <f>MU!V32+UMKC!V32+'S&amp;T'!V32+UMSL!V32</f>
        <v>28469727</v>
      </c>
      <c r="W32" s="24">
        <f>MU!W32+UMKC!W32+'S&amp;T'!W32+UMSL!W32</f>
        <v>21981515</v>
      </c>
      <c r="X32" s="24">
        <f>MU!X32+UMKC!X32+'S&amp;T'!X32+UMSL!X32</f>
        <v>20146737</v>
      </c>
      <c r="Y32" s="24">
        <f>MU!Y32+UMKC!Y32+'S&amp;T'!Y32+UMSL!Y32</f>
        <v>20547906</v>
      </c>
      <c r="Z32" s="24">
        <f>MU!Z32+UMKC!Z32+'S&amp;T'!Z32+UMSL!Z32</f>
        <v>22895609</v>
      </c>
      <c r="AA32" s="24">
        <f>MU!AA32+UMKC!AA32+'S&amp;T'!AA32+UMSL!AA32</f>
        <v>29649427</v>
      </c>
      <c r="AB32" s="24">
        <f>MU!AB32+UMKC!AB32+'S&amp;T'!AB32+UMSL!AB32</f>
        <v>30978344</v>
      </c>
      <c r="AC32" s="24">
        <f>MU!AC32+UMKC!AC32+'S&amp;T'!AC32+UMSL!AC32</f>
        <v>34378370</v>
      </c>
      <c r="AD32" s="24">
        <f>MU!AD32+UMKC!AD32+'S&amp;T'!AD32+UMSL!AD32</f>
        <v>36010045</v>
      </c>
      <c r="AE32" s="24">
        <f>MU!AE32+UMKC!AE32+'S&amp;T'!AE32+UMSL!AE32</f>
        <v>35543846</v>
      </c>
      <c r="AF32" s="24">
        <f>MU!AF32+UMKC!AF32+'S&amp;T'!AF32+UMSL!AF32</f>
        <v>36722800</v>
      </c>
      <c r="AG32" s="24">
        <f>MU!AG32+UMKC!AG32+'S&amp;T'!AG32+UMSL!AG32</f>
        <v>40114819</v>
      </c>
      <c r="AH32" s="24">
        <f>MU!AH32+UMKC!AH32+'S&amp;T'!AH32+UMSL!AH32</f>
        <v>39973990</v>
      </c>
      <c r="AI32" s="24">
        <f>MU!AI32+UMKC!AI32+'S&amp;T'!AI32+UMSL!AI32</f>
        <v>43907256</v>
      </c>
      <c r="AJ32" s="24">
        <f>MU!AJ32+UMKC!AJ32+'S&amp;T'!AJ32+UMSL!AJ32</f>
        <v>51842254</v>
      </c>
      <c r="AK32" s="24">
        <f>MU!AK32+UMKC!AK32+'S&amp;T'!AK32+UMSL!AK32</f>
        <v>57189800</v>
      </c>
      <c r="AL32" s="17"/>
    </row>
    <row r="33" spans="1:38" ht="13.5" customHeight="1" x14ac:dyDescent="0.2">
      <c r="A33" s="15"/>
      <c r="E33" s="23"/>
      <c r="F33" s="21">
        <f t="shared" ref="F33:H33" si="72">F31</f>
        <v>5813034</v>
      </c>
      <c r="G33" s="21">
        <f t="shared" si="72"/>
        <v>6222675</v>
      </c>
      <c r="H33" s="21">
        <f t="shared" si="72"/>
        <v>7198427</v>
      </c>
      <c r="I33" s="21">
        <f t="shared" ref="I33:L33" si="73">I31</f>
        <v>7872726</v>
      </c>
      <c r="J33" s="21">
        <f t="shared" si="73"/>
        <v>8855428</v>
      </c>
      <c r="K33" s="21">
        <f t="shared" si="73"/>
        <v>9415531</v>
      </c>
      <c r="L33" s="21">
        <f t="shared" si="73"/>
        <v>10602451</v>
      </c>
      <c r="M33" s="21">
        <f t="shared" ref="M33:O33" si="74">M31</f>
        <v>11646736</v>
      </c>
      <c r="N33" s="21">
        <f t="shared" si="74"/>
        <v>15272413</v>
      </c>
      <c r="O33" s="21">
        <f t="shared" si="74"/>
        <v>18330412</v>
      </c>
      <c r="P33" s="21">
        <f>P31</f>
        <v>23842518</v>
      </c>
      <c r="Q33" s="21">
        <f t="shared" ref="Q33:AA33" si="75">SUM(Q31:Q32)</f>
        <v>29890694</v>
      </c>
      <c r="R33" s="21">
        <f t="shared" si="75"/>
        <v>34580024</v>
      </c>
      <c r="S33" s="21">
        <f t="shared" si="75"/>
        <v>47185600</v>
      </c>
      <c r="T33" s="21">
        <f t="shared" si="75"/>
        <v>48076907</v>
      </c>
      <c r="U33" s="21">
        <f t="shared" si="75"/>
        <v>43888288</v>
      </c>
      <c r="V33" s="21">
        <f t="shared" ref="V33:Z33" si="76">SUM(V31:V32)</f>
        <v>44647117</v>
      </c>
      <c r="W33" s="21">
        <f t="shared" si="76"/>
        <v>36269548</v>
      </c>
      <c r="X33" s="21">
        <f t="shared" si="76"/>
        <v>34204534</v>
      </c>
      <c r="Y33" s="21">
        <f t="shared" si="76"/>
        <v>35596147</v>
      </c>
      <c r="Z33" s="21">
        <f t="shared" si="76"/>
        <v>41261157</v>
      </c>
      <c r="AA33" s="21">
        <f t="shared" si="75"/>
        <v>48050431</v>
      </c>
      <c r="AB33" s="21">
        <f t="shared" ref="AB33" si="77">SUM(AB31:AB32)</f>
        <v>52063078</v>
      </c>
      <c r="AC33" s="21">
        <f t="shared" ref="AC33:AD33" si="78">SUM(AC31:AC32)</f>
        <v>56051336</v>
      </c>
      <c r="AD33" s="21">
        <f t="shared" si="78"/>
        <v>60935918</v>
      </c>
      <c r="AE33" s="21">
        <f t="shared" ref="AE33:AF33" si="79">SUM(AE31:AE32)</f>
        <v>57458536</v>
      </c>
      <c r="AF33" s="21">
        <f t="shared" si="79"/>
        <v>58970367</v>
      </c>
      <c r="AG33" s="21">
        <f t="shared" ref="AG33:AH33" si="80">SUM(AG31:AG32)</f>
        <v>63931986</v>
      </c>
      <c r="AH33" s="21">
        <f t="shared" si="80"/>
        <v>63726754</v>
      </c>
      <c r="AI33" s="21">
        <f t="shared" ref="AI33:AJ33" si="81">SUM(AI31:AI32)</f>
        <v>67691395</v>
      </c>
      <c r="AJ33" s="21">
        <f t="shared" si="81"/>
        <v>76087263</v>
      </c>
      <c r="AK33" s="21">
        <f t="shared" ref="AK33" si="82">SUM(AK31:AK32)</f>
        <v>83534746</v>
      </c>
      <c r="AL33" s="17"/>
    </row>
    <row r="34" spans="1:38" ht="13.5" customHeight="1" x14ac:dyDescent="0.2">
      <c r="A34" s="15"/>
      <c r="C34" s="2" t="s">
        <v>36</v>
      </c>
      <c r="D34" s="2"/>
      <c r="E34" s="23"/>
      <c r="AL34" s="17"/>
    </row>
    <row r="35" spans="1:38" ht="13.5" customHeight="1" x14ac:dyDescent="0.2">
      <c r="A35" s="15"/>
      <c r="D35" s="1" t="s">
        <v>27</v>
      </c>
      <c r="E35" s="21"/>
      <c r="F35" s="21">
        <f t="shared" ref="F35:O35" si="83">F11+F18+F24+F31</f>
        <v>49417383</v>
      </c>
      <c r="G35" s="21">
        <f t="shared" si="83"/>
        <v>50731532</v>
      </c>
      <c r="H35" s="21">
        <f t="shared" si="83"/>
        <v>58348802</v>
      </c>
      <c r="I35" s="21">
        <f t="shared" si="83"/>
        <v>66523800</v>
      </c>
      <c r="J35" s="21">
        <f t="shared" si="83"/>
        <v>76189613</v>
      </c>
      <c r="K35" s="21">
        <f t="shared" si="83"/>
        <v>83127829</v>
      </c>
      <c r="L35" s="21">
        <f t="shared" si="83"/>
        <v>92392406</v>
      </c>
      <c r="M35" s="21">
        <f t="shared" si="83"/>
        <v>92850253</v>
      </c>
      <c r="N35" s="21">
        <f t="shared" si="83"/>
        <v>102122185</v>
      </c>
      <c r="O35" s="21">
        <f t="shared" si="83"/>
        <v>112168505</v>
      </c>
      <c r="P35" s="21">
        <f>P11+P18+P24+P31</f>
        <v>120444017</v>
      </c>
      <c r="Q35" s="21">
        <f>Q11+Q18+Q24+Q31</f>
        <v>117925780</v>
      </c>
      <c r="R35" s="21">
        <f t="shared" ref="R35:Z35" si="84">R11+R18+R24+R31</f>
        <v>123782449</v>
      </c>
      <c r="S35" s="21">
        <f t="shared" si="84"/>
        <v>139335402</v>
      </c>
      <c r="T35" s="21">
        <f t="shared" si="84"/>
        <v>144386674</v>
      </c>
      <c r="U35" s="21">
        <f t="shared" si="84"/>
        <v>156635967</v>
      </c>
      <c r="V35" s="21">
        <f t="shared" si="84"/>
        <v>174859670</v>
      </c>
      <c r="W35" s="21">
        <f t="shared" si="84"/>
        <v>192143308</v>
      </c>
      <c r="X35" s="21">
        <f t="shared" si="84"/>
        <v>200455196</v>
      </c>
      <c r="Y35" s="21">
        <f t="shared" si="84"/>
        <v>210314823</v>
      </c>
      <c r="Z35" s="21">
        <f t="shared" si="84"/>
        <v>225443550</v>
      </c>
      <c r="AA35" s="21">
        <f t="shared" ref="AA35:AC36" si="85">AA11+AA18+AA24+AA31</f>
        <v>235110930</v>
      </c>
      <c r="AB35" s="21">
        <f t="shared" si="85"/>
        <v>259612531</v>
      </c>
      <c r="AC35" s="21">
        <f t="shared" si="85"/>
        <v>271494286</v>
      </c>
      <c r="AD35" s="21">
        <f t="shared" ref="AD35:AE35" si="86">AD11+AD18+AD24+AD31</f>
        <v>268529718</v>
      </c>
      <c r="AE35" s="21">
        <f t="shared" si="86"/>
        <v>271950712</v>
      </c>
      <c r="AF35" s="21">
        <f t="shared" ref="AF35:AG35" si="87">AF11+AF18+AF24+AF31</f>
        <v>278320083</v>
      </c>
      <c r="AG35" s="21">
        <f t="shared" si="87"/>
        <v>319534746</v>
      </c>
      <c r="AH35" s="21">
        <f t="shared" ref="AH35:AI35" si="88">AH11+AH18+AH24+AH31</f>
        <v>335964401</v>
      </c>
      <c r="AI35" s="21">
        <f t="shared" si="88"/>
        <v>370657715</v>
      </c>
      <c r="AJ35" s="21">
        <f t="shared" ref="AJ35:AK35" si="89">AJ11+AJ18+AJ24+AJ31</f>
        <v>359753012</v>
      </c>
      <c r="AK35" s="21">
        <f t="shared" si="89"/>
        <v>401001593</v>
      </c>
      <c r="AL35" s="17"/>
    </row>
    <row r="36" spans="1:38" ht="13.5" customHeight="1" x14ac:dyDescent="0.2">
      <c r="A36" s="15"/>
      <c r="D36" s="1" t="s">
        <v>28</v>
      </c>
      <c r="E36" s="23"/>
      <c r="F36" s="23">
        <f>F12+F19+F25</f>
        <v>37242868</v>
      </c>
      <c r="G36" s="23">
        <f t="shared" ref="G36:O36" si="90">G12+G19+G25</f>
        <v>54175776</v>
      </c>
      <c r="H36" s="23">
        <f t="shared" si="90"/>
        <v>66105355</v>
      </c>
      <c r="I36" s="23">
        <f t="shared" si="90"/>
        <v>82662118</v>
      </c>
      <c r="J36" s="23">
        <f t="shared" si="90"/>
        <v>93401889</v>
      </c>
      <c r="K36" s="23">
        <f t="shared" si="90"/>
        <v>96681483</v>
      </c>
      <c r="L36" s="23">
        <f t="shared" si="90"/>
        <v>98051902</v>
      </c>
      <c r="M36" s="23">
        <f t="shared" si="90"/>
        <v>100451240</v>
      </c>
      <c r="N36" s="23">
        <f t="shared" si="90"/>
        <v>104843702</v>
      </c>
      <c r="O36" s="23">
        <f t="shared" si="90"/>
        <v>108027998</v>
      </c>
      <c r="P36" s="23">
        <f>P12+P19+P25</f>
        <v>126274492</v>
      </c>
      <c r="Q36" s="23">
        <f>Q12+Q19+Q25+Q32</f>
        <v>163299437</v>
      </c>
      <c r="R36" s="23">
        <f t="shared" ref="R36:Z36" si="91">R12+R19+R25+R32</f>
        <v>186488594</v>
      </c>
      <c r="S36" s="23">
        <f t="shared" si="91"/>
        <v>202168427</v>
      </c>
      <c r="T36" s="23">
        <f t="shared" si="91"/>
        <v>204953613</v>
      </c>
      <c r="U36" s="23">
        <f t="shared" si="91"/>
        <v>209370899</v>
      </c>
      <c r="V36" s="23">
        <f t="shared" si="91"/>
        <v>244575250</v>
      </c>
      <c r="W36" s="23">
        <f t="shared" si="91"/>
        <v>275157710</v>
      </c>
      <c r="X36" s="23">
        <f t="shared" si="91"/>
        <v>290652949</v>
      </c>
      <c r="Y36" s="23">
        <f t="shared" si="91"/>
        <v>302996488</v>
      </c>
      <c r="Z36" s="23">
        <f t="shared" si="91"/>
        <v>296445586</v>
      </c>
      <c r="AA36" s="23">
        <f t="shared" si="85"/>
        <v>295782765</v>
      </c>
      <c r="AB36" s="23">
        <f t="shared" si="85"/>
        <v>290489733</v>
      </c>
      <c r="AC36" s="23">
        <f t="shared" si="85"/>
        <v>287907431</v>
      </c>
      <c r="AD36" s="23">
        <f t="shared" ref="AD36:AE36" si="92">AD12+AD19+AD25+AD32</f>
        <v>279435505</v>
      </c>
      <c r="AE36" s="23">
        <f t="shared" si="92"/>
        <v>259674456</v>
      </c>
      <c r="AF36" s="23">
        <f t="shared" ref="AF36:AG36" si="93">AF12+AF19+AF25+AF32</f>
        <v>241624404</v>
      </c>
      <c r="AG36" s="23">
        <f t="shared" si="93"/>
        <v>233748497</v>
      </c>
      <c r="AH36" s="23">
        <f t="shared" ref="AH36:AI36" si="94">AH12+AH19+AH25+AH32</f>
        <v>215685020</v>
      </c>
      <c r="AI36" s="23">
        <f t="shared" si="94"/>
        <v>206163146</v>
      </c>
      <c r="AJ36" s="23">
        <f t="shared" ref="AJ36:AK36" si="95">AJ12+AJ19+AJ25+AJ32</f>
        <v>212410222</v>
      </c>
      <c r="AK36" s="23">
        <f t="shared" si="95"/>
        <v>223275658</v>
      </c>
      <c r="AL36" s="17"/>
    </row>
    <row r="37" spans="1:38" ht="13.5" customHeight="1" x14ac:dyDescent="0.2">
      <c r="A37" s="15"/>
      <c r="D37" s="1" t="s">
        <v>29</v>
      </c>
      <c r="E37" s="23"/>
      <c r="F37" s="24">
        <f>F13+F26</f>
        <v>13402123</v>
      </c>
      <c r="G37" s="24">
        <f t="shared" ref="G37:O37" si="96">G13+G26</f>
        <v>14076185</v>
      </c>
      <c r="H37" s="24">
        <f t="shared" si="96"/>
        <v>13818978</v>
      </c>
      <c r="I37" s="24">
        <f t="shared" si="96"/>
        <v>12088642</v>
      </c>
      <c r="J37" s="24">
        <f t="shared" si="96"/>
        <v>13039477</v>
      </c>
      <c r="K37" s="24">
        <f t="shared" si="96"/>
        <v>15174805</v>
      </c>
      <c r="L37" s="24">
        <f t="shared" si="96"/>
        <v>16194004</v>
      </c>
      <c r="M37" s="24">
        <f t="shared" si="96"/>
        <v>14579469</v>
      </c>
      <c r="N37" s="24">
        <f t="shared" si="96"/>
        <v>14733563</v>
      </c>
      <c r="O37" s="24">
        <f t="shared" si="96"/>
        <v>13163171</v>
      </c>
      <c r="P37" s="24">
        <f>P13+P26</f>
        <v>12836217</v>
      </c>
      <c r="Q37" s="24">
        <f>Q13+Q26</f>
        <v>15364795</v>
      </c>
      <c r="R37" s="24">
        <f t="shared" ref="R37:Z37" si="97">R13+R26</f>
        <v>16797512</v>
      </c>
      <c r="S37" s="24">
        <f t="shared" si="97"/>
        <v>15961464</v>
      </c>
      <c r="T37" s="24">
        <f t="shared" si="97"/>
        <v>17204173</v>
      </c>
      <c r="U37" s="24">
        <f t="shared" si="97"/>
        <v>22898507</v>
      </c>
      <c r="V37" s="24">
        <f t="shared" si="97"/>
        <v>27034640</v>
      </c>
      <c r="W37" s="24">
        <f t="shared" si="97"/>
        <v>42469429</v>
      </c>
      <c r="X37" s="24">
        <f t="shared" si="97"/>
        <v>41859357</v>
      </c>
      <c r="Y37" s="24">
        <f t="shared" si="97"/>
        <v>46806368</v>
      </c>
      <c r="Z37" s="24">
        <f t="shared" si="97"/>
        <v>48652235</v>
      </c>
      <c r="AA37" s="24">
        <f t="shared" ref="AA37:AF37" si="98">AA13+AA26</f>
        <v>45747504</v>
      </c>
      <c r="AB37" s="24">
        <f t="shared" si="98"/>
        <v>46567889</v>
      </c>
      <c r="AC37" s="24">
        <f t="shared" si="98"/>
        <v>29485207</v>
      </c>
      <c r="AD37" s="24">
        <f t="shared" si="98"/>
        <v>23376586</v>
      </c>
      <c r="AE37" s="24">
        <f t="shared" si="98"/>
        <v>25009984</v>
      </c>
      <c r="AF37" s="24">
        <f t="shared" si="98"/>
        <v>21852047</v>
      </c>
      <c r="AG37" s="24">
        <f t="shared" ref="AG37:AH37" si="99">AG13+AG26</f>
        <v>21094684</v>
      </c>
      <c r="AH37" s="24">
        <f t="shared" si="99"/>
        <v>18123903</v>
      </c>
      <c r="AI37" s="24">
        <f t="shared" ref="AI37:AJ37" si="100">AI13+AI26</f>
        <v>29360627.5</v>
      </c>
      <c r="AJ37" s="24">
        <f t="shared" si="100"/>
        <v>32312139</v>
      </c>
      <c r="AK37" s="24">
        <f t="shared" ref="AK37" si="101">AK13+AK26</f>
        <v>28347725</v>
      </c>
      <c r="AL37" s="17"/>
    </row>
    <row r="38" spans="1:38" ht="13.5" customHeight="1" x14ac:dyDescent="0.2">
      <c r="A38" s="15"/>
      <c r="E38" s="21"/>
      <c r="F38" s="21">
        <f t="shared" ref="F38:H38" si="102">SUM(F35:F37)</f>
        <v>100062374</v>
      </c>
      <c r="G38" s="21">
        <f t="shared" si="102"/>
        <v>118983493</v>
      </c>
      <c r="H38" s="21">
        <f t="shared" si="102"/>
        <v>138273135</v>
      </c>
      <c r="I38" s="21">
        <f t="shared" ref="I38:L38" si="103">SUM(I35:I37)</f>
        <v>161274560</v>
      </c>
      <c r="J38" s="21">
        <f t="shared" si="103"/>
        <v>182630979</v>
      </c>
      <c r="K38" s="21">
        <f t="shared" si="103"/>
        <v>194984117</v>
      </c>
      <c r="L38" s="21">
        <f t="shared" si="103"/>
        <v>206638312</v>
      </c>
      <c r="M38" s="21">
        <f t="shared" ref="M38:S38" si="104">SUM(M35:M37)</f>
        <v>207880962</v>
      </c>
      <c r="N38" s="21">
        <f t="shared" si="104"/>
        <v>221699450</v>
      </c>
      <c r="O38" s="21">
        <f t="shared" si="104"/>
        <v>233359674</v>
      </c>
      <c r="P38" s="21">
        <f t="shared" si="104"/>
        <v>259554726</v>
      </c>
      <c r="Q38" s="21">
        <f t="shared" si="104"/>
        <v>296590012</v>
      </c>
      <c r="R38" s="21">
        <f t="shared" si="104"/>
        <v>327068555</v>
      </c>
      <c r="S38" s="21">
        <f t="shared" si="104"/>
        <v>357465293</v>
      </c>
      <c r="T38" s="21">
        <f t="shared" ref="T38:Z38" si="105">SUM(T35:T37)</f>
        <v>366544460</v>
      </c>
      <c r="U38" s="21">
        <f t="shared" si="105"/>
        <v>388905373</v>
      </c>
      <c r="V38" s="21">
        <f t="shared" si="105"/>
        <v>446469560</v>
      </c>
      <c r="W38" s="21">
        <f t="shared" si="105"/>
        <v>509770447</v>
      </c>
      <c r="X38" s="21">
        <f t="shared" si="105"/>
        <v>532967502</v>
      </c>
      <c r="Y38" s="21">
        <f t="shared" si="105"/>
        <v>560117679</v>
      </c>
      <c r="Z38" s="21">
        <f t="shared" si="105"/>
        <v>570541371</v>
      </c>
      <c r="AA38" s="21">
        <f t="shared" ref="AA38:AF38" si="106">SUM(AA35:AA37)</f>
        <v>576641199</v>
      </c>
      <c r="AB38" s="21">
        <f t="shared" si="106"/>
        <v>596670153</v>
      </c>
      <c r="AC38" s="21">
        <f t="shared" si="106"/>
        <v>588886924</v>
      </c>
      <c r="AD38" s="21">
        <f t="shared" si="106"/>
        <v>571341809</v>
      </c>
      <c r="AE38" s="21">
        <f t="shared" si="106"/>
        <v>556635152</v>
      </c>
      <c r="AF38" s="21">
        <f t="shared" si="106"/>
        <v>541796534</v>
      </c>
      <c r="AG38" s="21">
        <f t="shared" ref="AG38:AH38" si="107">SUM(AG35:AG37)</f>
        <v>574377927</v>
      </c>
      <c r="AH38" s="21">
        <f t="shared" si="107"/>
        <v>569773324</v>
      </c>
      <c r="AI38" s="21">
        <f t="shared" ref="AI38:AJ38" si="108">SUM(AI35:AI37)</f>
        <v>606181488.5</v>
      </c>
      <c r="AJ38" s="21">
        <f t="shared" si="108"/>
        <v>604475373</v>
      </c>
      <c r="AK38" s="21">
        <f t="shared" ref="AK38" si="109">SUM(AK35:AK37)</f>
        <v>652624976</v>
      </c>
      <c r="AL38" s="17"/>
    </row>
    <row r="39" spans="1:38" ht="13.5" customHeight="1" x14ac:dyDescent="0.2">
      <c r="A39" s="15"/>
      <c r="C39" s="2" t="s">
        <v>37</v>
      </c>
      <c r="D39" s="2"/>
      <c r="AL39" s="17"/>
    </row>
    <row r="40" spans="1:38" ht="13.5" customHeight="1" x14ac:dyDescent="0.2">
      <c r="A40" s="15"/>
      <c r="D40" s="1" t="s">
        <v>38</v>
      </c>
      <c r="F40" s="32">
        <f>MU!F40+UMKC!F40+'S&amp;T'!F40+UMSL!F40</f>
        <v>13095</v>
      </c>
      <c r="G40" s="32">
        <f>MU!G40+UMKC!G40+'S&amp;T'!G40+UMSL!G40</f>
        <v>13447</v>
      </c>
      <c r="H40" s="32"/>
      <c r="I40" s="32">
        <f>MU!I40+UMKC!I40+'S&amp;T'!I40+UMSL!I40</f>
        <v>15938</v>
      </c>
      <c r="J40" s="32">
        <f>MU!J40+UMKC!J40+'S&amp;T'!J40+UMSL!J40</f>
        <v>16843</v>
      </c>
      <c r="K40" s="32">
        <f>MU!K40+UMKC!K40+'S&amp;T'!K40+UMSL!K40</f>
        <v>17538</v>
      </c>
      <c r="L40" s="32">
        <f>MU!L40+UMKC!L40+'S&amp;T'!L40+UMSL!L40</f>
        <v>17008</v>
      </c>
      <c r="M40" s="32">
        <f>MU!M40+UMKC!M40+'S&amp;T'!M40+UMSL!M40</f>
        <v>16585</v>
      </c>
      <c r="N40" s="32">
        <f>MU!N40+UMKC!N40+'S&amp;T'!N40+UMSL!N40</f>
        <v>16725</v>
      </c>
      <c r="O40" s="32">
        <f>MU!O40+UMKC!O40+'S&amp;T'!O40+UMSL!O40</f>
        <v>16208</v>
      </c>
      <c r="P40" s="32">
        <f>MU!P40+UMKC!P40+'S&amp;T'!P40+UMSL!P40</f>
        <v>18282</v>
      </c>
      <c r="Q40" s="32">
        <f>MU!Q40+UMKC!Q40+'S&amp;T'!Q40+UMSL!Q40</f>
        <v>20247</v>
      </c>
      <c r="R40" s="32">
        <f>MU!R40+UMKC!R40+'S&amp;T'!R40+UMSL!R40</f>
        <v>20710</v>
      </c>
      <c r="S40" s="32">
        <f>MU!S40+UMKC!S40+'S&amp;T'!S40+UMSL!S40</f>
        <v>20754</v>
      </c>
      <c r="T40" s="32">
        <f>MU!T40+UMKC!T40+'S&amp;T'!T40+UMSL!T40</f>
        <v>20519</v>
      </c>
      <c r="U40" s="32">
        <f>MU!U40+UMKC!U40+'S&amp;T'!U40+UMSL!U40</f>
        <v>21480</v>
      </c>
      <c r="V40" s="32">
        <f>MU!V40+UMKC!V40+'S&amp;T'!V40+UMSL!V40</f>
        <v>22955</v>
      </c>
      <c r="W40" s="32">
        <f>MU!W40+UMKC!W40+'S&amp;T'!W40+UMSL!W40</f>
        <v>25659</v>
      </c>
      <c r="X40" s="32">
        <f>MU!X40+UMKC!X40+'S&amp;T'!X40+UMSL!X40</f>
        <v>27754</v>
      </c>
      <c r="Y40" s="32">
        <f>MU!Y40+UMKC!Y40+'S&amp;T'!Y40+UMSL!Y40</f>
        <v>28731</v>
      </c>
      <c r="Z40" s="32">
        <f>MU!Z40+UMKC!Z40+'S&amp;T'!Z40+UMSL!Z40</f>
        <v>28135</v>
      </c>
      <c r="AA40" s="32">
        <f>MU!AA40+UMKC!AA40+'S&amp;T'!AA40+UMSL!AA40</f>
        <v>27632</v>
      </c>
      <c r="AB40" s="32">
        <f>MU!AB40+UMKC!AB40+'S&amp;T'!AB40+UMSL!AB40</f>
        <v>27145</v>
      </c>
      <c r="AC40" s="32">
        <f>MU!AC40+UMKC!AC40+'S&amp;T'!AC40+UMSL!AC40</f>
        <v>26087</v>
      </c>
      <c r="AD40" s="32">
        <f>MU!AD40+UMKC!AD40+'S&amp;T'!AD40+UMSL!AD40</f>
        <v>24424</v>
      </c>
      <c r="AE40" s="32">
        <f>MU!AE40+UMKC!AE40+'S&amp;T'!AE40+UMSL!AE40</f>
        <v>23389</v>
      </c>
      <c r="AF40" s="32">
        <f>MU!AF40+UMKC!AF40+'S&amp;T'!AF40+UMSL!AF40</f>
        <v>22430</v>
      </c>
      <c r="AG40" s="32">
        <f>MU!AG40+UMKC!AG40+'S&amp;T'!AG40+UMSL!AG40</f>
        <v>21517</v>
      </c>
      <c r="AH40" s="32">
        <f>MU!AH40+UMKC!AH40+'S&amp;T'!AH40+UMSL!AH40</f>
        <v>20568</v>
      </c>
      <c r="AI40" s="32">
        <f>MU!AI40+UMKC!AI40+'S&amp;T'!AI40+UMSL!AI40</f>
        <v>19897</v>
      </c>
      <c r="AJ40" s="32">
        <f>MU!AJ40+UMKC!AJ40+'S&amp;T'!AJ40+UMSL!AJ40</f>
        <v>19195</v>
      </c>
      <c r="AK40" s="32">
        <f>MU!AK40+UMKC!AK40+'S&amp;T'!AK40+UMSL!AK40</f>
        <v>20209</v>
      </c>
      <c r="AL40" s="17"/>
    </row>
    <row r="41" spans="1:38" ht="13.5" customHeight="1" x14ac:dyDescent="0.2">
      <c r="A41" s="15"/>
      <c r="D41" s="1" t="s">
        <v>39</v>
      </c>
      <c r="E41" s="23"/>
      <c r="F41" s="33">
        <f>MU!F41+UMKC!F41+'S&amp;T'!F41+UMSL!F41</f>
        <v>10935</v>
      </c>
      <c r="G41" s="33">
        <f>MU!G41+UMKC!G41+'S&amp;T'!G41+UMSL!G41</f>
        <v>12278</v>
      </c>
      <c r="H41" s="33"/>
      <c r="I41" s="33">
        <f>MU!I41+UMKC!I41+'S&amp;T'!I41+UMSL!I41</f>
        <v>15845</v>
      </c>
      <c r="J41" s="33">
        <f>MU!J41+UMKC!J41+'S&amp;T'!J41+UMSL!J41</f>
        <v>14981</v>
      </c>
      <c r="K41" s="33">
        <f>MU!K41+UMKC!K41+'S&amp;T'!K41+UMSL!K41</f>
        <v>13112</v>
      </c>
      <c r="L41" s="33">
        <f>MU!L41+UMKC!L41+'S&amp;T'!L41+UMSL!L41</f>
        <v>12456</v>
      </c>
      <c r="M41" s="33">
        <f>MU!M41+UMKC!M41+'S&amp;T'!M41+UMSL!M41</f>
        <v>13437</v>
      </c>
      <c r="N41" s="33">
        <f>MU!N41+UMKC!N41+'S&amp;T'!N41+UMSL!N41</f>
        <v>13716</v>
      </c>
      <c r="O41" s="33">
        <f>MU!O41+UMKC!O41+'S&amp;T'!O41+UMSL!O41</f>
        <v>15547</v>
      </c>
      <c r="P41" s="33">
        <f>MU!P41+UMKC!P41+'S&amp;T'!P41+UMSL!P41</f>
        <v>14914</v>
      </c>
      <c r="Q41" s="33">
        <f>MU!Q41+UMKC!Q41+'S&amp;T'!Q41+UMSL!Q41</f>
        <v>15160</v>
      </c>
      <c r="R41" s="33">
        <f>MU!R41+UMKC!R41+'S&amp;T'!R41+UMSL!R41</f>
        <v>15402</v>
      </c>
      <c r="S41" s="33">
        <f>MU!S41+UMKC!S41+'S&amp;T'!S41+UMSL!S41</f>
        <v>16349</v>
      </c>
      <c r="T41" s="33">
        <f>MU!T41+UMKC!T41+'S&amp;T'!T41+UMSL!T41</f>
        <v>16418</v>
      </c>
      <c r="U41" s="33">
        <f>MU!U41+UMKC!U41+'S&amp;T'!U41+UMSL!U41</f>
        <v>15475</v>
      </c>
      <c r="V41" s="33">
        <f>MU!V41+UMKC!V41+'S&amp;T'!V41+UMSL!V41</f>
        <v>15089</v>
      </c>
      <c r="W41" s="33">
        <f>MU!W41+UMKC!W41+'S&amp;T'!W41+UMSL!W41</f>
        <v>14992</v>
      </c>
      <c r="X41" s="33">
        <f>MU!X41+UMKC!X41+'S&amp;T'!X41+UMSL!X41</f>
        <v>14794</v>
      </c>
      <c r="Y41" s="33">
        <f>MU!Y41+UMKC!Y41+'S&amp;T'!Y41+UMSL!Y41</f>
        <v>14706</v>
      </c>
      <c r="Z41" s="33">
        <f>MU!Z41+UMKC!Z41+'S&amp;T'!Z41+UMSL!Z41</f>
        <v>15838</v>
      </c>
      <c r="AA41" s="33">
        <f>MU!AA41+UMKC!AA41+'S&amp;T'!AA41+UMSL!AA41</f>
        <v>16064</v>
      </c>
      <c r="AB41" s="33">
        <f>MU!AB41+UMKC!AB41+'S&amp;T'!AB41+UMSL!AB41</f>
        <v>16607</v>
      </c>
      <c r="AC41" s="33">
        <f>MU!AC41+UMKC!AC41+'S&amp;T'!AC41+UMSL!AC41</f>
        <v>17577</v>
      </c>
      <c r="AD41" s="33">
        <f>MU!AD41+UMKC!AD41+'S&amp;T'!AD41+UMSL!AD41</f>
        <v>17222</v>
      </c>
      <c r="AE41" s="33">
        <f>MU!AE41+UMKC!AE41+'S&amp;T'!AE41+UMSL!AE41</f>
        <v>16762</v>
      </c>
      <c r="AF41" s="33">
        <f>MU!AF41+UMKC!AF41+'S&amp;T'!AF41+UMSL!AF41</f>
        <v>16711</v>
      </c>
      <c r="AG41" s="33">
        <f>MU!AG41+UMKC!AG41+'S&amp;T'!AG41+UMSL!AG41</f>
        <v>19324</v>
      </c>
      <c r="AH41" s="33">
        <f>MU!AH41+UMKC!AH41+'S&amp;T'!AH41+UMSL!AH41</f>
        <v>19351</v>
      </c>
      <c r="AI41" s="33">
        <f>MU!AI41+UMKC!AI41+'S&amp;T'!AI41+UMSL!AI41</f>
        <v>19935</v>
      </c>
      <c r="AJ41" s="33">
        <f>MU!AJ41+UMKC!AJ41+'S&amp;T'!AJ41+UMSL!AJ41</f>
        <v>19673</v>
      </c>
      <c r="AK41" s="33">
        <f>MU!AK41+UMKC!AK41+'S&amp;T'!AK41+UMSL!AK41</f>
        <v>19762</v>
      </c>
      <c r="AL41" s="17"/>
    </row>
    <row r="42" spans="1:38" ht="13.5" customHeight="1" x14ac:dyDescent="0.2">
      <c r="A42" s="15"/>
      <c r="E42" s="23"/>
      <c r="F42" s="32">
        <f t="shared" ref="F42:G42" si="110">SUM(F40:F41)</f>
        <v>24030</v>
      </c>
      <c r="G42" s="32">
        <f t="shared" si="110"/>
        <v>25725</v>
      </c>
      <c r="H42" s="32"/>
      <c r="I42" s="32">
        <f t="shared" ref="I42:L42" si="111">SUM(I40:I41)</f>
        <v>31783</v>
      </c>
      <c r="J42" s="32">
        <f t="shared" si="111"/>
        <v>31824</v>
      </c>
      <c r="K42" s="32">
        <f t="shared" si="111"/>
        <v>30650</v>
      </c>
      <c r="L42" s="32">
        <f t="shared" si="111"/>
        <v>29464</v>
      </c>
      <c r="M42" s="32">
        <f t="shared" ref="M42:S42" si="112">SUM(M40:M41)</f>
        <v>30022</v>
      </c>
      <c r="N42" s="32">
        <f t="shared" si="112"/>
        <v>30441</v>
      </c>
      <c r="O42" s="32">
        <f t="shared" si="112"/>
        <v>31755</v>
      </c>
      <c r="P42" s="32">
        <f t="shared" si="112"/>
        <v>33196</v>
      </c>
      <c r="Q42" s="32">
        <f t="shared" si="112"/>
        <v>35407</v>
      </c>
      <c r="R42" s="32">
        <f t="shared" si="112"/>
        <v>36112</v>
      </c>
      <c r="S42" s="32">
        <f t="shared" si="112"/>
        <v>37103</v>
      </c>
      <c r="T42" s="32">
        <f t="shared" ref="T42:Z42" si="113">SUM(T40:T41)</f>
        <v>36937</v>
      </c>
      <c r="U42" s="32">
        <f t="shared" si="113"/>
        <v>36955</v>
      </c>
      <c r="V42" s="32">
        <f t="shared" si="113"/>
        <v>38044</v>
      </c>
      <c r="W42" s="32">
        <f t="shared" si="113"/>
        <v>40651</v>
      </c>
      <c r="X42" s="32">
        <f t="shared" si="113"/>
        <v>42548</v>
      </c>
      <c r="Y42" s="32">
        <f t="shared" si="113"/>
        <v>43437</v>
      </c>
      <c r="Z42" s="32">
        <f t="shared" si="113"/>
        <v>43973</v>
      </c>
      <c r="AA42" s="32">
        <f t="shared" ref="AA42:AB42" si="114">SUM(AA40:AA41)</f>
        <v>43696</v>
      </c>
      <c r="AB42" s="32">
        <f t="shared" si="114"/>
        <v>43752</v>
      </c>
      <c r="AC42" s="32">
        <f t="shared" ref="AC42:AD42" si="115">SUM(AC40:AC41)</f>
        <v>43664</v>
      </c>
      <c r="AD42" s="32">
        <f t="shared" si="115"/>
        <v>41646</v>
      </c>
      <c r="AE42" s="32">
        <f t="shared" ref="AE42:AF42" si="116">SUM(AE40:AE41)</f>
        <v>40151</v>
      </c>
      <c r="AF42" s="32">
        <f t="shared" si="116"/>
        <v>39141</v>
      </c>
      <c r="AG42" s="32">
        <f t="shared" ref="AG42:AH42" si="117">SUM(AG40:AG41)</f>
        <v>40841</v>
      </c>
      <c r="AH42" s="32">
        <f t="shared" si="117"/>
        <v>39919</v>
      </c>
      <c r="AI42" s="32">
        <f t="shared" ref="AI42:AJ42" si="118">SUM(AI40:AI41)</f>
        <v>39832</v>
      </c>
      <c r="AJ42" s="32">
        <f t="shared" si="118"/>
        <v>38868</v>
      </c>
      <c r="AK42" s="32">
        <f t="shared" ref="AK42" si="119">SUM(AK40:AK41)</f>
        <v>39971</v>
      </c>
      <c r="AL42" s="17"/>
    </row>
    <row r="43" spans="1:38" ht="13.5" customHeight="1" x14ac:dyDescent="0.2">
      <c r="A43" s="15"/>
      <c r="AL43" s="17"/>
    </row>
    <row r="44" spans="1:38" ht="13.5" customHeight="1" x14ac:dyDescent="0.2">
      <c r="A44" s="15"/>
      <c r="B44" s="56" t="s">
        <v>40</v>
      </c>
      <c r="C44" s="57"/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17"/>
    </row>
    <row r="45" spans="1:38" ht="13.5" customHeight="1" x14ac:dyDescent="0.2">
      <c r="A45" s="15"/>
      <c r="C45" s="2" t="s">
        <v>26</v>
      </c>
      <c r="D45" s="2"/>
      <c r="E45" s="21"/>
      <c r="AL45" s="17"/>
    </row>
    <row r="46" spans="1:38" ht="13.5" customHeight="1" x14ac:dyDescent="0.2">
      <c r="A46" s="15"/>
      <c r="D46" s="1" t="s">
        <v>27</v>
      </c>
      <c r="E46" s="21"/>
      <c r="F46" s="21">
        <f>MU!F46+UMKC!F46+'S&amp;T'!F46+UMSL!F46</f>
        <v>437922</v>
      </c>
      <c r="G46" s="21">
        <f>MU!G46+UMKC!G46+'S&amp;T'!G46+UMSL!G46</f>
        <v>324785</v>
      </c>
      <c r="H46" s="21"/>
      <c r="I46" s="21">
        <f>MU!I46+UMKC!I46+'S&amp;T'!I46+UMSL!I46</f>
        <v>966704</v>
      </c>
      <c r="J46" s="21">
        <f>MU!J46+UMKC!J46+'S&amp;T'!J46+UMSL!J46</f>
        <v>1113178</v>
      </c>
      <c r="K46" s="21">
        <f>MU!K46+UMKC!K46+'S&amp;T'!K46+UMSL!K46</f>
        <v>1673406</v>
      </c>
      <c r="L46" s="21">
        <f>MU!L46+UMKC!L46+'S&amp;T'!L46+UMSL!L46</f>
        <v>1732812</v>
      </c>
      <c r="M46" s="21">
        <f>MU!M46+UMKC!M46+'S&amp;T'!M46+UMSL!M46</f>
        <v>2052977</v>
      </c>
      <c r="N46" s="21">
        <f>MU!N46+UMKC!N46+'S&amp;T'!N46+UMSL!N46</f>
        <v>1681174</v>
      </c>
      <c r="O46" s="21">
        <f>MU!O46+UMKC!O46+'S&amp;T'!O46+UMSL!O46</f>
        <v>2136248</v>
      </c>
      <c r="P46" s="21">
        <f>MU!P46+UMKC!P46+'S&amp;T'!P46+UMSL!P46</f>
        <v>1621929</v>
      </c>
      <c r="Q46" s="21">
        <f>MU!Q46+UMKC!Q46+'S&amp;T'!Q46+UMSL!Q46</f>
        <v>1659022</v>
      </c>
      <c r="R46" s="21">
        <f>MU!R46+UMKC!R46+'S&amp;T'!R46+UMSL!R46</f>
        <v>2350533</v>
      </c>
      <c r="S46" s="21">
        <f>MU!S46+UMKC!S46+'S&amp;T'!S46+UMSL!S46</f>
        <v>3512035</v>
      </c>
      <c r="T46" s="21">
        <f>MU!T46+UMKC!T46+'S&amp;T'!T46+UMSL!T46</f>
        <v>5067890</v>
      </c>
      <c r="U46" s="21">
        <f>MU!U46+UMKC!U46+'S&amp;T'!U46+UMSL!U46</f>
        <v>4806464</v>
      </c>
      <c r="V46" s="21">
        <f>MU!V46+UMKC!V46+'S&amp;T'!V46+UMSL!V46</f>
        <v>4034700</v>
      </c>
      <c r="W46" s="21">
        <f>MU!W46+UMKC!W46+'S&amp;T'!W46+UMSL!W46</f>
        <v>5662067</v>
      </c>
      <c r="X46" s="21">
        <f>MU!X46+UMKC!X46+'S&amp;T'!X46+UMSL!X46</f>
        <v>4728351</v>
      </c>
      <c r="Y46" s="21">
        <f>MU!Y46+UMKC!Y46+'S&amp;T'!Y46+UMSL!Y46</f>
        <v>5159312</v>
      </c>
      <c r="Z46" s="21">
        <f>MU!Z46+UMKC!Z46+'S&amp;T'!Z46+UMSL!Z46</f>
        <v>5465283</v>
      </c>
      <c r="AA46" s="21">
        <f>MU!AA46+UMKC!AA46+'S&amp;T'!AA46+UMSL!AA46</f>
        <v>5250347</v>
      </c>
      <c r="AB46" s="21">
        <f>MU!AB46+UMKC!AB46+'S&amp;T'!AB46+UMSL!AB46</f>
        <v>5309420</v>
      </c>
      <c r="AC46" s="21">
        <f>MU!AC46+UMKC!AC46+'S&amp;T'!AC46+UMSL!AC46</f>
        <v>5807601</v>
      </c>
      <c r="AD46" s="21">
        <f>MU!AD46+UMKC!AD46+'S&amp;T'!AD46+UMSL!AD46</f>
        <v>6023828</v>
      </c>
      <c r="AE46" s="21">
        <f>MU!AE46+UMKC!AE46+'S&amp;T'!AE46+UMSL!AE46</f>
        <v>5057692</v>
      </c>
      <c r="AF46" s="21">
        <f>MU!AF46+UMKC!AF46+'S&amp;T'!AF46+UMSL!AF46</f>
        <v>6504190</v>
      </c>
      <c r="AG46" s="21">
        <f>MU!AG46+UMKC!AG46+'S&amp;T'!AG46+UMSL!AG46</f>
        <v>7791227</v>
      </c>
      <c r="AH46" s="21">
        <f>MU!AH46+UMKC!AH46+'S&amp;T'!AH46+UMSL!AH46</f>
        <v>8707583</v>
      </c>
      <c r="AI46" s="21">
        <f>MU!AI46+UMKC!AI46+'S&amp;T'!AI46+UMSL!AI46</f>
        <v>9535060</v>
      </c>
      <c r="AJ46" s="21">
        <f>MU!AJ46+UMKC!AJ46+'S&amp;T'!AJ46+UMSL!AJ46</f>
        <v>9383903</v>
      </c>
      <c r="AK46" s="21">
        <f>MU!AK46+UMKC!AK46+'S&amp;T'!AK46+UMSL!AK46</f>
        <v>7812247</v>
      </c>
      <c r="AL46" s="17"/>
    </row>
    <row r="47" spans="1:38" ht="13.5" customHeight="1" x14ac:dyDescent="0.2">
      <c r="A47" s="15"/>
      <c r="D47" s="1" t="s">
        <v>28</v>
      </c>
      <c r="E47" s="23"/>
      <c r="F47" s="23">
        <f>MU!F47+UMKC!F47+'S&amp;T'!F47+UMSL!F47</f>
        <v>33656016</v>
      </c>
      <c r="G47" s="23">
        <f>MU!G47+UMKC!G47+'S&amp;T'!G47+UMSL!G47</f>
        <v>41804981</v>
      </c>
      <c r="H47" s="23"/>
      <c r="I47" s="23">
        <f>MU!I47+UMKC!I47+'S&amp;T'!I47+UMSL!I47</f>
        <v>55345525</v>
      </c>
      <c r="J47" s="23">
        <f>MU!J47+UMKC!J47+'S&amp;T'!J47+UMSL!J47</f>
        <v>63769149</v>
      </c>
      <c r="K47" s="23">
        <f>MU!K47+UMKC!K47+'S&amp;T'!K47+UMSL!K47</f>
        <v>68458066</v>
      </c>
      <c r="L47" s="23">
        <f>MU!L47+UMKC!L47+'S&amp;T'!L47+UMSL!L47</f>
        <v>70926896</v>
      </c>
      <c r="M47" s="23">
        <f>MU!M47+UMKC!M47+'S&amp;T'!M47+UMSL!M47</f>
        <v>73037711</v>
      </c>
      <c r="N47" s="23">
        <f>MU!N47+UMKC!N47+'S&amp;T'!N47+UMSL!N47</f>
        <v>76626185</v>
      </c>
      <c r="O47" s="23">
        <f>MU!O47+UMKC!O47+'S&amp;T'!O47+UMSL!O47</f>
        <v>81464650</v>
      </c>
      <c r="P47" s="23">
        <f>MU!P47+UMKC!P47+'S&amp;T'!P47+UMSL!P47</f>
        <v>95992715</v>
      </c>
      <c r="Q47" s="23">
        <f>MU!Q47+UMKC!Q47+'S&amp;T'!Q47+UMSL!Q47</f>
        <v>108795322</v>
      </c>
      <c r="R47" s="23">
        <f>MU!R47+UMKC!R47+'S&amp;T'!R47+UMSL!R47</f>
        <v>114082422</v>
      </c>
      <c r="S47" s="23">
        <f>MU!S47+UMKC!S47+'S&amp;T'!S47+UMSL!S47</f>
        <v>120387463</v>
      </c>
      <c r="T47" s="23">
        <f>MU!T47+UMKC!T47+'S&amp;T'!T47+UMSL!T47</f>
        <v>129110490</v>
      </c>
      <c r="U47" s="23">
        <f>MU!U47+UMKC!U47+'S&amp;T'!U47+UMSL!U47</f>
        <v>140841197</v>
      </c>
      <c r="V47" s="23">
        <f>MU!V47+UMKC!V47+'S&amp;T'!V47+UMSL!V47</f>
        <v>146283023</v>
      </c>
      <c r="W47" s="23">
        <f>MU!W47+UMKC!W47+'S&amp;T'!W47+UMSL!W47</f>
        <v>162473732</v>
      </c>
      <c r="X47" s="23">
        <f>MU!X47+UMKC!X47+'S&amp;T'!X47+UMSL!X47</f>
        <v>172531884</v>
      </c>
      <c r="Y47" s="23">
        <f>MU!Y47+UMKC!Y47+'S&amp;T'!Y47+UMSL!Y47</f>
        <v>177996074</v>
      </c>
      <c r="Z47" s="23">
        <f>MU!Z47+UMKC!Z47+'S&amp;T'!Z47+UMSL!Z47</f>
        <v>172871409</v>
      </c>
      <c r="AA47" s="23">
        <f>MU!AA47+UMKC!AA47+'S&amp;T'!AA47+UMSL!AA47</f>
        <v>170100718</v>
      </c>
      <c r="AB47" s="23">
        <f>MU!AB47+UMKC!AB47+'S&amp;T'!AB47+UMSL!AB47</f>
        <v>164845508</v>
      </c>
      <c r="AC47" s="23">
        <f>MU!AC47+UMKC!AC47+'S&amp;T'!AC47+UMSL!AC47</f>
        <v>158931886</v>
      </c>
      <c r="AD47" s="23">
        <f>MU!AD47+UMKC!AD47+'S&amp;T'!AD47+UMSL!AD47</f>
        <v>159284307</v>
      </c>
      <c r="AE47" s="23">
        <f>MU!AE47+UMKC!AE47+'S&amp;T'!AE47+UMSL!AE47</f>
        <v>163524928</v>
      </c>
      <c r="AF47" s="23">
        <f>MU!AF47+UMKC!AF47+'S&amp;T'!AF47+UMSL!AF47</f>
        <v>168452694</v>
      </c>
      <c r="AG47" s="23">
        <f>MU!AG47+UMKC!AG47+'S&amp;T'!AG47+UMSL!AG47</f>
        <v>169925835</v>
      </c>
      <c r="AH47" s="23">
        <f>MU!AH47+UMKC!AH47+'S&amp;T'!AH47+UMSL!AH47</f>
        <v>176286031</v>
      </c>
      <c r="AI47" s="23">
        <f>MU!AI47+UMKC!AI47+'S&amp;T'!AI47+UMSL!AI47</f>
        <v>176916964</v>
      </c>
      <c r="AJ47" s="23">
        <f>MU!AJ47+UMKC!AJ47+'S&amp;T'!AJ47+UMSL!AJ47</f>
        <v>176928796</v>
      </c>
      <c r="AK47" s="23">
        <f>MU!AK47+UMKC!AK47+'S&amp;T'!AK47+UMSL!AK47</f>
        <v>181928828</v>
      </c>
      <c r="AL47" s="17"/>
    </row>
    <row r="48" spans="1:38" ht="13.5" customHeight="1" x14ac:dyDescent="0.2">
      <c r="A48" s="15"/>
      <c r="D48" s="1" t="s">
        <v>29</v>
      </c>
      <c r="E48" s="23"/>
      <c r="F48" s="24">
        <f>MU!F48+UMKC!F48+'S&amp;T'!F48+UMSL!F48</f>
        <v>358944</v>
      </c>
      <c r="G48" s="24">
        <f>MU!G48+UMKC!G48+'S&amp;T'!G48+UMSL!G48</f>
        <v>324000</v>
      </c>
      <c r="H48" s="24"/>
      <c r="I48" s="24">
        <f>MU!I48+UMKC!I48+'S&amp;T'!I48+UMSL!I48</f>
        <v>200501</v>
      </c>
      <c r="J48" s="24">
        <f>MU!J48+UMKC!J48+'S&amp;T'!J48+UMSL!J48</f>
        <v>151119</v>
      </c>
      <c r="K48" s="24">
        <f>MU!K48+UMKC!K48+'S&amp;T'!K48+UMSL!K48</f>
        <v>254526</v>
      </c>
      <c r="L48" s="24">
        <f>MU!L48+UMKC!L48+'S&amp;T'!L48+UMSL!L48</f>
        <v>129826</v>
      </c>
      <c r="M48" s="24">
        <f>MU!M48+UMKC!M48+'S&amp;T'!M48+UMSL!M48</f>
        <v>212109</v>
      </c>
      <c r="N48" s="24">
        <f>MU!N48+UMKC!N48+'S&amp;T'!N48+UMSL!N48</f>
        <v>405333</v>
      </c>
      <c r="O48" s="24">
        <f>MU!O48+UMKC!O48+'S&amp;T'!O48+UMSL!O48</f>
        <v>367688</v>
      </c>
      <c r="P48" s="24">
        <f>MU!P48+UMKC!P48+'S&amp;T'!P48+UMSL!P48</f>
        <v>402569</v>
      </c>
      <c r="Q48" s="24">
        <f>MU!Q48+UMKC!Q48+'S&amp;T'!Q48+UMSL!Q48</f>
        <v>304066</v>
      </c>
      <c r="R48" s="24">
        <f>MU!R48+UMKC!R48+'S&amp;T'!R48+UMSL!R48</f>
        <v>300951</v>
      </c>
      <c r="S48" s="24">
        <f>MU!S48+UMKC!S48+'S&amp;T'!S48+UMSL!S48</f>
        <v>404356</v>
      </c>
      <c r="T48" s="24">
        <f>MU!T48+UMKC!T48+'S&amp;T'!T48+UMSL!T48</f>
        <v>413006</v>
      </c>
      <c r="U48" s="24">
        <f>MU!U48+UMKC!U48+'S&amp;T'!U48+UMSL!U48</f>
        <v>361060</v>
      </c>
      <c r="V48" s="24">
        <f>MU!V48+UMKC!V48+'S&amp;T'!V48+UMSL!V48</f>
        <v>341192</v>
      </c>
      <c r="W48" s="24">
        <f>MU!W48+UMKC!W48+'S&amp;T'!W48+UMSL!W48</f>
        <v>381230</v>
      </c>
      <c r="X48" s="24">
        <f>MU!X48+UMKC!X48+'S&amp;T'!X48+UMSL!X48</f>
        <v>383803</v>
      </c>
      <c r="Y48" s="24">
        <f>MU!Y48+UMKC!Y48+'S&amp;T'!Y48+UMSL!Y48</f>
        <v>413212</v>
      </c>
      <c r="Z48" s="24">
        <f>MU!Z48+UMKC!Z48+'S&amp;T'!Z48+UMSL!Z48</f>
        <v>386241</v>
      </c>
      <c r="AA48" s="24">
        <f>MU!AA48+UMKC!AA48+'S&amp;T'!AA48+UMSL!AA48</f>
        <v>399386</v>
      </c>
      <c r="AB48" s="24">
        <f>MU!AB48+UMKC!AB48+'S&amp;T'!AB48+UMSL!AB48</f>
        <v>363281</v>
      </c>
      <c r="AC48" s="24">
        <f>MU!AC48+UMKC!AC48+'S&amp;T'!AC48+UMSL!AC48</f>
        <v>398666</v>
      </c>
      <c r="AD48" s="24">
        <f>MU!AD48+UMKC!AD48+'S&amp;T'!AD48+UMSL!AD48</f>
        <v>482757</v>
      </c>
      <c r="AE48" s="24">
        <f>MU!AE48+UMKC!AE48+'S&amp;T'!AE48+UMSL!AE48</f>
        <v>739450</v>
      </c>
      <c r="AF48" s="24">
        <f>MU!AF48+UMKC!AF48+'S&amp;T'!AF48+UMSL!AF48</f>
        <v>578445</v>
      </c>
      <c r="AG48" s="24">
        <f>MU!AG48+UMKC!AG48+'S&amp;T'!AG48+UMSL!AG48</f>
        <v>639598</v>
      </c>
      <c r="AH48" s="24">
        <f>MU!AH48+UMKC!AH48+'S&amp;T'!AH48+UMSL!AH48</f>
        <v>605264</v>
      </c>
      <c r="AI48" s="24">
        <f>MU!AI48+UMKC!AI48+'S&amp;T'!AI48+UMSL!AI48</f>
        <v>619226</v>
      </c>
      <c r="AJ48" s="24">
        <f>MU!AJ48+UMKC!AJ48+'S&amp;T'!AJ48+UMSL!AJ48</f>
        <v>415035</v>
      </c>
      <c r="AK48" s="24">
        <f>MU!AK48+UMKC!AK48+'S&amp;T'!AK48+UMSL!AK48</f>
        <v>266690</v>
      </c>
      <c r="AL48" s="17"/>
    </row>
    <row r="49" spans="1:38" ht="13.5" customHeight="1" x14ac:dyDescent="0.2">
      <c r="A49" s="15"/>
      <c r="E49" s="21"/>
      <c r="F49" s="21">
        <f t="shared" ref="F49:G49" si="120">SUM(F46:F48)</f>
        <v>34452882</v>
      </c>
      <c r="G49" s="21">
        <f t="shared" si="120"/>
        <v>42453766</v>
      </c>
      <c r="H49" s="21"/>
      <c r="I49" s="21">
        <f t="shared" ref="I49:L49" si="121">SUM(I46:I48)</f>
        <v>56512730</v>
      </c>
      <c r="J49" s="21">
        <f t="shared" si="121"/>
        <v>65033446</v>
      </c>
      <c r="K49" s="21">
        <f t="shared" si="121"/>
        <v>70385998</v>
      </c>
      <c r="L49" s="21">
        <f t="shared" si="121"/>
        <v>72789534</v>
      </c>
      <c r="M49" s="21">
        <f t="shared" ref="M49:O49" si="122">SUM(M46:M48)</f>
        <v>75302797</v>
      </c>
      <c r="N49" s="21">
        <f t="shared" si="122"/>
        <v>78712692</v>
      </c>
      <c r="O49" s="21">
        <f t="shared" si="122"/>
        <v>83968586</v>
      </c>
      <c r="P49" s="21">
        <f t="shared" ref="P49" si="123">SUM(P46:P48)</f>
        <v>98017213</v>
      </c>
      <c r="Q49" s="21">
        <f t="shared" ref="Q49:AA49" si="124">SUM(Q46:Q48)</f>
        <v>110758410</v>
      </c>
      <c r="R49" s="21">
        <f t="shared" si="124"/>
        <v>116733906</v>
      </c>
      <c r="S49" s="21">
        <f t="shared" si="124"/>
        <v>124303854</v>
      </c>
      <c r="T49" s="21">
        <f t="shared" si="124"/>
        <v>134591386</v>
      </c>
      <c r="U49" s="21">
        <f t="shared" si="124"/>
        <v>146008721</v>
      </c>
      <c r="V49" s="21">
        <f t="shared" ref="V49:Z49" si="125">SUM(V46:V48)</f>
        <v>150658915</v>
      </c>
      <c r="W49" s="21">
        <f t="shared" si="125"/>
        <v>168517029</v>
      </c>
      <c r="X49" s="21">
        <f t="shared" si="125"/>
        <v>177644038</v>
      </c>
      <c r="Y49" s="21">
        <f t="shared" si="125"/>
        <v>183568598</v>
      </c>
      <c r="Z49" s="21">
        <f t="shared" si="125"/>
        <v>178722933</v>
      </c>
      <c r="AA49" s="21">
        <f t="shared" si="124"/>
        <v>175750451</v>
      </c>
      <c r="AB49" s="21">
        <f t="shared" ref="AB49" si="126">SUM(AB46:AB48)</f>
        <v>170518209</v>
      </c>
      <c r="AC49" s="21">
        <f t="shared" ref="AC49:AD49" si="127">SUM(AC46:AC48)</f>
        <v>165138153</v>
      </c>
      <c r="AD49" s="21">
        <f t="shared" si="127"/>
        <v>165790892</v>
      </c>
      <c r="AE49" s="21">
        <f t="shared" ref="AE49:AF49" si="128">SUM(AE46:AE48)</f>
        <v>169322070</v>
      </c>
      <c r="AF49" s="21">
        <f t="shared" si="128"/>
        <v>175535329</v>
      </c>
      <c r="AG49" s="21">
        <f t="shared" ref="AG49:AH49" si="129">SUM(AG46:AG48)</f>
        <v>178356660</v>
      </c>
      <c r="AH49" s="21">
        <f t="shared" si="129"/>
        <v>185598878</v>
      </c>
      <c r="AI49" s="21">
        <f t="shared" ref="AI49:AJ49" si="130">SUM(AI46:AI48)</f>
        <v>187071250</v>
      </c>
      <c r="AJ49" s="21">
        <f t="shared" si="130"/>
        <v>186727734</v>
      </c>
      <c r="AK49" s="21">
        <f t="shared" ref="AK49" si="131">SUM(AK46:AK48)</f>
        <v>190007765</v>
      </c>
      <c r="AL49" s="17"/>
    </row>
    <row r="50" spans="1:38" ht="13.5" hidden="1" customHeight="1" x14ac:dyDescent="0.2">
      <c r="A50" s="15"/>
      <c r="D50" s="26"/>
      <c r="E50" s="27"/>
      <c r="F50" s="28">
        <f>MU!F50+UMKC!F50+'S&amp;T'!F50+UMSL!F50</f>
        <v>-357437</v>
      </c>
      <c r="G50" s="28">
        <f>MU!G50+UMKC!G50+'S&amp;T'!G50+UMSL!G50</f>
        <v>-130512</v>
      </c>
      <c r="H50" s="30"/>
      <c r="I50" s="28">
        <f>MU!I50+UMKC!I50+'S&amp;T'!I50+UMSL!I50</f>
        <v>-277082</v>
      </c>
      <c r="J50" s="28">
        <f>MU!J50+UMKC!J50+'S&amp;T'!J50+UMSL!J50</f>
        <v>-478498</v>
      </c>
      <c r="K50" s="28">
        <f>MU!K50+UMKC!K50+'S&amp;T'!K50+UMSL!K50</f>
        <v>-335050</v>
      </c>
      <c r="L50" s="28">
        <f>MU!L50+UMKC!L50+'S&amp;T'!L50+UMSL!L50</f>
        <v>-288710</v>
      </c>
      <c r="M50" s="28">
        <f>MU!M50+UMKC!M50+'S&amp;T'!M50+UMSL!M50</f>
        <v>-344883</v>
      </c>
      <c r="N50" s="28">
        <f>MU!N50+UMKC!N50+'S&amp;T'!N50+UMSL!N50</f>
        <v>-346633</v>
      </c>
      <c r="O50" s="28">
        <f>MU!O50+UMKC!O50+'S&amp;T'!O50+UMSL!O50</f>
        <v>-374068</v>
      </c>
      <c r="P50" s="28">
        <f>MU!P50+UMKC!P50+'S&amp;T'!P50+UMSL!P50</f>
        <v>-256184</v>
      </c>
      <c r="Q50" s="28">
        <f>MU!Q50+UMKC!Q50+'S&amp;T'!Q50+UMSL!Q50</f>
        <v>-342320</v>
      </c>
      <c r="R50" s="28">
        <f>MU!R50+UMKC!R50+'S&amp;T'!R50+UMSL!R50</f>
        <v>-318660</v>
      </c>
      <c r="S50" s="28">
        <f>MU!S50+UMKC!S50+'S&amp;T'!S50+UMSL!S50</f>
        <v>-342089</v>
      </c>
      <c r="T50" s="28">
        <f>MU!T50+UMKC!T50+'S&amp;T'!T50+UMSL!T50</f>
        <v>-297571</v>
      </c>
      <c r="U50" s="28">
        <f>MU!U50+UMKC!U50+'S&amp;T'!U50+UMSL!U50</f>
        <v>-213857</v>
      </c>
      <c r="V50" s="28">
        <f>MU!V50+UMKC!V50+'S&amp;T'!V50+UMSL!V50</f>
        <v>-134591</v>
      </c>
      <c r="W50" s="28">
        <f>MU!W50+UMKC!W50+'S&amp;T'!W50+UMSL!W50</f>
        <v>-132292</v>
      </c>
      <c r="X50" s="28">
        <f>MU!X50+UMKC!X50+'S&amp;T'!X50+UMSL!X50</f>
        <v>-169572</v>
      </c>
      <c r="Y50" s="28">
        <f>MU!Y50+UMKC!Y50+'S&amp;T'!Y50+UMSL!Y50</f>
        <v>-256168</v>
      </c>
      <c r="Z50" s="28">
        <f>MU!Z50+UMKC!Z50+'S&amp;T'!Z50+UMSL!Z50</f>
        <v>-195898</v>
      </c>
      <c r="AA50" s="28">
        <f>MU!AA50+UMKC!AA50+'S&amp;T'!AA50+UMSL!AA50</f>
        <v>-237080</v>
      </c>
      <c r="AB50" s="28">
        <f>MU!AB50+UMKC!AB50+'S&amp;T'!AB50+UMSL!AB50</f>
        <v>-179828</v>
      </c>
      <c r="AC50" s="28">
        <f>MU!AC50+UMKC!AC50+'S&amp;T'!AC50+UMSL!AC50</f>
        <v>-123625</v>
      </c>
      <c r="AD50" s="28">
        <f>MU!AD50+UMKC!AD50+'S&amp;T'!AD50+UMSL!AD50</f>
        <v>-75684</v>
      </c>
      <c r="AE50" s="28">
        <f>MU!AE50+UMKC!AE50+'S&amp;T'!AE50+UMSL!AE50</f>
        <v>-90908</v>
      </c>
      <c r="AF50" s="28">
        <f>MU!AF50+UMKC!AF50+'S&amp;T'!AF50+UMSL!AF50</f>
        <v>-65000</v>
      </c>
      <c r="AG50" s="28">
        <f>MU!AG50+UMKC!AG50+'S&amp;T'!AG50+UMSL!AG50</f>
        <v>-63192</v>
      </c>
      <c r="AH50" s="28">
        <f>MU!AH50+UMKC!AH50+'S&amp;T'!AH50+UMSL!AH50</f>
        <v>-64223</v>
      </c>
      <c r="AI50" s="28">
        <f>MU!AI50+UMKC!AI50+'S&amp;T'!AI50+UMSL!AI50</f>
        <v>-26962</v>
      </c>
      <c r="AJ50" s="28">
        <f>MU!AJ50+UMKC!AJ50+'S&amp;T'!AJ50+UMSL!AJ50</f>
        <v>-55386</v>
      </c>
      <c r="AK50" s="28">
        <f>MU!AK50+UMKC!AK50+'S&amp;T'!AK50+UMSL!AK50</f>
        <v>-25753</v>
      </c>
      <c r="AL50" s="17"/>
    </row>
    <row r="51" spans="1:38" ht="13.5" customHeight="1" x14ac:dyDescent="0.2">
      <c r="A51" s="3"/>
      <c r="D51" s="26"/>
      <c r="E51" s="27" t="s">
        <v>30</v>
      </c>
      <c r="F51" s="29">
        <f t="shared" ref="F51:G51" si="132">SUM(F49:F50)</f>
        <v>34095445</v>
      </c>
      <c r="G51" s="29">
        <f t="shared" si="132"/>
        <v>42323254</v>
      </c>
      <c r="H51" s="29"/>
      <c r="I51" s="29">
        <f t="shared" ref="I51:L51" si="133">SUM(I49:I50)</f>
        <v>56235648</v>
      </c>
      <c r="J51" s="29">
        <f t="shared" si="133"/>
        <v>64554948</v>
      </c>
      <c r="K51" s="29">
        <f t="shared" si="133"/>
        <v>70050948</v>
      </c>
      <c r="L51" s="29">
        <f t="shared" si="133"/>
        <v>72500824</v>
      </c>
      <c r="M51" s="29">
        <f t="shared" ref="M51:O51" si="134">SUM(M49:M50)</f>
        <v>74957914</v>
      </c>
      <c r="N51" s="29">
        <f t="shared" si="134"/>
        <v>78366059</v>
      </c>
      <c r="O51" s="29">
        <f t="shared" si="134"/>
        <v>83594518</v>
      </c>
      <c r="P51" s="29">
        <f t="shared" ref="P51" si="135">SUM(P49:P50)</f>
        <v>97761029</v>
      </c>
      <c r="Q51" s="29">
        <f t="shared" ref="Q51:AA51" si="136">SUM(Q49:Q50)</f>
        <v>110416090</v>
      </c>
      <c r="R51" s="29">
        <f t="shared" si="136"/>
        <v>116415246</v>
      </c>
      <c r="S51" s="29">
        <f t="shared" si="136"/>
        <v>123961765</v>
      </c>
      <c r="T51" s="29">
        <f t="shared" si="136"/>
        <v>134293815</v>
      </c>
      <c r="U51" s="29">
        <f t="shared" si="136"/>
        <v>145794864</v>
      </c>
      <c r="V51" s="29">
        <f t="shared" ref="V51:Z51" si="137">SUM(V49:V50)</f>
        <v>150524324</v>
      </c>
      <c r="W51" s="29">
        <f t="shared" si="137"/>
        <v>168384737</v>
      </c>
      <c r="X51" s="29">
        <f t="shared" si="137"/>
        <v>177474466</v>
      </c>
      <c r="Y51" s="29">
        <f t="shared" si="137"/>
        <v>183312430</v>
      </c>
      <c r="Z51" s="29">
        <f t="shared" si="137"/>
        <v>178527035</v>
      </c>
      <c r="AA51" s="29">
        <f t="shared" si="136"/>
        <v>175513371</v>
      </c>
      <c r="AB51" s="29">
        <f t="shared" ref="AB51" si="138">SUM(AB49:AB50)</f>
        <v>170338381</v>
      </c>
      <c r="AC51" s="29">
        <f t="shared" ref="AC51:AD51" si="139">SUM(AC49:AC50)</f>
        <v>165014528</v>
      </c>
      <c r="AD51" s="29">
        <f t="shared" si="139"/>
        <v>165715208</v>
      </c>
      <c r="AE51" s="29">
        <f t="shared" ref="AE51:AF51" si="140">SUM(AE49:AE50)</f>
        <v>169231162</v>
      </c>
      <c r="AF51" s="29">
        <f t="shared" si="140"/>
        <v>175470329</v>
      </c>
      <c r="AG51" s="29">
        <f t="shared" ref="AG51:AH51" si="141">SUM(AG49:AG50)</f>
        <v>178293468</v>
      </c>
      <c r="AH51" s="29">
        <f t="shared" si="141"/>
        <v>185534655</v>
      </c>
      <c r="AI51" s="29">
        <f t="shared" ref="AI51:AJ51" si="142">SUM(AI49:AI50)</f>
        <v>187044288</v>
      </c>
      <c r="AJ51" s="29">
        <f t="shared" si="142"/>
        <v>186672348</v>
      </c>
      <c r="AK51" s="29">
        <f t="shared" ref="AK51" si="143">SUM(AK49:AK50)</f>
        <v>189982012</v>
      </c>
      <c r="AL51" s="5"/>
    </row>
    <row r="52" spans="1:38" ht="13.5" customHeight="1" x14ac:dyDescent="0.2">
      <c r="A52" s="15"/>
      <c r="C52" s="2" t="s">
        <v>31</v>
      </c>
      <c r="E52" s="21"/>
      <c r="AL52" s="17"/>
    </row>
    <row r="53" spans="1:38" ht="13.5" customHeight="1" x14ac:dyDescent="0.2">
      <c r="A53" s="15"/>
      <c r="D53" s="1" t="s">
        <v>27</v>
      </c>
      <c r="E53" s="21"/>
      <c r="F53" s="21">
        <f>MU!F53+UMKC!F53+'S&amp;T'!F53+UMSL!F53</f>
        <v>332086</v>
      </c>
      <c r="G53" s="21">
        <f>MU!G53+UMKC!G53+'S&amp;T'!G53+UMSL!G53</f>
        <v>518582</v>
      </c>
      <c r="H53" s="21"/>
      <c r="I53" s="21">
        <f>MU!I53+UMKC!I53+'S&amp;T'!I53+UMSL!I53</f>
        <v>493971</v>
      </c>
      <c r="J53" s="21">
        <f>MU!J53+UMKC!J53+'S&amp;T'!J53+UMSL!J53</f>
        <v>614745</v>
      </c>
      <c r="K53" s="21">
        <f>MU!K53+UMKC!K53+'S&amp;T'!K53+UMSL!K53</f>
        <v>854839</v>
      </c>
      <c r="L53" s="21">
        <f>MU!L53+UMKC!L53+'S&amp;T'!L53+UMSL!L53</f>
        <v>599844</v>
      </c>
      <c r="M53" s="21">
        <f>MU!M53+UMKC!M53+'S&amp;T'!M53+UMSL!M53</f>
        <v>731685</v>
      </c>
      <c r="N53" s="21">
        <f>MU!N53+UMKC!N53+'S&amp;T'!N53+UMSL!N53</f>
        <v>1164622</v>
      </c>
      <c r="O53" s="21">
        <f>MU!O53+UMKC!O53+'S&amp;T'!O53+UMSL!O53</f>
        <v>740519</v>
      </c>
      <c r="P53" s="21">
        <f>MU!P53+UMKC!P53+'S&amp;T'!P53+UMSL!P53</f>
        <v>986898</v>
      </c>
      <c r="Q53" s="21">
        <f>MU!Q53+UMKC!Q53+'S&amp;T'!Q53+UMSL!Q53</f>
        <v>1094369</v>
      </c>
      <c r="R53" s="21">
        <f>MU!R53+UMKC!R53+'S&amp;T'!R53+UMSL!R53</f>
        <v>1023819</v>
      </c>
      <c r="S53" s="21">
        <f>MU!S53+UMKC!S53+'S&amp;T'!S53+UMSL!S53</f>
        <v>1110200</v>
      </c>
      <c r="T53" s="21">
        <f>MU!T53+UMKC!T53+'S&amp;T'!T53+UMSL!T53</f>
        <v>1053639</v>
      </c>
      <c r="U53" s="21">
        <f>MU!U53+UMKC!U53+'S&amp;T'!U53+UMSL!U53</f>
        <v>1173341</v>
      </c>
      <c r="V53" s="21">
        <f>MU!V53+UMKC!V53+'S&amp;T'!V53+UMSL!V53</f>
        <v>943917</v>
      </c>
      <c r="W53" s="21">
        <f>MU!W53+UMKC!W53+'S&amp;T'!W53+UMSL!W53</f>
        <v>823913</v>
      </c>
      <c r="X53" s="21">
        <f>MU!X53+UMKC!X53+'S&amp;T'!X53+UMSL!X53</f>
        <v>534933</v>
      </c>
      <c r="Y53" s="21">
        <f>MU!Y53+UMKC!Y53+'S&amp;T'!Y53+UMSL!Y53</f>
        <v>474649</v>
      </c>
      <c r="Z53" s="21">
        <f>MU!Z53+UMKC!Z53+'S&amp;T'!Z53+UMSL!Z53</f>
        <v>548016</v>
      </c>
      <c r="AA53" s="21">
        <f>MU!AA53+UMKC!AA53+'S&amp;T'!AA53+UMSL!AA53</f>
        <v>660273</v>
      </c>
      <c r="AB53" s="21">
        <f>MU!AB53+UMKC!AB53+'S&amp;T'!AB53+UMSL!AB53</f>
        <v>619915</v>
      </c>
      <c r="AC53" s="21">
        <f>MU!AC53+UMKC!AC53+'S&amp;T'!AC53+UMSL!AC53</f>
        <v>477824</v>
      </c>
      <c r="AD53" s="21">
        <f>MU!AD53+UMKC!AD53+'S&amp;T'!AD53+UMSL!AD53</f>
        <v>445773</v>
      </c>
      <c r="AE53" s="21">
        <f>MU!AE53+UMKC!AE53+'S&amp;T'!AE53+UMSL!AE53</f>
        <v>524942</v>
      </c>
      <c r="AF53" s="21">
        <f>MU!AF53+UMKC!AF53+'S&amp;T'!AF53+UMSL!AF53</f>
        <v>598549</v>
      </c>
      <c r="AG53" s="21">
        <f>MU!AG53+UMKC!AG53+'S&amp;T'!AG53+UMSL!AG53</f>
        <v>736303</v>
      </c>
      <c r="AH53" s="21">
        <f>MU!AH53+UMKC!AH53+'S&amp;T'!AH53+UMSL!AH53</f>
        <v>844514</v>
      </c>
      <c r="AI53" s="21">
        <f>MU!AI53+UMKC!AI53+'S&amp;T'!AI53+UMSL!AI53</f>
        <v>861099</v>
      </c>
      <c r="AJ53" s="21">
        <f>MU!AJ53+UMKC!AJ53+'S&amp;T'!AJ53+UMSL!AJ53</f>
        <v>1463327</v>
      </c>
      <c r="AK53" s="21">
        <f>MU!AK53+UMKC!AK53+'S&amp;T'!AK53+UMSL!AK53</f>
        <v>1865565</v>
      </c>
      <c r="AL53" s="17"/>
    </row>
    <row r="54" spans="1:38" ht="13.5" customHeight="1" x14ac:dyDescent="0.2">
      <c r="A54" s="15"/>
      <c r="D54" s="1" t="s">
        <v>28</v>
      </c>
      <c r="E54" s="23"/>
      <c r="F54" s="24">
        <f>MU!F54+UMKC!F54+'S&amp;T'!F54+UMSL!F54</f>
        <v>0</v>
      </c>
      <c r="G54" s="24">
        <f>MU!G54+UMKC!G54+'S&amp;T'!G54+UMSL!G54</f>
        <v>0</v>
      </c>
      <c r="H54" s="24"/>
      <c r="I54" s="24">
        <f>MU!I54+UMKC!I54+'S&amp;T'!I54+UMSL!I54</f>
        <v>0</v>
      </c>
      <c r="J54" s="24">
        <f>MU!J54+UMKC!J54+'S&amp;T'!J54+UMSL!J54</f>
        <v>0</v>
      </c>
      <c r="K54" s="24">
        <f>MU!K54+UMKC!K54+'S&amp;T'!K54+UMSL!K54</f>
        <v>0</v>
      </c>
      <c r="L54" s="24">
        <f>MU!L54+UMKC!L54+'S&amp;T'!L54+UMSL!L54</f>
        <v>0</v>
      </c>
      <c r="M54" s="24">
        <f>MU!M54+UMKC!M54+'S&amp;T'!M54+UMSL!M54</f>
        <v>0</v>
      </c>
      <c r="N54" s="24">
        <f>MU!N54+UMKC!N54+'S&amp;T'!N54+UMSL!N54</f>
        <v>0</v>
      </c>
      <c r="O54" s="24">
        <f>MU!O54+UMKC!O54+'S&amp;T'!O54+UMSL!O54</f>
        <v>0</v>
      </c>
      <c r="P54" s="24">
        <f>MU!P54+UMKC!P54+'S&amp;T'!P54+UMSL!P54</f>
        <v>0</v>
      </c>
      <c r="Q54" s="24">
        <f>MU!Q54+UMKC!Q54+'S&amp;T'!Q54+UMSL!Q54</f>
        <v>0</v>
      </c>
      <c r="R54" s="24">
        <f>MU!R54+UMKC!R54+'S&amp;T'!R54+UMSL!R54</f>
        <v>0</v>
      </c>
      <c r="S54" s="24">
        <f>MU!S54+UMKC!S54+'S&amp;T'!S54+UMSL!S54</f>
        <v>0</v>
      </c>
      <c r="T54" s="24">
        <f>MU!T54+UMKC!T54+'S&amp;T'!T54+UMSL!T54</f>
        <v>0</v>
      </c>
      <c r="U54" s="24">
        <f>MU!U54+UMKC!U54+'S&amp;T'!U54+UMSL!U54</f>
        <v>0</v>
      </c>
      <c r="V54" s="24">
        <f>MU!V54+UMKC!V54+'S&amp;T'!V54+UMSL!V54</f>
        <v>352500</v>
      </c>
      <c r="W54" s="24">
        <f>MU!W54+UMKC!W54+'S&amp;T'!W54+UMSL!W54</f>
        <v>240000</v>
      </c>
      <c r="X54" s="24">
        <f>MU!X54+UMKC!X54+'S&amp;T'!X54+UMSL!X54</f>
        <v>240000</v>
      </c>
      <c r="Y54" s="24">
        <f>MU!Y54+UMKC!Y54+'S&amp;T'!Y54+UMSL!Y54</f>
        <v>120000</v>
      </c>
      <c r="Z54" s="24">
        <f>MU!Z54+UMKC!Z54+'S&amp;T'!Z54+UMSL!Z54</f>
        <v>120000</v>
      </c>
      <c r="AA54" s="24">
        <f>MU!AA54+UMKC!AA54+'S&amp;T'!AA54+UMSL!AA54</f>
        <v>85000</v>
      </c>
      <c r="AB54" s="24">
        <f>MU!AB54+UMKC!AB54+'S&amp;T'!AB54+UMSL!AB54</f>
        <v>60000</v>
      </c>
      <c r="AC54" s="24">
        <f>MU!AC54+UMKC!AC54+'S&amp;T'!AC54+UMSL!AC54</f>
        <v>0</v>
      </c>
      <c r="AD54" s="24">
        <f>MU!AD54+UMKC!AD54+'S&amp;T'!AD54+UMSL!AD54</f>
        <v>0</v>
      </c>
      <c r="AE54" s="24">
        <f>MU!AE54+UMKC!AE54+'S&amp;T'!AE54+UMSL!AE54</f>
        <v>0</v>
      </c>
      <c r="AF54" s="24">
        <f>MU!AF54+UMKC!AF54+'S&amp;T'!AF54+UMSL!AF54</f>
        <v>0</v>
      </c>
      <c r="AG54" s="24">
        <f>MU!AG54+UMKC!AG54+'S&amp;T'!AG54+UMSL!AG54</f>
        <v>0</v>
      </c>
      <c r="AH54" s="24">
        <f>MU!AH54+UMKC!AH54+'S&amp;T'!AH54+UMSL!AH54</f>
        <v>0</v>
      </c>
      <c r="AI54" s="24">
        <f>MU!AI54+UMKC!AI54+'S&amp;T'!AI54+UMSL!AI54</f>
        <v>0</v>
      </c>
      <c r="AJ54" s="24">
        <f>MU!AJ54+UMKC!AJ54+'S&amp;T'!AJ54+UMSL!AJ54</f>
        <v>0</v>
      </c>
      <c r="AK54" s="24">
        <f>MU!AK54+UMKC!AK54+'S&amp;T'!AK54+UMSL!AK54</f>
        <v>0</v>
      </c>
      <c r="AL54" s="17"/>
    </row>
    <row r="55" spans="1:38" ht="13.5" customHeight="1" x14ac:dyDescent="0.2">
      <c r="A55" s="15"/>
      <c r="E55" s="21"/>
      <c r="F55" s="21">
        <f t="shared" ref="F55:G55" si="144">SUM(F53:F54)</f>
        <v>332086</v>
      </c>
      <c r="G55" s="21">
        <f t="shared" si="144"/>
        <v>518582</v>
      </c>
      <c r="H55" s="21"/>
      <c r="I55" s="21">
        <f t="shared" ref="I55:L55" si="145">SUM(I53:I54)</f>
        <v>493971</v>
      </c>
      <c r="J55" s="21">
        <f t="shared" si="145"/>
        <v>614745</v>
      </c>
      <c r="K55" s="21">
        <f t="shared" si="145"/>
        <v>854839</v>
      </c>
      <c r="L55" s="21">
        <f t="shared" si="145"/>
        <v>599844</v>
      </c>
      <c r="M55" s="21">
        <f t="shared" ref="M55:O55" si="146">SUM(M53:M54)</f>
        <v>731685</v>
      </c>
      <c r="N55" s="21">
        <f t="shared" si="146"/>
        <v>1164622</v>
      </c>
      <c r="O55" s="21">
        <f t="shared" si="146"/>
        <v>740519</v>
      </c>
      <c r="P55" s="21">
        <f t="shared" ref="P55" si="147">SUM(P53:P54)</f>
        <v>986898</v>
      </c>
      <c r="Q55" s="21">
        <f t="shared" ref="Q55:AA55" si="148">SUM(Q53:Q54)</f>
        <v>1094369</v>
      </c>
      <c r="R55" s="21">
        <f t="shared" si="148"/>
        <v>1023819</v>
      </c>
      <c r="S55" s="21">
        <f t="shared" si="148"/>
        <v>1110200</v>
      </c>
      <c r="T55" s="21">
        <f t="shared" si="148"/>
        <v>1053639</v>
      </c>
      <c r="U55" s="21">
        <f t="shared" si="148"/>
        <v>1173341</v>
      </c>
      <c r="V55" s="21">
        <f t="shared" ref="V55:Z55" si="149">SUM(V53:V54)</f>
        <v>1296417</v>
      </c>
      <c r="W55" s="21">
        <f t="shared" si="149"/>
        <v>1063913</v>
      </c>
      <c r="X55" s="21">
        <f t="shared" si="149"/>
        <v>774933</v>
      </c>
      <c r="Y55" s="21">
        <f t="shared" si="149"/>
        <v>594649</v>
      </c>
      <c r="Z55" s="21">
        <f t="shared" si="149"/>
        <v>668016</v>
      </c>
      <c r="AA55" s="21">
        <f t="shared" si="148"/>
        <v>745273</v>
      </c>
      <c r="AB55" s="21">
        <f t="shared" ref="AB55" si="150">SUM(AB53:AB54)</f>
        <v>679915</v>
      </c>
      <c r="AC55" s="21">
        <f t="shared" ref="AC55:AD55" si="151">SUM(AC53:AC54)</f>
        <v>477824</v>
      </c>
      <c r="AD55" s="21">
        <f t="shared" si="151"/>
        <v>445773</v>
      </c>
      <c r="AE55" s="21">
        <f t="shared" ref="AE55:AF55" si="152">SUM(AE53:AE54)</f>
        <v>524942</v>
      </c>
      <c r="AF55" s="21">
        <f t="shared" si="152"/>
        <v>598549</v>
      </c>
      <c r="AG55" s="21">
        <f t="shared" ref="AG55:AH55" si="153">SUM(AG53:AG54)</f>
        <v>736303</v>
      </c>
      <c r="AH55" s="21">
        <f t="shared" si="153"/>
        <v>844514</v>
      </c>
      <c r="AI55" s="21">
        <f t="shared" ref="AI55:AJ55" si="154">SUM(AI53:AI54)</f>
        <v>861099</v>
      </c>
      <c r="AJ55" s="21">
        <f t="shared" si="154"/>
        <v>1463327</v>
      </c>
      <c r="AK55" s="21">
        <f t="shared" ref="AK55" si="155">SUM(AK53:AK54)</f>
        <v>1865565</v>
      </c>
      <c r="AL55" s="17"/>
    </row>
    <row r="56" spans="1:38" ht="13.5" hidden="1" customHeight="1" x14ac:dyDescent="0.2">
      <c r="A56" s="15"/>
      <c r="D56" s="26"/>
      <c r="E56" s="27"/>
      <c r="F56" s="28">
        <f>MU!F56+UMKC!F56+'S&amp;T'!F56+UMSL!F56</f>
        <v>0</v>
      </c>
      <c r="G56" s="28">
        <f>MU!G56+UMKC!G56+'S&amp;T'!G56+UMSL!G56</f>
        <v>0</v>
      </c>
      <c r="H56" s="30"/>
      <c r="I56" s="28">
        <f>MU!I56+UMKC!I56+'S&amp;T'!I56+UMSL!I56</f>
        <v>0</v>
      </c>
      <c r="J56" s="28">
        <f>MU!J56+UMKC!J56+'S&amp;T'!J56+UMSL!J56</f>
        <v>0</v>
      </c>
      <c r="K56" s="28">
        <f>MU!K56+UMKC!K56+'S&amp;T'!K56+UMSL!K56</f>
        <v>0</v>
      </c>
      <c r="L56" s="28">
        <f>MU!L56+UMKC!L56+'S&amp;T'!L56+UMSL!L56</f>
        <v>0</v>
      </c>
      <c r="M56" s="28">
        <f>MU!M56+UMKC!M56+'S&amp;T'!M56+UMSL!M56</f>
        <v>0</v>
      </c>
      <c r="N56" s="28">
        <f>MU!N56+UMKC!N56+'S&amp;T'!N56+UMSL!N56</f>
        <v>0</v>
      </c>
      <c r="O56" s="28">
        <f>MU!O56+UMKC!O56+'S&amp;T'!O56+UMSL!O56</f>
        <v>0</v>
      </c>
      <c r="P56" s="28">
        <f>MU!P56+UMKC!P56+'S&amp;T'!P56+UMSL!P56</f>
        <v>0</v>
      </c>
      <c r="Q56" s="28">
        <f>MU!Q56+UMKC!Q56+'S&amp;T'!Q56+UMSL!Q56</f>
        <v>0</v>
      </c>
      <c r="R56" s="28">
        <f>MU!R56+UMKC!R56+'S&amp;T'!R56+UMSL!R56</f>
        <v>0</v>
      </c>
      <c r="S56" s="28">
        <f>MU!S56+UMKC!S56+'S&amp;T'!S56+UMSL!S56</f>
        <v>0</v>
      </c>
      <c r="T56" s="28">
        <f>MU!T56+UMKC!T56+'S&amp;T'!T56+UMSL!T56</f>
        <v>0</v>
      </c>
      <c r="U56" s="28">
        <f>MU!U56+UMKC!U56+'S&amp;T'!U56+UMSL!U56</f>
        <v>-1000</v>
      </c>
      <c r="V56" s="28">
        <f>MU!V56+UMKC!V56+'S&amp;T'!V56+UMSL!V56</f>
        <v>-1500</v>
      </c>
      <c r="W56" s="28">
        <f>MU!W56+UMKC!W56+'S&amp;T'!W56+UMSL!W56</f>
        <v>0</v>
      </c>
      <c r="X56" s="28">
        <f>MU!X56+UMKC!X56+'S&amp;T'!X56+UMSL!X56</f>
        <v>0</v>
      </c>
      <c r="Y56" s="28">
        <f>MU!Y56+UMKC!Y56+'S&amp;T'!Y56+UMSL!Y56</f>
        <v>0</v>
      </c>
      <c r="Z56" s="28">
        <f>MU!Z56+UMKC!Z56+'S&amp;T'!Z56+UMSL!Z56</f>
        <v>0</v>
      </c>
      <c r="AA56" s="28">
        <f>MU!AA56+UMKC!AA56+'S&amp;T'!AA56+UMSL!AA56</f>
        <v>0</v>
      </c>
      <c r="AB56" s="28">
        <f>MU!AB56+UMKC!AB56+'S&amp;T'!AB56+UMSL!AB56</f>
        <v>0</v>
      </c>
      <c r="AC56" s="28">
        <f>MU!AC56+UMKC!AC56+'S&amp;T'!AC56+UMSL!AC56</f>
        <v>0</v>
      </c>
      <c r="AD56" s="28">
        <f>MU!AD56+UMKC!AD56+'S&amp;T'!AD56+UMSL!AD56</f>
        <v>0</v>
      </c>
      <c r="AE56" s="28">
        <f>MU!AE56+UMKC!AE56+'S&amp;T'!AE56+UMSL!AE56</f>
        <v>0</v>
      </c>
      <c r="AF56" s="28">
        <f>MU!AF56+UMKC!AF56+'S&amp;T'!AF56+UMSL!AF56</f>
        <v>0</v>
      </c>
      <c r="AG56" s="28">
        <f>MU!AG56+UMKC!AG56+'S&amp;T'!AG56+UMSL!AG56</f>
        <v>0</v>
      </c>
      <c r="AH56" s="28">
        <f>MU!AH56+UMKC!AH56+'S&amp;T'!AH56+UMSL!AH56</f>
        <v>0</v>
      </c>
      <c r="AI56" s="28">
        <f>MU!AI56+UMKC!AI56+'S&amp;T'!AI56+UMSL!AI56</f>
        <v>0</v>
      </c>
      <c r="AJ56" s="28">
        <f>MU!AJ56+UMKC!AJ56+'S&amp;T'!AJ56+UMSL!AJ56</f>
        <v>0</v>
      </c>
      <c r="AK56" s="28">
        <f>MU!AK56+UMKC!AK56+'S&amp;T'!AK56+UMSL!AK56</f>
        <v>0</v>
      </c>
      <c r="AL56" s="17"/>
    </row>
    <row r="57" spans="1:38" ht="13.5" customHeight="1" x14ac:dyDescent="0.2">
      <c r="A57" s="3"/>
      <c r="D57" s="26"/>
      <c r="E57" s="27" t="s">
        <v>30</v>
      </c>
      <c r="F57" s="29">
        <f t="shared" ref="F57:G57" si="156">SUM(F55:F56)</f>
        <v>332086</v>
      </c>
      <c r="G57" s="29">
        <f t="shared" si="156"/>
        <v>518582</v>
      </c>
      <c r="H57" s="29"/>
      <c r="I57" s="29">
        <f t="shared" ref="I57:L57" si="157">SUM(I55:I56)</f>
        <v>493971</v>
      </c>
      <c r="J57" s="29">
        <f t="shared" si="157"/>
        <v>614745</v>
      </c>
      <c r="K57" s="29">
        <f t="shared" si="157"/>
        <v>854839</v>
      </c>
      <c r="L57" s="29">
        <f t="shared" si="157"/>
        <v>599844</v>
      </c>
      <c r="M57" s="29">
        <f t="shared" ref="M57:O57" si="158">SUM(M55:M56)</f>
        <v>731685</v>
      </c>
      <c r="N57" s="29">
        <f t="shared" si="158"/>
        <v>1164622</v>
      </c>
      <c r="O57" s="29">
        <f t="shared" si="158"/>
        <v>740519</v>
      </c>
      <c r="P57" s="29">
        <f t="shared" ref="P57" si="159">SUM(P55:P56)</f>
        <v>986898</v>
      </c>
      <c r="Q57" s="29">
        <f t="shared" ref="Q57:AA57" si="160">SUM(Q55:Q56)</f>
        <v>1094369</v>
      </c>
      <c r="R57" s="29">
        <f t="shared" si="160"/>
        <v>1023819</v>
      </c>
      <c r="S57" s="29">
        <f t="shared" si="160"/>
        <v>1110200</v>
      </c>
      <c r="T57" s="29">
        <f t="shared" si="160"/>
        <v>1053639</v>
      </c>
      <c r="U57" s="29">
        <f t="shared" si="160"/>
        <v>1172341</v>
      </c>
      <c r="V57" s="29">
        <f t="shared" ref="V57:Z57" si="161">SUM(V55:V56)</f>
        <v>1294917</v>
      </c>
      <c r="W57" s="29">
        <f t="shared" si="161"/>
        <v>1063913</v>
      </c>
      <c r="X57" s="29">
        <f t="shared" si="161"/>
        <v>774933</v>
      </c>
      <c r="Y57" s="29">
        <f t="shared" si="161"/>
        <v>594649</v>
      </c>
      <c r="Z57" s="29">
        <f t="shared" si="161"/>
        <v>668016</v>
      </c>
      <c r="AA57" s="29">
        <f t="shared" si="160"/>
        <v>745273</v>
      </c>
      <c r="AB57" s="29">
        <f t="shared" ref="AB57" si="162">SUM(AB55:AB56)</f>
        <v>679915</v>
      </c>
      <c r="AC57" s="29">
        <f t="shared" ref="AC57:AD57" si="163">SUM(AC55:AC56)</f>
        <v>477824</v>
      </c>
      <c r="AD57" s="29">
        <f t="shared" si="163"/>
        <v>445773</v>
      </c>
      <c r="AE57" s="29">
        <f t="shared" ref="AE57:AF57" si="164">SUM(AE55:AE56)</f>
        <v>524942</v>
      </c>
      <c r="AF57" s="29">
        <f t="shared" si="164"/>
        <v>598549</v>
      </c>
      <c r="AG57" s="29">
        <f t="shared" ref="AG57:AH57" si="165">SUM(AG55:AG56)</f>
        <v>736303</v>
      </c>
      <c r="AH57" s="29">
        <f t="shared" si="165"/>
        <v>844514</v>
      </c>
      <c r="AI57" s="29">
        <f t="shared" ref="AI57:AJ57" si="166">SUM(AI55:AI56)</f>
        <v>861099</v>
      </c>
      <c r="AJ57" s="29">
        <f t="shared" si="166"/>
        <v>1463327</v>
      </c>
      <c r="AK57" s="29">
        <f t="shared" ref="AK57" si="167">SUM(AK55:AK56)</f>
        <v>1865565</v>
      </c>
      <c r="AL57" s="5"/>
    </row>
    <row r="58" spans="1:38" ht="13.5" customHeight="1" x14ac:dyDescent="0.2">
      <c r="A58" s="15"/>
      <c r="C58" s="2" t="s">
        <v>32</v>
      </c>
      <c r="D58" s="2"/>
      <c r="E58" s="21"/>
      <c r="AL58" s="17"/>
    </row>
    <row r="59" spans="1:38" ht="13.5" customHeight="1" x14ac:dyDescent="0.2">
      <c r="A59" s="15"/>
      <c r="D59" s="1" t="s">
        <v>27</v>
      </c>
      <c r="E59" s="21"/>
      <c r="F59" s="21">
        <f>MU!F59+UMKC!F59+'S&amp;T'!F59+UMSL!F59</f>
        <v>19342593</v>
      </c>
      <c r="G59" s="21">
        <f>MU!G59+UMKC!G59+'S&amp;T'!G59+UMSL!G59</f>
        <v>21283220</v>
      </c>
      <c r="H59" s="21"/>
      <c r="I59" s="21">
        <f>MU!I59+UMKC!I59+'S&amp;T'!I59+UMSL!I59</f>
        <v>28768966</v>
      </c>
      <c r="J59" s="21">
        <f>MU!J59+UMKC!J59+'S&amp;T'!J59+UMSL!J59</f>
        <v>29046547</v>
      </c>
      <c r="K59" s="21">
        <f>MU!K59+UMKC!K59+'S&amp;T'!K59+UMSL!K59</f>
        <v>31396715</v>
      </c>
      <c r="L59" s="21">
        <f>MU!L59+UMKC!L59+'S&amp;T'!L59+UMSL!L59</f>
        <v>33633242</v>
      </c>
      <c r="M59" s="21">
        <f>MU!M59+UMKC!M59+'S&amp;T'!M59+UMSL!M59</f>
        <v>38720219</v>
      </c>
      <c r="N59" s="21">
        <f>MU!N59+UMKC!N59+'S&amp;T'!N59+UMSL!N59</f>
        <v>41401832</v>
      </c>
      <c r="O59" s="21">
        <f>MU!O59+UMKC!O59+'S&amp;T'!O59+UMSL!O59</f>
        <v>45739373</v>
      </c>
      <c r="P59" s="21">
        <f>MU!P59+UMKC!P59+'S&amp;T'!P59+UMSL!P59</f>
        <v>50213406</v>
      </c>
      <c r="Q59" s="21">
        <f>MU!Q59+UMKC!Q59+'S&amp;T'!Q59+UMSL!Q59</f>
        <v>54491671</v>
      </c>
      <c r="R59" s="21">
        <f>MU!R59+UMKC!R59+'S&amp;T'!R59+UMSL!R59</f>
        <v>54602609</v>
      </c>
      <c r="S59" s="21">
        <f>MU!S59+UMKC!S59+'S&amp;T'!S59+UMSL!S59</f>
        <v>57609084</v>
      </c>
      <c r="T59" s="21">
        <f>MU!T59+UMKC!T59+'S&amp;T'!T59+UMSL!T59</f>
        <v>62244610</v>
      </c>
      <c r="U59" s="21">
        <f>MU!U59+UMKC!U59+'S&amp;T'!U59+UMSL!U59</f>
        <v>67488139</v>
      </c>
      <c r="V59" s="21">
        <f>MU!V59+UMKC!V59+'S&amp;T'!V59+UMSL!V59</f>
        <v>74635012</v>
      </c>
      <c r="W59" s="21">
        <f>MU!W59+UMKC!W59+'S&amp;T'!W59+UMSL!W59</f>
        <v>69590816</v>
      </c>
      <c r="X59" s="21">
        <f>MU!X59+UMKC!X59+'S&amp;T'!X59+UMSL!X59</f>
        <v>71322953</v>
      </c>
      <c r="Y59" s="21">
        <f>MU!Y59+UMKC!Y59+'S&amp;T'!Y59+UMSL!Y59</f>
        <v>77623868</v>
      </c>
      <c r="Z59" s="21">
        <f>MU!Z59+UMKC!Z59+'S&amp;T'!Z59+UMSL!Z59</f>
        <v>78799013</v>
      </c>
      <c r="AA59" s="21">
        <f>MU!AA59+UMKC!AA59+'S&amp;T'!AA59+UMSL!AA59</f>
        <v>80430932</v>
      </c>
      <c r="AB59" s="21">
        <f>MU!AB59+UMKC!AB59+'S&amp;T'!AB59+UMSL!AB59</f>
        <v>83572046</v>
      </c>
      <c r="AC59" s="21">
        <f>MU!AC59+UMKC!AC59+'S&amp;T'!AC59+UMSL!AC59</f>
        <v>88096753</v>
      </c>
      <c r="AD59" s="21">
        <f>MU!AD59+UMKC!AD59+'S&amp;T'!AD59+UMSL!AD59</f>
        <v>89503176</v>
      </c>
      <c r="AE59" s="21">
        <f>MU!AE59+UMKC!AE59+'S&amp;T'!AE59+UMSL!AE59</f>
        <v>90163880</v>
      </c>
      <c r="AF59" s="21">
        <f>MU!AF59+UMKC!AF59+'S&amp;T'!AF59+UMSL!AF59</f>
        <v>91776521</v>
      </c>
      <c r="AG59" s="21">
        <f>MU!AG59+UMKC!AG59+'S&amp;T'!AG59+UMSL!AG59</f>
        <v>98606884</v>
      </c>
      <c r="AH59" s="21">
        <f>MU!AH59+UMKC!AH59+'S&amp;T'!AH59+UMSL!AH59</f>
        <v>95867635</v>
      </c>
      <c r="AI59" s="21">
        <f>MU!AI59+UMKC!AI59+'S&amp;T'!AI59+UMSL!AI59</f>
        <v>106864376</v>
      </c>
      <c r="AJ59" s="21">
        <f>MU!AJ59+UMKC!AJ59+'S&amp;T'!AJ59+UMSL!AJ59</f>
        <v>109474649</v>
      </c>
      <c r="AK59" s="21">
        <f>MU!AK59+UMKC!AK59+'S&amp;T'!AK59+UMSL!AK59</f>
        <v>114062130</v>
      </c>
      <c r="AL59" s="17"/>
    </row>
    <row r="60" spans="1:38" ht="13.5" customHeight="1" x14ac:dyDescent="0.2">
      <c r="A60" s="15"/>
      <c r="D60" s="1" t="s">
        <v>28</v>
      </c>
      <c r="E60" s="23"/>
      <c r="F60" s="23">
        <f>MU!F60+UMKC!F60+'S&amp;T'!F60+UMSL!F60</f>
        <v>571219</v>
      </c>
      <c r="G60" s="23">
        <f>MU!G60+UMKC!G60+'S&amp;T'!G60+UMSL!G60</f>
        <v>609359</v>
      </c>
      <c r="H60" s="23"/>
      <c r="I60" s="23">
        <f>MU!I60+UMKC!I60+'S&amp;T'!I60+UMSL!I60</f>
        <v>773201</v>
      </c>
      <c r="J60" s="23">
        <f>MU!J60+UMKC!J60+'S&amp;T'!J60+UMSL!J60</f>
        <v>1008777</v>
      </c>
      <c r="K60" s="23">
        <f>MU!K60+UMKC!K60+'S&amp;T'!K60+UMSL!K60</f>
        <v>791912</v>
      </c>
      <c r="L60" s="23">
        <f>MU!L60+UMKC!L60+'S&amp;T'!L60+UMSL!L60</f>
        <v>576671</v>
      </c>
      <c r="M60" s="23">
        <f>MU!M60+UMKC!M60+'S&amp;T'!M60+UMSL!M60</f>
        <v>756686</v>
      </c>
      <c r="N60" s="23">
        <f>MU!N60+UMKC!N60+'S&amp;T'!N60+UMSL!N60</f>
        <v>623214</v>
      </c>
      <c r="O60" s="23">
        <f>MU!O60+UMKC!O60+'S&amp;T'!O60+UMSL!O60</f>
        <v>550539</v>
      </c>
      <c r="P60" s="23">
        <f>MU!P60+UMKC!P60+'S&amp;T'!P60+UMSL!P60</f>
        <v>481169</v>
      </c>
      <c r="Q60" s="23">
        <f>MU!Q60+UMKC!Q60+'S&amp;T'!Q60+UMSL!Q60</f>
        <v>765489</v>
      </c>
      <c r="R60" s="23">
        <f>MU!R60+UMKC!R60+'S&amp;T'!R60+UMSL!R60</f>
        <v>760931</v>
      </c>
      <c r="S60" s="23">
        <f>MU!S60+UMKC!S60+'S&amp;T'!S60+UMSL!S60</f>
        <v>1030668</v>
      </c>
      <c r="T60" s="23">
        <f>MU!T60+UMKC!T60+'S&amp;T'!T60+UMSL!T60</f>
        <v>879720</v>
      </c>
      <c r="U60" s="23">
        <f>MU!U60+UMKC!U60+'S&amp;T'!U60+UMSL!U60</f>
        <v>362337</v>
      </c>
      <c r="V60" s="23">
        <f>MU!V60+UMKC!V60+'S&amp;T'!V60+UMSL!V60</f>
        <v>339243</v>
      </c>
      <c r="W60" s="23">
        <f>MU!W60+UMKC!W60+'S&amp;T'!W60+UMSL!W60</f>
        <v>394432</v>
      </c>
      <c r="X60" s="23">
        <f>MU!X60+UMKC!X60+'S&amp;T'!X60+UMSL!X60</f>
        <v>349440</v>
      </c>
      <c r="Y60" s="23">
        <f>MU!Y60+UMKC!Y60+'S&amp;T'!Y60+UMSL!Y60</f>
        <v>435257</v>
      </c>
      <c r="Z60" s="23">
        <f>MU!Z60+UMKC!Z60+'S&amp;T'!Z60+UMSL!Z60</f>
        <v>296226</v>
      </c>
      <c r="AA60" s="23">
        <f>MU!AA60+UMKC!AA60+'S&amp;T'!AA60+UMSL!AA60</f>
        <v>282657</v>
      </c>
      <c r="AB60" s="23">
        <f>MU!AB60+UMKC!AB60+'S&amp;T'!AB60+UMSL!AB60</f>
        <v>326829</v>
      </c>
      <c r="AC60" s="23">
        <f>MU!AC60+UMKC!AC60+'S&amp;T'!AC60+UMSL!AC60</f>
        <v>369105</v>
      </c>
      <c r="AD60" s="23">
        <f>MU!AD60+UMKC!AD60+'S&amp;T'!AD60+UMSL!AD60</f>
        <v>338771</v>
      </c>
      <c r="AE60" s="23">
        <f>MU!AE60+UMKC!AE60+'S&amp;T'!AE60+UMSL!AE60</f>
        <v>408302</v>
      </c>
      <c r="AF60" s="23">
        <f>MU!AF60+UMKC!AF60+'S&amp;T'!AF60+UMSL!AF60</f>
        <v>398540</v>
      </c>
      <c r="AG60" s="23">
        <f>MU!AG60+UMKC!AG60+'S&amp;T'!AG60+UMSL!AG60</f>
        <v>353334</v>
      </c>
      <c r="AH60" s="23">
        <f>MU!AH60+UMKC!AH60+'S&amp;T'!AH60+UMSL!AH60</f>
        <v>290083</v>
      </c>
      <c r="AI60" s="23">
        <f>MU!AI60+UMKC!AI60+'S&amp;T'!AI60+UMSL!AI60</f>
        <v>273413</v>
      </c>
      <c r="AJ60" s="23">
        <f>MU!AJ60+UMKC!AJ60+'S&amp;T'!AJ60+UMSL!AJ60</f>
        <v>462706</v>
      </c>
      <c r="AK60" s="23">
        <f>MU!AK60+UMKC!AK60+'S&amp;T'!AK60+UMSL!AK60</f>
        <v>466778</v>
      </c>
      <c r="AL60" s="17"/>
    </row>
    <row r="61" spans="1:38" ht="13.5" customHeight="1" x14ac:dyDescent="0.2">
      <c r="A61" s="15"/>
      <c r="D61" s="1" t="s">
        <v>29</v>
      </c>
      <c r="E61" s="23"/>
      <c r="F61" s="24">
        <f>MU!F61+UMKC!F61+'S&amp;T'!F61+UMSL!F61</f>
        <v>23585340</v>
      </c>
      <c r="G61" s="24">
        <f>MU!G61+UMKC!G61+'S&amp;T'!G61+UMSL!G61</f>
        <v>25047392</v>
      </c>
      <c r="H61" s="24"/>
      <c r="I61" s="24">
        <f>MU!I61+UMKC!I61+'S&amp;T'!I61+UMSL!I61</f>
        <v>24204163</v>
      </c>
      <c r="J61" s="24">
        <f>MU!J61+UMKC!J61+'S&amp;T'!J61+UMSL!J61</f>
        <v>25132717</v>
      </c>
      <c r="K61" s="24">
        <f>MU!K61+UMKC!K61+'S&amp;T'!K61+UMSL!K61</f>
        <v>26914840</v>
      </c>
      <c r="L61" s="24">
        <f>MU!L61+UMKC!L61+'S&amp;T'!L61+UMSL!L61</f>
        <v>26877280</v>
      </c>
      <c r="M61" s="24">
        <f>MU!M61+UMKC!M61+'S&amp;T'!M61+UMSL!M61</f>
        <v>30210903</v>
      </c>
      <c r="N61" s="24">
        <f>MU!N61+UMKC!N61+'S&amp;T'!N61+UMSL!N61</f>
        <v>31585410</v>
      </c>
      <c r="O61" s="24">
        <f>MU!O61+UMKC!O61+'S&amp;T'!O61+UMSL!O61</f>
        <v>28075266</v>
      </c>
      <c r="P61" s="24">
        <f>MU!P61+UMKC!P61+'S&amp;T'!P61+UMSL!P61</f>
        <v>25684517</v>
      </c>
      <c r="Q61" s="24">
        <f>MU!Q61+UMKC!Q61+'S&amp;T'!Q61+UMSL!Q61</f>
        <v>35414725</v>
      </c>
      <c r="R61" s="24">
        <f>MU!R61+UMKC!R61+'S&amp;T'!R61+UMSL!R61</f>
        <v>39889732</v>
      </c>
      <c r="S61" s="24">
        <f>MU!S61+UMKC!S61+'S&amp;T'!S61+UMSL!S61</f>
        <v>34690035</v>
      </c>
      <c r="T61" s="24">
        <f>MU!T61+UMKC!T61+'S&amp;T'!T61+UMSL!T61</f>
        <v>40677815</v>
      </c>
      <c r="U61" s="24">
        <f>MU!U61+UMKC!U61+'S&amp;T'!U61+UMSL!U61</f>
        <v>41216065</v>
      </c>
      <c r="V61" s="24">
        <f>MU!V61+UMKC!V61+'S&amp;T'!V61+UMSL!V61</f>
        <v>46909087</v>
      </c>
      <c r="W61" s="24">
        <f>MU!W61+UMKC!W61+'S&amp;T'!W61+UMSL!W61</f>
        <v>37392691</v>
      </c>
      <c r="X61" s="24">
        <f>MU!X61+UMKC!X61+'S&amp;T'!X61+UMSL!X61</f>
        <v>40822423</v>
      </c>
      <c r="Y61" s="24">
        <f>MU!Y61+UMKC!Y61+'S&amp;T'!Y61+UMSL!Y61</f>
        <v>40402590</v>
      </c>
      <c r="Z61" s="24">
        <f>MU!Z61+UMKC!Z61+'S&amp;T'!Z61+UMSL!Z61</f>
        <v>38200238</v>
      </c>
      <c r="AA61" s="24">
        <f>MU!AA61+UMKC!AA61+'S&amp;T'!AA61+UMSL!AA61</f>
        <v>42770646</v>
      </c>
      <c r="AB61" s="24">
        <f>MU!AB61+UMKC!AB61+'S&amp;T'!AB61+UMSL!AB61</f>
        <v>43101464</v>
      </c>
      <c r="AC61" s="24">
        <f>MU!AC61+UMKC!AC61+'S&amp;T'!AC61+UMSL!AC61</f>
        <v>63401363</v>
      </c>
      <c r="AD61" s="24">
        <f>MU!AD61+UMKC!AD61+'S&amp;T'!AD61+UMSL!AD61</f>
        <v>67852332</v>
      </c>
      <c r="AE61" s="24">
        <f>MU!AE61+UMKC!AE61+'S&amp;T'!AE61+UMSL!AE61</f>
        <v>65052199</v>
      </c>
      <c r="AF61" s="24">
        <f>MU!AF61+UMKC!AF61+'S&amp;T'!AF61+UMSL!AF61</f>
        <v>65130615</v>
      </c>
      <c r="AG61" s="24">
        <f>MU!AG61+UMKC!AG61+'S&amp;T'!AG61+UMSL!AG61</f>
        <v>64296386</v>
      </c>
      <c r="AH61" s="24">
        <f>MU!AH61+UMKC!AH61+'S&amp;T'!AH61+UMSL!AH61</f>
        <v>59673277</v>
      </c>
      <c r="AI61" s="24">
        <f>MU!AI61+UMKC!AI61+'S&amp;T'!AI61+UMSL!AI61</f>
        <v>54422537</v>
      </c>
      <c r="AJ61" s="24">
        <f>MU!AJ61+UMKC!AJ61+'S&amp;T'!AJ61+UMSL!AJ61</f>
        <v>58078916</v>
      </c>
      <c r="AK61" s="24">
        <f>MU!AK61+UMKC!AK61+'S&amp;T'!AK61+UMSL!AK61</f>
        <v>73885478</v>
      </c>
      <c r="AL61" s="17"/>
    </row>
    <row r="62" spans="1:38" ht="13.5" customHeight="1" x14ac:dyDescent="0.2">
      <c r="A62" s="15"/>
      <c r="E62" s="21"/>
      <c r="F62" s="21">
        <f t="shared" ref="F62:G62" si="168">SUM(F59:F61)</f>
        <v>43499152</v>
      </c>
      <c r="G62" s="21">
        <f t="shared" si="168"/>
        <v>46939971</v>
      </c>
      <c r="H62" s="21"/>
      <c r="I62" s="21">
        <f t="shared" ref="I62:L62" si="169">SUM(I59:I61)</f>
        <v>53746330</v>
      </c>
      <c r="J62" s="21">
        <f t="shared" si="169"/>
        <v>55188041</v>
      </c>
      <c r="K62" s="21">
        <f t="shared" si="169"/>
        <v>59103467</v>
      </c>
      <c r="L62" s="21">
        <f t="shared" si="169"/>
        <v>61087193</v>
      </c>
      <c r="M62" s="21">
        <f t="shared" ref="M62:O62" si="170">SUM(M59:M61)</f>
        <v>69687808</v>
      </c>
      <c r="N62" s="21">
        <f t="shared" si="170"/>
        <v>73610456</v>
      </c>
      <c r="O62" s="21">
        <f t="shared" si="170"/>
        <v>74365178</v>
      </c>
      <c r="P62" s="21">
        <f t="shared" ref="P62" si="171">SUM(P59:P61)</f>
        <v>76379092</v>
      </c>
      <c r="Q62" s="21">
        <f t="shared" ref="Q62:AA62" si="172">SUM(Q59:Q61)</f>
        <v>90671885</v>
      </c>
      <c r="R62" s="21">
        <f t="shared" si="172"/>
        <v>95253272</v>
      </c>
      <c r="S62" s="21">
        <f t="shared" si="172"/>
        <v>93329787</v>
      </c>
      <c r="T62" s="21">
        <f t="shared" si="172"/>
        <v>103802145</v>
      </c>
      <c r="U62" s="21">
        <f t="shared" si="172"/>
        <v>109066541</v>
      </c>
      <c r="V62" s="21">
        <f t="shared" ref="V62:Z62" si="173">SUM(V59:V61)</f>
        <v>121883342</v>
      </c>
      <c r="W62" s="21">
        <f t="shared" si="173"/>
        <v>107377939</v>
      </c>
      <c r="X62" s="21">
        <f t="shared" si="173"/>
        <v>112494816</v>
      </c>
      <c r="Y62" s="21">
        <f t="shared" si="173"/>
        <v>118461715</v>
      </c>
      <c r="Z62" s="21">
        <f t="shared" si="173"/>
        <v>117295477</v>
      </c>
      <c r="AA62" s="21">
        <f t="shared" si="172"/>
        <v>123484235</v>
      </c>
      <c r="AB62" s="21">
        <f t="shared" ref="AB62" si="174">SUM(AB59:AB61)</f>
        <v>127000339</v>
      </c>
      <c r="AC62" s="21">
        <f t="shared" ref="AC62:AD62" si="175">SUM(AC59:AC61)</f>
        <v>151867221</v>
      </c>
      <c r="AD62" s="21">
        <f t="shared" si="175"/>
        <v>157694279</v>
      </c>
      <c r="AE62" s="21">
        <f t="shared" ref="AE62:AF62" si="176">SUM(AE59:AE61)</f>
        <v>155624381</v>
      </c>
      <c r="AF62" s="21">
        <f t="shared" si="176"/>
        <v>157305676</v>
      </c>
      <c r="AG62" s="21">
        <f t="shared" ref="AG62:AH62" si="177">SUM(AG59:AG61)</f>
        <v>163256604</v>
      </c>
      <c r="AH62" s="21">
        <f t="shared" si="177"/>
        <v>155830995</v>
      </c>
      <c r="AI62" s="21">
        <f t="shared" ref="AI62:AJ62" si="178">SUM(AI59:AI61)</f>
        <v>161560326</v>
      </c>
      <c r="AJ62" s="21">
        <f t="shared" si="178"/>
        <v>168016271</v>
      </c>
      <c r="AK62" s="21">
        <f t="shared" ref="AK62" si="179">SUM(AK59:AK61)</f>
        <v>188414386</v>
      </c>
      <c r="AL62" s="17"/>
    </row>
    <row r="63" spans="1:38" ht="13.5" hidden="1" customHeight="1" x14ac:dyDescent="0.2">
      <c r="A63" s="15"/>
      <c r="D63" s="26"/>
      <c r="E63" s="27"/>
      <c r="F63" s="28">
        <f>MU!F63+UMKC!F63+'S&amp;T'!F63+UMSL!F63</f>
        <v>357437</v>
      </c>
      <c r="G63" s="28">
        <f>MU!G63+UMKC!G63+'S&amp;T'!G63+UMSL!G63</f>
        <v>130512</v>
      </c>
      <c r="H63" s="30"/>
      <c r="I63" s="28">
        <f>MU!I63+UMKC!I63+'S&amp;T'!I63+UMSL!I63</f>
        <v>277082</v>
      </c>
      <c r="J63" s="28">
        <f>MU!J63+UMKC!J63+'S&amp;T'!J63+UMSL!J63</f>
        <v>478498</v>
      </c>
      <c r="K63" s="28">
        <f>MU!K63+UMKC!K63+'S&amp;T'!K63+UMSL!K63</f>
        <v>335050</v>
      </c>
      <c r="L63" s="28">
        <f>MU!L63+UMKC!L63+'S&amp;T'!L63+UMSL!L63</f>
        <v>288710</v>
      </c>
      <c r="M63" s="28">
        <f>MU!M63+UMKC!M63+'S&amp;T'!M63+UMSL!M63</f>
        <v>344883</v>
      </c>
      <c r="N63" s="28">
        <f>MU!N63+UMKC!N63+'S&amp;T'!N63+UMSL!N63</f>
        <v>346633</v>
      </c>
      <c r="O63" s="28">
        <f>MU!O63+UMKC!O63+'S&amp;T'!O63+UMSL!O63</f>
        <v>374068</v>
      </c>
      <c r="P63" s="28">
        <f>MU!P63+UMKC!P63+'S&amp;T'!P63+UMSL!P63</f>
        <v>256184</v>
      </c>
      <c r="Q63" s="28">
        <f>MU!Q63+UMKC!Q63+'S&amp;T'!Q63+UMSL!Q63</f>
        <v>342320</v>
      </c>
      <c r="R63" s="28">
        <f>MU!R63+UMKC!R63+'S&amp;T'!R63+UMSL!R63</f>
        <v>318660</v>
      </c>
      <c r="S63" s="28">
        <f>MU!S63+UMKC!S63+'S&amp;T'!S63+UMSL!S63</f>
        <v>342089</v>
      </c>
      <c r="T63" s="28">
        <f>MU!T63+UMKC!T63+'S&amp;T'!T63+UMSL!T63</f>
        <v>297571</v>
      </c>
      <c r="U63" s="28">
        <f>MU!U63+UMKC!U63+'S&amp;T'!U63+UMSL!U63</f>
        <v>214857</v>
      </c>
      <c r="V63" s="28">
        <f>MU!V63+UMKC!V63+'S&amp;T'!V63+UMSL!V63</f>
        <v>136091</v>
      </c>
      <c r="W63" s="28">
        <f>MU!W63+UMKC!W63+'S&amp;T'!W63+UMSL!W63</f>
        <v>132292</v>
      </c>
      <c r="X63" s="28">
        <f>MU!X63+UMKC!X63+'S&amp;T'!X63+UMSL!X63</f>
        <v>169572</v>
      </c>
      <c r="Y63" s="28">
        <f>MU!Y63+UMKC!Y63+'S&amp;T'!Y63+UMSL!Y63</f>
        <v>256168</v>
      </c>
      <c r="Z63" s="28">
        <f>MU!Z63+UMKC!Z63+'S&amp;T'!Z63+UMSL!Z63</f>
        <v>195898</v>
      </c>
      <c r="AA63" s="28">
        <f>MU!AA63+UMKC!AA63+'S&amp;T'!AA63+UMSL!AA63</f>
        <v>237080</v>
      </c>
      <c r="AB63" s="28">
        <f>MU!AB63+UMKC!AB63+'S&amp;T'!AB63+UMSL!AB63</f>
        <v>179828</v>
      </c>
      <c r="AC63" s="28">
        <f>MU!AC63+UMKC!AC63+'S&amp;T'!AC63+UMSL!AC63</f>
        <v>123625</v>
      </c>
      <c r="AD63" s="28">
        <f>MU!AD63+UMKC!AD63+'S&amp;T'!AD63+UMSL!AD63</f>
        <v>75684</v>
      </c>
      <c r="AE63" s="28">
        <f>MU!AE63+UMKC!AE63+'S&amp;T'!AE63+UMSL!AE63</f>
        <v>90908</v>
      </c>
      <c r="AF63" s="28">
        <f>MU!AF63+UMKC!AF63+'S&amp;T'!AF63+UMSL!AF63</f>
        <v>65000</v>
      </c>
      <c r="AG63" s="28">
        <f>MU!AG63+UMKC!AG63+'S&amp;T'!AG63+UMSL!AG63</f>
        <v>63192</v>
      </c>
      <c r="AH63" s="28">
        <f>MU!AH63+UMKC!AH63+'S&amp;T'!AH63+UMSL!AH63</f>
        <v>64223</v>
      </c>
      <c r="AI63" s="28">
        <f>MU!AI63+UMKC!AI63+'S&amp;T'!AI63+UMSL!AI63</f>
        <v>26962</v>
      </c>
      <c r="AJ63" s="28">
        <f>MU!AJ63+UMKC!AJ63+'S&amp;T'!AJ63+UMSL!AJ63</f>
        <v>55386</v>
      </c>
      <c r="AK63" s="28">
        <f>MU!AK63+UMKC!AK63+'S&amp;T'!AK63+UMSL!AK63</f>
        <v>25753</v>
      </c>
      <c r="AL63" s="17"/>
    </row>
    <row r="64" spans="1:38" ht="13.5" customHeight="1" x14ac:dyDescent="0.2">
      <c r="A64" s="3"/>
      <c r="D64" s="26"/>
      <c r="E64" s="27" t="s">
        <v>33</v>
      </c>
      <c r="F64" s="29">
        <f t="shared" ref="F64:G64" si="180">SUM(F62:F63)</f>
        <v>43856589</v>
      </c>
      <c r="G64" s="29">
        <f t="shared" si="180"/>
        <v>47070483</v>
      </c>
      <c r="H64" s="29"/>
      <c r="I64" s="29">
        <f t="shared" ref="I64:L64" si="181">SUM(I62:I63)</f>
        <v>54023412</v>
      </c>
      <c r="J64" s="29">
        <f t="shared" si="181"/>
        <v>55666539</v>
      </c>
      <c r="K64" s="29">
        <f t="shared" si="181"/>
        <v>59438517</v>
      </c>
      <c r="L64" s="29">
        <f t="shared" si="181"/>
        <v>61375903</v>
      </c>
      <c r="M64" s="29">
        <f t="shared" ref="M64:O64" si="182">SUM(M62:M63)</f>
        <v>70032691</v>
      </c>
      <c r="N64" s="29">
        <f t="shared" si="182"/>
        <v>73957089</v>
      </c>
      <c r="O64" s="29">
        <f t="shared" si="182"/>
        <v>74739246</v>
      </c>
      <c r="P64" s="29">
        <f t="shared" ref="P64" si="183">SUM(P62:P63)</f>
        <v>76635276</v>
      </c>
      <c r="Q64" s="29">
        <f t="shared" ref="Q64:AA64" si="184">SUM(Q62:Q63)</f>
        <v>91014205</v>
      </c>
      <c r="R64" s="29">
        <f t="shared" si="184"/>
        <v>95571932</v>
      </c>
      <c r="S64" s="29">
        <f t="shared" si="184"/>
        <v>93671876</v>
      </c>
      <c r="T64" s="29">
        <f t="shared" si="184"/>
        <v>104099716</v>
      </c>
      <c r="U64" s="29">
        <f t="shared" si="184"/>
        <v>109281398</v>
      </c>
      <c r="V64" s="29">
        <f t="shared" ref="V64:Z64" si="185">SUM(V62:V63)</f>
        <v>122019433</v>
      </c>
      <c r="W64" s="29">
        <f t="shared" si="185"/>
        <v>107510231</v>
      </c>
      <c r="X64" s="29">
        <f t="shared" si="185"/>
        <v>112664388</v>
      </c>
      <c r="Y64" s="29">
        <f t="shared" si="185"/>
        <v>118717883</v>
      </c>
      <c r="Z64" s="29">
        <f t="shared" si="185"/>
        <v>117491375</v>
      </c>
      <c r="AA64" s="29">
        <f t="shared" si="184"/>
        <v>123721315</v>
      </c>
      <c r="AB64" s="29">
        <f t="shared" ref="AB64" si="186">SUM(AB62:AB63)</f>
        <v>127180167</v>
      </c>
      <c r="AC64" s="29">
        <f t="shared" ref="AC64:AD64" si="187">SUM(AC62:AC63)</f>
        <v>151990846</v>
      </c>
      <c r="AD64" s="29">
        <f t="shared" si="187"/>
        <v>157769963</v>
      </c>
      <c r="AE64" s="29">
        <f t="shared" ref="AE64:AF64" si="188">SUM(AE62:AE63)</f>
        <v>155715289</v>
      </c>
      <c r="AF64" s="29">
        <f t="shared" si="188"/>
        <v>157370676</v>
      </c>
      <c r="AG64" s="29">
        <f t="shared" ref="AG64:AH64" si="189">SUM(AG62:AG63)</f>
        <v>163319796</v>
      </c>
      <c r="AH64" s="29">
        <f t="shared" si="189"/>
        <v>155895218</v>
      </c>
      <c r="AI64" s="29">
        <f t="shared" ref="AI64:AJ64" si="190">SUM(AI62:AI63)</f>
        <v>161587288</v>
      </c>
      <c r="AJ64" s="29">
        <f t="shared" si="190"/>
        <v>168071657</v>
      </c>
      <c r="AK64" s="29">
        <f t="shared" ref="AK64" si="191">SUM(AK62:AK63)</f>
        <v>188440139</v>
      </c>
      <c r="AL64" s="5"/>
    </row>
    <row r="65" spans="1:38" ht="13.5" customHeight="1" x14ac:dyDescent="0.2">
      <c r="A65" s="15"/>
      <c r="C65" s="2" t="s">
        <v>34</v>
      </c>
      <c r="D65" s="2"/>
      <c r="E65" s="21"/>
      <c r="AL65" s="17"/>
    </row>
    <row r="66" spans="1:38" ht="13.5" customHeight="1" x14ac:dyDescent="0.2">
      <c r="A66" s="15"/>
      <c r="D66" s="1" t="s">
        <v>27</v>
      </c>
      <c r="E66" s="21"/>
      <c r="F66" s="21">
        <f>MU!F66+UMKC!F66+'S&amp;T'!F66+UMSL!F66</f>
        <v>3780459</v>
      </c>
      <c r="G66" s="21">
        <f>MU!G66+UMKC!G66+'S&amp;T'!G66+UMSL!G66</f>
        <v>2741938</v>
      </c>
      <c r="H66" s="21"/>
      <c r="I66" s="21">
        <f>MU!I66+UMKC!I66+'S&amp;T'!I66+UMSL!I66</f>
        <v>4019721</v>
      </c>
      <c r="J66" s="21">
        <f>MU!J66+UMKC!J66+'S&amp;T'!J66+UMSL!J66</f>
        <v>4388450</v>
      </c>
      <c r="K66" s="21">
        <f>MU!K66+UMKC!K66+'S&amp;T'!K66+UMSL!K66</f>
        <v>4866168</v>
      </c>
      <c r="L66" s="21">
        <f>MU!L66+UMKC!L66+'S&amp;T'!L66+UMSL!L66</f>
        <v>4883791</v>
      </c>
      <c r="M66" s="21">
        <f>MU!M66+UMKC!M66+'S&amp;T'!M66+UMSL!M66</f>
        <v>4502052</v>
      </c>
      <c r="N66" s="21">
        <f>MU!N66+UMKC!N66+'S&amp;T'!N66+UMSL!N66</f>
        <v>5685997</v>
      </c>
      <c r="O66" s="21">
        <f>MU!O66+UMKC!O66+'S&amp;T'!O66+UMSL!O66</f>
        <v>8399618</v>
      </c>
      <c r="P66" s="21">
        <f>MU!P66+UMKC!P66+'S&amp;T'!P66+UMSL!P66</f>
        <v>10025868</v>
      </c>
      <c r="Q66" s="21">
        <f>MU!Q66+UMKC!Q66+'S&amp;T'!Q66+UMSL!Q66</f>
        <v>6287671</v>
      </c>
      <c r="R66" s="21">
        <f>MU!R66+UMKC!R66+'S&amp;T'!R66+UMSL!R66</f>
        <v>6338529</v>
      </c>
      <c r="S66" s="21">
        <f>MU!S66+UMKC!S66+'S&amp;T'!S66+UMSL!S66</f>
        <v>7213585</v>
      </c>
      <c r="T66" s="21">
        <f>MU!T66+UMKC!T66+'S&amp;T'!T66+UMSL!T66</f>
        <v>6560050</v>
      </c>
      <c r="U66" s="21">
        <f>MU!U66+UMKC!U66+'S&amp;T'!U66+UMSL!U66</f>
        <v>4821605</v>
      </c>
      <c r="V66" s="21">
        <f>MU!V66+UMKC!V66+'S&amp;T'!V66+UMSL!V66</f>
        <v>6900264</v>
      </c>
      <c r="W66" s="21">
        <f>MU!W66+UMKC!W66+'S&amp;T'!W66+UMSL!W66</f>
        <v>6124873</v>
      </c>
      <c r="X66" s="21">
        <f>MU!X66+UMKC!X66+'S&amp;T'!X66+UMSL!X66</f>
        <v>4945969</v>
      </c>
      <c r="Y66" s="21">
        <f>MU!Y66+UMKC!Y66+'S&amp;T'!Y66+UMSL!Y66</f>
        <v>6868771</v>
      </c>
      <c r="Z66" s="21">
        <f>MU!Z66+UMKC!Z66+'S&amp;T'!Z66+UMSL!Z66</f>
        <v>6765595</v>
      </c>
      <c r="AA66" s="21">
        <f>MU!AA66+UMKC!AA66+'S&amp;T'!AA66+UMSL!AA66</f>
        <v>7213550</v>
      </c>
      <c r="AB66" s="21">
        <f>MU!AB66+UMKC!AB66+'S&amp;T'!AB66+UMSL!AB66</f>
        <v>7415895</v>
      </c>
      <c r="AC66" s="21">
        <f>MU!AC66+UMKC!AC66+'S&amp;T'!AC66+UMSL!AC66</f>
        <v>7240156</v>
      </c>
      <c r="AD66" s="21">
        <f>MU!AD66+UMKC!AD66+'S&amp;T'!AD66+UMSL!AD66</f>
        <v>12369489</v>
      </c>
      <c r="AE66" s="21">
        <f>MU!AE66+UMKC!AE66+'S&amp;T'!AE66+UMSL!AE66</f>
        <v>12632172</v>
      </c>
      <c r="AF66" s="21">
        <f>MU!AF66+UMKC!AF66+'S&amp;T'!AF66+UMSL!AF66</f>
        <v>7963929</v>
      </c>
      <c r="AG66" s="21">
        <f>MU!AG66+UMKC!AG66+'S&amp;T'!AG66+UMSL!AG66</f>
        <v>9566929</v>
      </c>
      <c r="AH66" s="21">
        <f>MU!AH66+UMKC!AH66+'S&amp;T'!AH66+UMSL!AH66</f>
        <v>7504181</v>
      </c>
      <c r="AI66" s="21">
        <f>MU!AI66+UMKC!AI66+'S&amp;T'!AI66+UMSL!AI66</f>
        <v>6561496.2699999996</v>
      </c>
      <c r="AJ66" s="21">
        <f>MU!AJ66+UMKC!AJ66+'S&amp;T'!AJ66+UMSL!AJ66</f>
        <v>6192554.6799999997</v>
      </c>
      <c r="AK66" s="21">
        <f>MU!AK66+UMKC!AK66+'S&amp;T'!AK66+UMSL!AK66</f>
        <v>6114061</v>
      </c>
      <c r="AL66" s="17"/>
    </row>
    <row r="67" spans="1:38" ht="13.5" customHeight="1" x14ac:dyDescent="0.2">
      <c r="A67" s="15"/>
      <c r="D67" s="1" t="s">
        <v>28</v>
      </c>
      <c r="E67" s="23"/>
      <c r="F67" s="31" t="s">
        <v>35</v>
      </c>
      <c r="G67" s="31" t="s">
        <v>35</v>
      </c>
      <c r="H67" s="31" t="s">
        <v>35</v>
      </c>
      <c r="I67" s="31" t="s">
        <v>35</v>
      </c>
      <c r="J67" s="31" t="s">
        <v>35</v>
      </c>
      <c r="K67" s="31" t="s">
        <v>35</v>
      </c>
      <c r="L67" s="31" t="s">
        <v>35</v>
      </c>
      <c r="M67" s="31" t="s">
        <v>35</v>
      </c>
      <c r="N67" s="31" t="s">
        <v>35</v>
      </c>
      <c r="O67" s="31" t="s">
        <v>35</v>
      </c>
      <c r="P67" s="31" t="s">
        <v>35</v>
      </c>
      <c r="Q67" s="24">
        <f>MU!Q67+UMKC!Q67+'S&amp;T'!Q67+UMSL!Q67</f>
        <v>2943454</v>
      </c>
      <c r="R67" s="24">
        <f>MU!R67+UMKC!R67+'S&amp;T'!R67+UMSL!R67</f>
        <v>2364537</v>
      </c>
      <c r="S67" s="24">
        <f>MU!S67+UMKC!S67+'S&amp;T'!S67+UMSL!S67</f>
        <v>4282959</v>
      </c>
      <c r="T67" s="24">
        <f>MU!T67+UMKC!T67+'S&amp;T'!T67+UMSL!T67</f>
        <v>3200972</v>
      </c>
      <c r="U67" s="24">
        <f>MU!U67+UMKC!U67+'S&amp;T'!U67+UMSL!U67</f>
        <v>1412919</v>
      </c>
      <c r="V67" s="24">
        <f>MU!V67+UMKC!V67+'S&amp;T'!V67+UMSL!V67</f>
        <v>1052291</v>
      </c>
      <c r="W67" s="24">
        <f>MU!W67+UMKC!W67+'S&amp;T'!W67+UMSL!W67</f>
        <v>1312385</v>
      </c>
      <c r="X67" s="24">
        <f>MU!X67+UMKC!X67+'S&amp;T'!X67+UMSL!X67</f>
        <v>1547426</v>
      </c>
      <c r="Y67" s="24">
        <f>MU!Y67+UMKC!Y67+'S&amp;T'!Y67+UMSL!Y67</f>
        <v>1605057</v>
      </c>
      <c r="Z67" s="24">
        <f>MU!Z67+UMKC!Z67+'S&amp;T'!Z67+UMSL!Z67</f>
        <v>2364326</v>
      </c>
      <c r="AA67" s="24">
        <f>MU!AA67+UMKC!AA67+'S&amp;T'!AA67+UMSL!AA67</f>
        <v>4233061</v>
      </c>
      <c r="AB67" s="24">
        <f>MU!AB67+UMKC!AB67+'S&amp;T'!AB67+UMSL!AB67</f>
        <v>4259326</v>
      </c>
      <c r="AC67" s="24">
        <f>MU!AC67+UMKC!AC67+'S&amp;T'!AC67+UMSL!AC67</f>
        <v>3151535</v>
      </c>
      <c r="AD67" s="24">
        <f>MU!AD67+UMKC!AD67+'S&amp;T'!AD67+UMSL!AD67</f>
        <v>2917448</v>
      </c>
      <c r="AE67" s="24">
        <f>MU!AE67+UMKC!AE67+'S&amp;T'!AE67+UMSL!AE67</f>
        <v>3142709</v>
      </c>
      <c r="AF67" s="24">
        <f>MU!AF67+UMKC!AF67+'S&amp;T'!AF67+UMSL!AF67</f>
        <v>6284472</v>
      </c>
      <c r="AG67" s="24">
        <f>MU!AG67+UMKC!AG67+'S&amp;T'!AG67+UMSL!AG67</f>
        <v>4063726</v>
      </c>
      <c r="AH67" s="24">
        <f>MU!AH67+UMKC!AH67+'S&amp;T'!AH67+UMSL!AH67</f>
        <v>3406800</v>
      </c>
      <c r="AI67" s="24">
        <f>MU!AI67+UMKC!AI67+'S&amp;T'!AI67+UMSL!AI67</f>
        <v>4261644</v>
      </c>
      <c r="AJ67" s="24">
        <f>MU!AJ67+UMKC!AJ67+'S&amp;T'!AJ67+UMSL!AJ67</f>
        <v>6835336.75</v>
      </c>
      <c r="AK67" s="24">
        <f>MU!AK67+UMKC!AK67+'S&amp;T'!AK67+UMSL!AK67</f>
        <v>8547515</v>
      </c>
      <c r="AL67" s="17"/>
    </row>
    <row r="68" spans="1:38" ht="13.5" customHeight="1" x14ac:dyDescent="0.2">
      <c r="A68" s="15"/>
      <c r="E68" s="21"/>
      <c r="F68" s="21">
        <f t="shared" ref="F68:G68" si="192">F66</f>
        <v>3780459</v>
      </c>
      <c r="G68" s="21">
        <f t="shared" si="192"/>
        <v>2741938</v>
      </c>
      <c r="H68" s="21"/>
      <c r="I68" s="21">
        <f t="shared" ref="I68:L68" si="193">I66</f>
        <v>4019721</v>
      </c>
      <c r="J68" s="21">
        <f t="shared" si="193"/>
        <v>4388450</v>
      </c>
      <c r="K68" s="21">
        <f t="shared" si="193"/>
        <v>4866168</v>
      </c>
      <c r="L68" s="21">
        <f t="shared" si="193"/>
        <v>4883791</v>
      </c>
      <c r="M68" s="21">
        <f t="shared" ref="M68:O68" si="194">M66</f>
        <v>4502052</v>
      </c>
      <c r="N68" s="21">
        <f t="shared" si="194"/>
        <v>5685997</v>
      </c>
      <c r="O68" s="21">
        <f t="shared" si="194"/>
        <v>8399618</v>
      </c>
      <c r="P68" s="21">
        <f>P66</f>
        <v>10025868</v>
      </c>
      <c r="Q68" s="21">
        <f t="shared" ref="Q68:AA68" si="195">SUM(Q66:Q67)</f>
        <v>9231125</v>
      </c>
      <c r="R68" s="21">
        <f t="shared" si="195"/>
        <v>8703066</v>
      </c>
      <c r="S68" s="21">
        <f t="shared" si="195"/>
        <v>11496544</v>
      </c>
      <c r="T68" s="21">
        <f t="shared" si="195"/>
        <v>9761022</v>
      </c>
      <c r="U68" s="21">
        <f t="shared" si="195"/>
        <v>6234524</v>
      </c>
      <c r="V68" s="21">
        <f t="shared" ref="V68:Z68" si="196">SUM(V66:V67)</f>
        <v>7952555</v>
      </c>
      <c r="W68" s="21">
        <f t="shared" si="196"/>
        <v>7437258</v>
      </c>
      <c r="X68" s="21">
        <f t="shared" si="196"/>
        <v>6493395</v>
      </c>
      <c r="Y68" s="21">
        <f t="shared" si="196"/>
        <v>8473828</v>
      </c>
      <c r="Z68" s="21">
        <f t="shared" si="196"/>
        <v>9129921</v>
      </c>
      <c r="AA68" s="21">
        <f t="shared" si="195"/>
        <v>11446611</v>
      </c>
      <c r="AB68" s="21">
        <f t="shared" ref="AB68" si="197">SUM(AB66:AB67)</f>
        <v>11675221</v>
      </c>
      <c r="AC68" s="21">
        <f t="shared" ref="AC68:AD68" si="198">SUM(AC66:AC67)</f>
        <v>10391691</v>
      </c>
      <c r="AD68" s="21">
        <f t="shared" si="198"/>
        <v>15286937</v>
      </c>
      <c r="AE68" s="21">
        <f t="shared" ref="AE68:AF68" si="199">SUM(AE66:AE67)</f>
        <v>15774881</v>
      </c>
      <c r="AF68" s="21">
        <f t="shared" si="199"/>
        <v>14248401</v>
      </c>
      <c r="AG68" s="21">
        <f t="shared" ref="AG68:AH68" si="200">SUM(AG66:AG67)</f>
        <v>13630655</v>
      </c>
      <c r="AH68" s="21">
        <f t="shared" si="200"/>
        <v>10910981</v>
      </c>
      <c r="AI68" s="21">
        <f t="shared" ref="AI68:AJ68" si="201">SUM(AI66:AI67)</f>
        <v>10823140.27</v>
      </c>
      <c r="AJ68" s="21">
        <f t="shared" si="201"/>
        <v>13027891.43</v>
      </c>
      <c r="AK68" s="21">
        <f t="shared" ref="AK68" si="202">SUM(AK66:AK67)</f>
        <v>14661576</v>
      </c>
      <c r="AL68" s="17"/>
    </row>
    <row r="69" spans="1:38" ht="13.5" customHeight="1" x14ac:dyDescent="0.2">
      <c r="A69" s="15"/>
      <c r="C69" s="2" t="s">
        <v>36</v>
      </c>
      <c r="D69" s="2"/>
      <c r="E69" s="21"/>
      <c r="AL69" s="17"/>
    </row>
    <row r="70" spans="1:38" ht="13.5" customHeight="1" x14ac:dyDescent="0.2">
      <c r="A70" s="15"/>
      <c r="D70" s="1" t="s">
        <v>27</v>
      </c>
      <c r="E70" s="21"/>
      <c r="F70" s="21">
        <f t="shared" ref="F70:G70" si="203">F46+F53+F59+F66</f>
        <v>23893060</v>
      </c>
      <c r="G70" s="21">
        <f t="shared" si="203"/>
        <v>24868525</v>
      </c>
      <c r="H70" s="21"/>
      <c r="I70" s="21">
        <f t="shared" ref="I70:L70" si="204">I46+I53+I59+I66</f>
        <v>34249362</v>
      </c>
      <c r="J70" s="21">
        <f t="shared" si="204"/>
        <v>35162920</v>
      </c>
      <c r="K70" s="21">
        <f t="shared" si="204"/>
        <v>38791128</v>
      </c>
      <c r="L70" s="21">
        <f t="shared" si="204"/>
        <v>40849689</v>
      </c>
      <c r="M70" s="21">
        <f t="shared" ref="M70:AA71" si="205">M46+M53+M59+M66</f>
        <v>46006933</v>
      </c>
      <c r="N70" s="21">
        <f t="shared" si="205"/>
        <v>49933625</v>
      </c>
      <c r="O70" s="21">
        <f t="shared" si="205"/>
        <v>57015758</v>
      </c>
      <c r="P70" s="21">
        <f t="shared" ref="P70" si="206">P46+P53+P59+P66</f>
        <v>62848101</v>
      </c>
      <c r="Q70" s="21">
        <f t="shared" si="205"/>
        <v>63532733</v>
      </c>
      <c r="R70" s="21">
        <f t="shared" si="205"/>
        <v>64315490</v>
      </c>
      <c r="S70" s="21">
        <f t="shared" si="205"/>
        <v>69444904</v>
      </c>
      <c r="T70" s="21">
        <f t="shared" si="205"/>
        <v>74926189</v>
      </c>
      <c r="U70" s="21">
        <f t="shared" si="205"/>
        <v>78289549</v>
      </c>
      <c r="V70" s="21">
        <f t="shared" ref="V70:Z70" si="207">V46+V53+V59+V66</f>
        <v>86513893</v>
      </c>
      <c r="W70" s="21">
        <f t="shared" si="207"/>
        <v>82201669</v>
      </c>
      <c r="X70" s="21">
        <f t="shared" si="207"/>
        <v>81532206</v>
      </c>
      <c r="Y70" s="21">
        <f t="shared" si="207"/>
        <v>90126600</v>
      </c>
      <c r="Z70" s="21">
        <f t="shared" si="207"/>
        <v>91577907</v>
      </c>
      <c r="AA70" s="21">
        <f t="shared" si="205"/>
        <v>93555102</v>
      </c>
      <c r="AB70" s="21">
        <f t="shared" ref="AB70:AG70" si="208">AB46+AB53+AB59+AB66</f>
        <v>96917276</v>
      </c>
      <c r="AC70" s="21">
        <f t="shared" si="208"/>
        <v>101622334</v>
      </c>
      <c r="AD70" s="21">
        <f t="shared" si="208"/>
        <v>108342266</v>
      </c>
      <c r="AE70" s="21">
        <f t="shared" si="208"/>
        <v>108378686</v>
      </c>
      <c r="AF70" s="21">
        <f t="shared" si="208"/>
        <v>106843189</v>
      </c>
      <c r="AG70" s="21">
        <f t="shared" si="208"/>
        <v>116701343</v>
      </c>
      <c r="AH70" s="21">
        <f t="shared" ref="AH70:AI70" si="209">AH46+AH53+AH59+AH66</f>
        <v>112923913</v>
      </c>
      <c r="AI70" s="21">
        <f t="shared" si="209"/>
        <v>123822031.27</v>
      </c>
      <c r="AJ70" s="21">
        <f t="shared" ref="AJ70:AK70" si="210">AJ46+AJ53+AJ59+AJ66</f>
        <v>126514433.68000001</v>
      </c>
      <c r="AK70" s="21">
        <f t="shared" si="210"/>
        <v>129854003</v>
      </c>
      <c r="AL70" s="17"/>
    </row>
    <row r="71" spans="1:38" ht="13.5" customHeight="1" x14ac:dyDescent="0.2">
      <c r="A71" s="15"/>
      <c r="D71" s="1" t="s">
        <v>28</v>
      </c>
      <c r="E71" s="23"/>
      <c r="F71" s="23">
        <f t="shared" ref="F71:G71" si="211">F47+F54+F60</f>
        <v>34227235</v>
      </c>
      <c r="G71" s="23">
        <f t="shared" si="211"/>
        <v>42414340</v>
      </c>
      <c r="H71" s="23"/>
      <c r="I71" s="23">
        <f t="shared" ref="I71:O71" si="212">I47+I54+I60</f>
        <v>56118726</v>
      </c>
      <c r="J71" s="23">
        <f t="shared" si="212"/>
        <v>64777926</v>
      </c>
      <c r="K71" s="23">
        <f t="shared" si="212"/>
        <v>69249978</v>
      </c>
      <c r="L71" s="23">
        <f t="shared" si="212"/>
        <v>71503567</v>
      </c>
      <c r="M71" s="23">
        <f t="shared" si="212"/>
        <v>73794397</v>
      </c>
      <c r="N71" s="23">
        <f t="shared" si="212"/>
        <v>77249399</v>
      </c>
      <c r="O71" s="23">
        <f t="shared" si="212"/>
        <v>82015189</v>
      </c>
      <c r="P71" s="23">
        <f>P47+P54+P60</f>
        <v>96473884</v>
      </c>
      <c r="Q71" s="23">
        <f>Q47+Q54+Q60+Q67</f>
        <v>112504265</v>
      </c>
      <c r="R71" s="23">
        <f t="shared" ref="R71:U71" si="213">R47+R54+R60+R67</f>
        <v>117207890</v>
      </c>
      <c r="S71" s="23">
        <f t="shared" si="213"/>
        <v>125701090</v>
      </c>
      <c r="T71" s="23">
        <f t="shared" si="213"/>
        <v>133191182</v>
      </c>
      <c r="U71" s="23">
        <f t="shared" si="213"/>
        <v>142616453</v>
      </c>
      <c r="V71" s="23">
        <f t="shared" ref="V71:Z71" si="214">V47+V54+V60+V67</f>
        <v>148027057</v>
      </c>
      <c r="W71" s="23">
        <f t="shared" si="214"/>
        <v>164420549</v>
      </c>
      <c r="X71" s="23">
        <f t="shared" si="214"/>
        <v>174668750</v>
      </c>
      <c r="Y71" s="23">
        <f t="shared" si="214"/>
        <v>180156388</v>
      </c>
      <c r="Z71" s="23">
        <f t="shared" si="214"/>
        <v>175651961</v>
      </c>
      <c r="AA71" s="23">
        <f t="shared" si="205"/>
        <v>174701436</v>
      </c>
      <c r="AB71" s="23">
        <f t="shared" ref="AB71" si="215">AB47+AB54+AB60+AB67</f>
        <v>169491663</v>
      </c>
      <c r="AC71" s="23">
        <f t="shared" ref="AC71:AD71" si="216">AC47+AC54+AC60+AC67</f>
        <v>162452526</v>
      </c>
      <c r="AD71" s="23">
        <f t="shared" si="216"/>
        <v>162540526</v>
      </c>
      <c r="AE71" s="23">
        <f t="shared" ref="AE71:AF71" si="217">AE47+AE54+AE60+AE67</f>
        <v>167075939</v>
      </c>
      <c r="AF71" s="23">
        <f t="shared" si="217"/>
        <v>175135706</v>
      </c>
      <c r="AG71" s="23">
        <f t="shared" ref="AG71:AH71" si="218">AG47+AG54+AG60+AG67</f>
        <v>174342895</v>
      </c>
      <c r="AH71" s="23">
        <f t="shared" si="218"/>
        <v>179982914</v>
      </c>
      <c r="AI71" s="23">
        <f t="shared" ref="AI71:AJ71" si="219">AI47+AI54+AI60+AI67</f>
        <v>181452021</v>
      </c>
      <c r="AJ71" s="23">
        <f t="shared" si="219"/>
        <v>184226838.75</v>
      </c>
      <c r="AK71" s="23">
        <f t="shared" ref="AK71" si="220">AK47+AK54+AK60+AK67</f>
        <v>190943121</v>
      </c>
      <c r="AL71" s="17"/>
    </row>
    <row r="72" spans="1:38" ht="13.5" customHeight="1" x14ac:dyDescent="0.2">
      <c r="A72" s="15"/>
      <c r="D72" s="1" t="s">
        <v>29</v>
      </c>
      <c r="E72" s="23"/>
      <c r="F72" s="24">
        <f t="shared" ref="F72:G72" si="221">F48+F61</f>
        <v>23944284</v>
      </c>
      <c r="G72" s="24">
        <f t="shared" si="221"/>
        <v>25371392</v>
      </c>
      <c r="H72" s="24"/>
      <c r="I72" s="24">
        <f t="shared" ref="I72:L72" si="222">I48+I61</f>
        <v>24404664</v>
      </c>
      <c r="J72" s="24">
        <f t="shared" si="222"/>
        <v>25283836</v>
      </c>
      <c r="K72" s="24">
        <f t="shared" si="222"/>
        <v>27169366</v>
      </c>
      <c r="L72" s="24">
        <f t="shared" si="222"/>
        <v>27007106</v>
      </c>
      <c r="M72" s="24">
        <f t="shared" ref="M72:AA72" si="223">M48+M61</f>
        <v>30423012</v>
      </c>
      <c r="N72" s="24">
        <f t="shared" si="223"/>
        <v>31990743</v>
      </c>
      <c r="O72" s="24">
        <f t="shared" si="223"/>
        <v>28442954</v>
      </c>
      <c r="P72" s="24">
        <f t="shared" ref="P72" si="224">P48+P61</f>
        <v>26087086</v>
      </c>
      <c r="Q72" s="24">
        <f t="shared" si="223"/>
        <v>35718791</v>
      </c>
      <c r="R72" s="24">
        <f t="shared" si="223"/>
        <v>40190683</v>
      </c>
      <c r="S72" s="24">
        <f t="shared" si="223"/>
        <v>35094391</v>
      </c>
      <c r="T72" s="24">
        <f t="shared" si="223"/>
        <v>41090821</v>
      </c>
      <c r="U72" s="24">
        <f t="shared" si="223"/>
        <v>41577125</v>
      </c>
      <c r="V72" s="24">
        <f t="shared" ref="V72:Z72" si="225">V48+V61</f>
        <v>47250279</v>
      </c>
      <c r="W72" s="24">
        <f t="shared" si="225"/>
        <v>37773921</v>
      </c>
      <c r="X72" s="24">
        <f t="shared" si="225"/>
        <v>41206226</v>
      </c>
      <c r="Y72" s="24">
        <f t="shared" si="225"/>
        <v>40815802</v>
      </c>
      <c r="Z72" s="24">
        <f t="shared" si="225"/>
        <v>38586479</v>
      </c>
      <c r="AA72" s="24">
        <f t="shared" si="223"/>
        <v>43170032</v>
      </c>
      <c r="AB72" s="24">
        <f t="shared" ref="AB72" si="226">AB48+AB61</f>
        <v>43464745</v>
      </c>
      <c r="AC72" s="24">
        <f t="shared" ref="AC72:AD72" si="227">AC48+AC61</f>
        <v>63800029</v>
      </c>
      <c r="AD72" s="24">
        <f t="shared" si="227"/>
        <v>68335089</v>
      </c>
      <c r="AE72" s="24">
        <f t="shared" ref="AE72:AF72" si="228">AE48+AE61</f>
        <v>65791649</v>
      </c>
      <c r="AF72" s="24">
        <f t="shared" si="228"/>
        <v>65709060</v>
      </c>
      <c r="AG72" s="24">
        <f t="shared" ref="AG72:AH72" si="229">AG48+AG61</f>
        <v>64935984</v>
      </c>
      <c r="AH72" s="24">
        <f t="shared" si="229"/>
        <v>60278541</v>
      </c>
      <c r="AI72" s="24">
        <f t="shared" ref="AI72:AJ72" si="230">AI48+AI61</f>
        <v>55041763</v>
      </c>
      <c r="AJ72" s="24">
        <f t="shared" si="230"/>
        <v>58493951</v>
      </c>
      <c r="AK72" s="24">
        <f t="shared" ref="AK72" si="231">AK48+AK61</f>
        <v>74152168</v>
      </c>
      <c r="AL72" s="17"/>
    </row>
    <row r="73" spans="1:38" ht="13.5" customHeight="1" x14ac:dyDescent="0.2">
      <c r="A73" s="15"/>
      <c r="E73" s="21"/>
      <c r="F73" s="21">
        <f t="shared" ref="F73:G73" si="232">SUM(F70:F72)</f>
        <v>82064579</v>
      </c>
      <c r="G73" s="21">
        <f t="shared" si="232"/>
        <v>92654257</v>
      </c>
      <c r="H73" s="21">
        <f>MU!H73+UMKC!H73+'S&amp;T'!H73+UMSL!H73</f>
        <v>105534260</v>
      </c>
      <c r="I73" s="21">
        <f t="shared" ref="I73:L73" si="233">SUM(I70:I72)</f>
        <v>114772752</v>
      </c>
      <c r="J73" s="21">
        <f t="shared" si="233"/>
        <v>125224682</v>
      </c>
      <c r="K73" s="21">
        <f t="shared" si="233"/>
        <v>135210472</v>
      </c>
      <c r="L73" s="21">
        <f t="shared" si="233"/>
        <v>139360362</v>
      </c>
      <c r="M73" s="21">
        <f t="shared" ref="M73:O73" si="234">SUM(M70:M72)</f>
        <v>150224342</v>
      </c>
      <c r="N73" s="21">
        <f t="shared" si="234"/>
        <v>159173767</v>
      </c>
      <c r="O73" s="21">
        <f t="shared" si="234"/>
        <v>167473901</v>
      </c>
      <c r="P73" s="21">
        <f t="shared" ref="P73" si="235">SUM(P70:P72)</f>
        <v>185409071</v>
      </c>
      <c r="Q73" s="21">
        <f t="shared" ref="Q73:U73" si="236">SUM(Q70:Q72)</f>
        <v>211755789</v>
      </c>
      <c r="R73" s="21">
        <f t="shared" si="236"/>
        <v>221714063</v>
      </c>
      <c r="S73" s="21">
        <f t="shared" si="236"/>
        <v>230240385</v>
      </c>
      <c r="T73" s="21">
        <f t="shared" si="236"/>
        <v>249208192</v>
      </c>
      <c r="U73" s="21">
        <f t="shared" si="236"/>
        <v>262483127</v>
      </c>
      <c r="V73" s="21">
        <f t="shared" ref="V73:Z73" si="237">SUM(V70:V72)</f>
        <v>281791229</v>
      </c>
      <c r="W73" s="21">
        <f t="shared" si="237"/>
        <v>284396139</v>
      </c>
      <c r="X73" s="21">
        <f t="shared" si="237"/>
        <v>297407182</v>
      </c>
      <c r="Y73" s="21">
        <f t="shared" si="237"/>
        <v>311098790</v>
      </c>
      <c r="Z73" s="21">
        <f t="shared" si="237"/>
        <v>305816347</v>
      </c>
      <c r="AA73" s="21">
        <f t="shared" ref="AA73:AB73" si="238">SUM(AA70:AA72)</f>
        <v>311426570</v>
      </c>
      <c r="AB73" s="21">
        <f t="shared" si="238"/>
        <v>309873684</v>
      </c>
      <c r="AC73" s="21">
        <f t="shared" ref="AC73:AD73" si="239">SUM(AC70:AC72)</f>
        <v>327874889</v>
      </c>
      <c r="AD73" s="21">
        <f t="shared" si="239"/>
        <v>339217881</v>
      </c>
      <c r="AE73" s="21">
        <f t="shared" ref="AE73:AF73" si="240">SUM(AE70:AE72)</f>
        <v>341246274</v>
      </c>
      <c r="AF73" s="21">
        <f t="shared" si="240"/>
        <v>347687955</v>
      </c>
      <c r="AG73" s="21">
        <f t="shared" ref="AG73:AH73" si="241">SUM(AG70:AG72)</f>
        <v>355980222</v>
      </c>
      <c r="AH73" s="21">
        <f t="shared" si="241"/>
        <v>353185368</v>
      </c>
      <c r="AI73" s="21">
        <f t="shared" ref="AI73:AJ73" si="242">SUM(AI70:AI72)</f>
        <v>360315815.26999998</v>
      </c>
      <c r="AJ73" s="21">
        <f t="shared" si="242"/>
        <v>369235223.43000001</v>
      </c>
      <c r="AK73" s="21">
        <f t="shared" ref="AK73" si="243">SUM(AK70:AK72)</f>
        <v>394949292</v>
      </c>
      <c r="AL73" s="17"/>
    </row>
    <row r="74" spans="1:38" ht="13.5" customHeight="1" x14ac:dyDescent="0.2">
      <c r="A74" s="15"/>
      <c r="C74" s="2" t="s">
        <v>37</v>
      </c>
      <c r="D74" s="2"/>
      <c r="AL74" s="17"/>
    </row>
    <row r="75" spans="1:38" ht="13.5" customHeight="1" x14ac:dyDescent="0.2">
      <c r="A75" s="15"/>
      <c r="D75" s="1" t="s">
        <v>38</v>
      </c>
      <c r="F75" s="32">
        <f>MU!F75+UMKC!F75+'S&amp;T'!F75+UMSL!F75</f>
        <v>3738</v>
      </c>
      <c r="G75" s="32">
        <f>MU!G75+UMKC!G75+'S&amp;T'!G75+UMSL!G75</f>
        <v>3999</v>
      </c>
      <c r="H75" s="32"/>
      <c r="I75" s="32">
        <f>MU!I75+UMKC!I75+'S&amp;T'!I75+UMSL!I75</f>
        <v>4749</v>
      </c>
      <c r="J75" s="32">
        <f>MU!J75+UMKC!J75+'S&amp;T'!J75+UMSL!J75</f>
        <v>5013</v>
      </c>
      <c r="K75" s="32">
        <f>MU!K75+UMKC!K75+'S&amp;T'!K75+UMSL!K75</f>
        <v>4966</v>
      </c>
      <c r="L75" s="32">
        <f>MU!L75+UMKC!L75+'S&amp;T'!L75+UMSL!L75</f>
        <v>4920</v>
      </c>
      <c r="M75" s="32">
        <f>MU!M75+UMKC!M75+'S&amp;T'!M75+UMSL!M75</f>
        <v>5108</v>
      </c>
      <c r="N75" s="32">
        <f>MU!N75+UMKC!N75+'S&amp;T'!N75+UMSL!N75</f>
        <v>5171</v>
      </c>
      <c r="O75" s="32">
        <f>MU!O75+UMKC!O75+'S&amp;T'!O75+UMSL!O75</f>
        <v>5343</v>
      </c>
      <c r="P75" s="32">
        <f>MU!P75+UMKC!P75+'S&amp;T'!P75+UMSL!P75</f>
        <v>5896</v>
      </c>
      <c r="Q75" s="32">
        <f>MU!Q75+UMKC!Q75+'S&amp;T'!Q75+UMSL!Q75</f>
        <v>6325</v>
      </c>
      <c r="R75" s="32">
        <f>MU!R75+UMKC!R75+'S&amp;T'!R75+UMSL!R75</f>
        <v>6323</v>
      </c>
      <c r="S75" s="32">
        <f>MU!S75+UMKC!S75+'S&amp;T'!S75+UMSL!S75</f>
        <v>6533</v>
      </c>
      <c r="T75" s="32">
        <f>MU!T75+UMKC!T75+'S&amp;T'!T75+UMSL!T75</f>
        <v>6853</v>
      </c>
      <c r="U75" s="32">
        <f>MU!U75+UMKC!U75+'S&amp;T'!U75+UMSL!U75</f>
        <v>7323</v>
      </c>
      <c r="V75" s="32">
        <f>MU!V75+UMKC!V75+'S&amp;T'!V75+UMSL!V75</f>
        <v>7307</v>
      </c>
      <c r="W75" s="32">
        <f>MU!W75+UMKC!W75+'S&amp;T'!W75+UMSL!W75</f>
        <v>8053</v>
      </c>
      <c r="X75" s="32">
        <f>MU!X75+UMKC!X75+'S&amp;T'!X75+UMSL!X75</f>
        <v>8300</v>
      </c>
      <c r="Y75" s="32">
        <f>MU!Y75+UMKC!Y75+'S&amp;T'!Y75+UMSL!Y75</f>
        <v>8414</v>
      </c>
      <c r="Z75" s="32">
        <f>MU!Z75+UMKC!Z75+'S&amp;T'!Z75+UMSL!Z75</f>
        <v>1402</v>
      </c>
      <c r="AA75" s="32">
        <f>MU!AA75+UMKC!AA75+'S&amp;T'!AA75+UMSL!AA75</f>
        <v>1571</v>
      </c>
      <c r="AB75" s="32">
        <f>MU!AB75+UMKC!AB75+'S&amp;T'!AB75+UMSL!AB75</f>
        <v>1427</v>
      </c>
      <c r="AC75" s="32">
        <f>MU!AC75+UMKC!AC75+'S&amp;T'!AC75+UMSL!AC75</f>
        <v>1039</v>
      </c>
      <c r="AD75" s="32">
        <f>MU!AD75+UMKC!AD75+'S&amp;T'!AD75+UMSL!AD75</f>
        <v>954</v>
      </c>
      <c r="AE75" s="32">
        <f>MU!AE75+UMKC!AE75+'S&amp;T'!AE75+UMSL!AE75</f>
        <v>844</v>
      </c>
      <c r="AF75" s="32">
        <f>MU!AF75+UMKC!AF75+'S&amp;T'!AF75+UMSL!AF75</f>
        <v>873</v>
      </c>
      <c r="AG75" s="32">
        <f>MU!AG75+UMKC!AG75+'S&amp;T'!AG75+UMSL!AG75</f>
        <v>971</v>
      </c>
      <c r="AH75" s="32">
        <f>MU!AH75+UMKC!AH75+'S&amp;T'!AH75+UMSL!AH75</f>
        <v>908</v>
      </c>
      <c r="AI75" s="32">
        <f>MU!AI75+UMKC!AI75+'S&amp;T'!AI75+UMSL!AI75</f>
        <v>979</v>
      </c>
      <c r="AJ75" s="32">
        <f>MU!AJ75+UMKC!AJ75+'S&amp;T'!AJ75+UMSL!AJ75</f>
        <v>952</v>
      </c>
      <c r="AK75" s="32">
        <f>MU!AK75+UMKC!AK75+'S&amp;T'!AK75+UMSL!AK75</f>
        <v>948</v>
      </c>
      <c r="AL75" s="17"/>
    </row>
    <row r="76" spans="1:38" ht="13.5" customHeight="1" x14ac:dyDescent="0.2">
      <c r="A76" s="15"/>
      <c r="D76" s="1" t="s">
        <v>39</v>
      </c>
      <c r="F76" s="33">
        <f>MU!F76+UMKC!F76+'S&amp;T'!F76+UMSL!F76</f>
        <v>5745</v>
      </c>
      <c r="G76" s="33">
        <f>MU!G76+UMKC!G76+'S&amp;T'!G76+UMSL!G76</f>
        <v>5696</v>
      </c>
      <c r="H76" s="33"/>
      <c r="I76" s="33">
        <f>MU!I76+UMKC!I76+'S&amp;T'!I76+UMSL!I76</f>
        <v>7654</v>
      </c>
      <c r="J76" s="33">
        <f>MU!J76+UMKC!J76+'S&amp;T'!J76+UMSL!J76</f>
        <v>7608</v>
      </c>
      <c r="K76" s="33">
        <f>MU!K76+UMKC!K76+'S&amp;T'!K76+UMSL!K76</f>
        <v>6588</v>
      </c>
      <c r="L76" s="33">
        <f>MU!L76+UMKC!L76+'S&amp;T'!L76+UMSL!L76</f>
        <v>6446</v>
      </c>
      <c r="M76" s="33">
        <f>MU!M76+UMKC!M76+'S&amp;T'!M76+UMSL!M76</f>
        <v>6471</v>
      </c>
      <c r="N76" s="33">
        <f>MU!N76+UMKC!N76+'S&amp;T'!N76+UMSL!N76</f>
        <v>7522</v>
      </c>
      <c r="O76" s="33">
        <f>MU!O76+UMKC!O76+'S&amp;T'!O76+UMSL!O76</f>
        <v>8202</v>
      </c>
      <c r="P76" s="33">
        <f>MU!P76+UMKC!P76+'S&amp;T'!P76+UMSL!P76</f>
        <v>9226</v>
      </c>
      <c r="Q76" s="33">
        <f>MU!Q76+UMKC!Q76+'S&amp;T'!Q76+UMSL!Q76</f>
        <v>8582</v>
      </c>
      <c r="R76" s="33">
        <f>MU!R76+UMKC!R76+'S&amp;T'!R76+UMSL!R76</f>
        <v>7732</v>
      </c>
      <c r="S76" s="33">
        <f>MU!S76+UMKC!S76+'S&amp;T'!S76+UMSL!S76</f>
        <v>7705</v>
      </c>
      <c r="T76" s="33">
        <f>MU!T76+UMKC!T76+'S&amp;T'!T76+UMSL!T76</f>
        <v>7700</v>
      </c>
      <c r="U76" s="33">
        <f>MU!U76+UMKC!U76+'S&amp;T'!U76+UMSL!U76</f>
        <v>7253</v>
      </c>
      <c r="V76" s="33">
        <f>MU!V76+UMKC!V76+'S&amp;T'!V76+UMSL!V76</f>
        <v>7556</v>
      </c>
      <c r="W76" s="33">
        <f>MU!W76+UMKC!W76+'S&amp;T'!W76+UMSL!W76</f>
        <v>7705</v>
      </c>
      <c r="X76" s="33">
        <f>MU!X76+UMKC!X76+'S&amp;T'!X76+UMSL!X76</f>
        <v>7211</v>
      </c>
      <c r="Y76" s="33">
        <f>MU!Y76+UMKC!Y76+'S&amp;T'!Y76+UMSL!Y76</f>
        <v>7380</v>
      </c>
      <c r="Z76" s="33">
        <f>MU!Z76+UMKC!Z76+'S&amp;T'!Z76+UMSL!Z76</f>
        <v>14156</v>
      </c>
      <c r="AA76" s="33">
        <f>MU!AA76+UMKC!AA76+'S&amp;T'!AA76+UMSL!AA76</f>
        <v>13833</v>
      </c>
      <c r="AB76" s="33">
        <f>MU!AB76+UMKC!AB76+'S&amp;T'!AB76+UMSL!AB76</f>
        <v>13415</v>
      </c>
      <c r="AC76" s="33">
        <f>MU!AC76+UMKC!AC76+'S&amp;T'!AC76+UMSL!AC76</f>
        <v>13718</v>
      </c>
      <c r="AD76" s="33">
        <f>MU!AD76+UMKC!AD76+'S&amp;T'!AD76+UMSL!AD76</f>
        <v>13676</v>
      </c>
      <c r="AE76" s="33">
        <f>MU!AE76+UMKC!AE76+'S&amp;T'!AE76+UMSL!AE76</f>
        <v>13676</v>
      </c>
      <c r="AF76" s="33">
        <f>MU!AF76+UMKC!AF76+'S&amp;T'!AF76+UMSL!AF76</f>
        <v>14187</v>
      </c>
      <c r="AG76" s="33">
        <f>MU!AG76+UMKC!AG76+'S&amp;T'!AG76+UMSL!AG76</f>
        <v>15113</v>
      </c>
      <c r="AH76" s="33">
        <f>MU!AH76+UMKC!AH76+'S&amp;T'!AH76+UMSL!AH76</f>
        <v>15003</v>
      </c>
      <c r="AI76" s="33">
        <f>MU!AI76+UMKC!AI76+'S&amp;T'!AI76+UMSL!AI76</f>
        <v>14849</v>
      </c>
      <c r="AJ76" s="33">
        <f>MU!AJ76+UMKC!AJ76+'S&amp;T'!AJ76+UMSL!AJ76</f>
        <v>14739</v>
      </c>
      <c r="AK76" s="33">
        <f>MU!AK76+UMKC!AK76+'S&amp;T'!AK76+UMSL!AK76</f>
        <v>14523</v>
      </c>
      <c r="AL76" s="17"/>
    </row>
    <row r="77" spans="1:38" ht="13.5" customHeight="1" x14ac:dyDescent="0.2">
      <c r="A77" s="15"/>
      <c r="F77" s="32">
        <f t="shared" ref="F77:G77" si="244">SUM(F75:F76)</f>
        <v>9483</v>
      </c>
      <c r="G77" s="32">
        <f t="shared" si="244"/>
        <v>9695</v>
      </c>
      <c r="H77" s="32"/>
      <c r="I77" s="32">
        <f t="shared" ref="I77:L77" si="245">SUM(I75:I76)</f>
        <v>12403</v>
      </c>
      <c r="J77" s="32">
        <f t="shared" si="245"/>
        <v>12621</v>
      </c>
      <c r="K77" s="32">
        <f t="shared" si="245"/>
        <v>11554</v>
      </c>
      <c r="L77" s="32">
        <f t="shared" si="245"/>
        <v>11366</v>
      </c>
      <c r="M77" s="32">
        <f t="shared" ref="M77:O77" si="246">SUM(M75:M76)</f>
        <v>11579</v>
      </c>
      <c r="N77" s="32">
        <f t="shared" si="246"/>
        <v>12693</v>
      </c>
      <c r="O77" s="32">
        <f t="shared" si="246"/>
        <v>13545</v>
      </c>
      <c r="P77" s="32">
        <f t="shared" ref="P77" si="247">SUM(P75:P76)</f>
        <v>15122</v>
      </c>
      <c r="Q77" s="32">
        <f t="shared" ref="Q77:AA77" si="248">SUM(Q75:Q76)</f>
        <v>14907</v>
      </c>
      <c r="R77" s="32">
        <f t="shared" si="248"/>
        <v>14055</v>
      </c>
      <c r="S77" s="32">
        <f t="shared" si="248"/>
        <v>14238</v>
      </c>
      <c r="T77" s="32">
        <f t="shared" si="248"/>
        <v>14553</v>
      </c>
      <c r="U77" s="32">
        <f t="shared" si="248"/>
        <v>14576</v>
      </c>
      <c r="V77" s="32">
        <f t="shared" ref="V77:Z77" si="249">SUM(V75:V76)</f>
        <v>14863</v>
      </c>
      <c r="W77" s="32">
        <f t="shared" si="249"/>
        <v>15758</v>
      </c>
      <c r="X77" s="32">
        <f t="shared" si="249"/>
        <v>15511</v>
      </c>
      <c r="Y77" s="32">
        <f t="shared" si="249"/>
        <v>15794</v>
      </c>
      <c r="Z77" s="32">
        <f t="shared" si="249"/>
        <v>15558</v>
      </c>
      <c r="AA77" s="32">
        <f t="shared" si="248"/>
        <v>15404</v>
      </c>
      <c r="AB77" s="32">
        <f t="shared" ref="AB77" si="250">SUM(AB75:AB76)</f>
        <v>14842</v>
      </c>
      <c r="AC77" s="32">
        <f t="shared" ref="AC77:AD77" si="251">SUM(AC75:AC76)</f>
        <v>14757</v>
      </c>
      <c r="AD77" s="32">
        <f t="shared" si="251"/>
        <v>14630</v>
      </c>
      <c r="AE77" s="32">
        <f t="shared" ref="AE77:AF77" si="252">SUM(AE75:AE76)</f>
        <v>14520</v>
      </c>
      <c r="AF77" s="32">
        <f t="shared" si="252"/>
        <v>15060</v>
      </c>
      <c r="AG77" s="32">
        <f t="shared" ref="AG77:AH77" si="253">SUM(AG75:AG76)</f>
        <v>16084</v>
      </c>
      <c r="AH77" s="32">
        <f t="shared" si="253"/>
        <v>15911</v>
      </c>
      <c r="AI77" s="32">
        <f t="shared" ref="AI77:AJ77" si="254">SUM(AI75:AI76)</f>
        <v>15828</v>
      </c>
      <c r="AJ77" s="32">
        <f t="shared" si="254"/>
        <v>15691</v>
      </c>
      <c r="AK77" s="32">
        <f t="shared" ref="AK77" si="255">SUM(AK75:AK76)</f>
        <v>15471</v>
      </c>
      <c r="AL77" s="17"/>
    </row>
    <row r="78" spans="1:38" ht="13.5" customHeight="1" x14ac:dyDescent="0.2">
      <c r="A78" s="15"/>
      <c r="AL78" s="17"/>
    </row>
    <row r="79" spans="1:38" ht="13.5" customHeight="1" x14ac:dyDescent="0.2">
      <c r="A79" s="15"/>
      <c r="AL79" s="17"/>
    </row>
    <row r="80" spans="1:38" ht="13.5" customHeight="1" x14ac:dyDescent="0.2">
      <c r="A80" s="15"/>
      <c r="F80" s="36" t="s">
        <v>3</v>
      </c>
      <c r="G80" s="36" t="s">
        <v>4</v>
      </c>
      <c r="H80" s="36" t="s">
        <v>5</v>
      </c>
      <c r="I80" s="36" t="s">
        <v>6</v>
      </c>
      <c r="J80" s="36" t="s">
        <v>7</v>
      </c>
      <c r="K80" s="36" t="s">
        <v>8</v>
      </c>
      <c r="L80" s="36" t="s">
        <v>9</v>
      </c>
      <c r="M80" s="36" t="s">
        <v>10</v>
      </c>
      <c r="N80" s="36" t="s">
        <v>11</v>
      </c>
      <c r="O80" s="36" t="s">
        <v>12</v>
      </c>
      <c r="P80" s="36" t="s">
        <v>13</v>
      </c>
      <c r="Q80" s="36" t="s">
        <v>14</v>
      </c>
      <c r="R80" s="36" t="s">
        <v>15</v>
      </c>
      <c r="S80" s="36" t="s">
        <v>16</v>
      </c>
      <c r="T80" s="36" t="s">
        <v>17</v>
      </c>
      <c r="U80" s="36" t="s">
        <v>18</v>
      </c>
      <c r="V80" s="36" t="s">
        <v>19</v>
      </c>
      <c r="W80" s="36" t="s">
        <v>20</v>
      </c>
      <c r="X80" s="36" t="s">
        <v>21</v>
      </c>
      <c r="Y80" s="36" t="s">
        <v>22</v>
      </c>
      <c r="Z80" s="36" t="s">
        <v>23</v>
      </c>
      <c r="AA80" s="36" t="s">
        <v>24</v>
      </c>
      <c r="AB80" s="36" t="s">
        <v>51</v>
      </c>
      <c r="AC80" s="36" t="s">
        <v>52</v>
      </c>
      <c r="AD80" s="36" t="s">
        <v>53</v>
      </c>
      <c r="AE80" s="36" t="s">
        <v>54</v>
      </c>
      <c r="AF80" s="36" t="s">
        <v>55</v>
      </c>
      <c r="AG80" s="36" t="s">
        <v>56</v>
      </c>
      <c r="AH80" s="36" t="s">
        <v>57</v>
      </c>
      <c r="AI80" s="36" t="s">
        <v>58</v>
      </c>
      <c r="AJ80" s="36" t="s">
        <v>59</v>
      </c>
      <c r="AK80" s="36" t="s">
        <v>60</v>
      </c>
      <c r="AL80" s="17"/>
    </row>
    <row r="81" spans="1:38" ht="13.5" customHeight="1" x14ac:dyDescent="0.2">
      <c r="A81" s="15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7"/>
    </row>
    <row r="82" spans="1:38" ht="13.5" customHeight="1" x14ac:dyDescent="0.2">
      <c r="A82" s="15"/>
      <c r="B82" s="56" t="s">
        <v>41</v>
      </c>
      <c r="C82" s="57"/>
      <c r="D82" s="57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17"/>
    </row>
    <row r="83" spans="1:38" ht="13.5" customHeight="1" x14ac:dyDescent="0.2">
      <c r="A83" s="15"/>
      <c r="C83" s="2" t="s">
        <v>26</v>
      </c>
      <c r="D83" s="2"/>
      <c r="AL83" s="17"/>
    </row>
    <row r="84" spans="1:38" ht="13.5" customHeight="1" x14ac:dyDescent="0.2">
      <c r="A84" s="15"/>
      <c r="D84" s="1" t="s">
        <v>27</v>
      </c>
      <c r="E84" s="21"/>
      <c r="F84" s="21">
        <f t="shared" ref="F84:G86" si="256">F11+F46</f>
        <v>16107845</v>
      </c>
      <c r="G84" s="21">
        <f t="shared" si="256"/>
        <v>13158145</v>
      </c>
      <c r="H84" s="21"/>
      <c r="I84" s="21">
        <f t="shared" ref="I84:AA86" si="257">I11+I46</f>
        <v>14570876</v>
      </c>
      <c r="J84" s="21">
        <f t="shared" si="257"/>
        <v>15387599</v>
      </c>
      <c r="K84" s="21">
        <f t="shared" si="257"/>
        <v>17051182</v>
      </c>
      <c r="L84" s="21">
        <f t="shared" si="257"/>
        <v>18833660</v>
      </c>
      <c r="M84" s="21">
        <f t="shared" si="257"/>
        <v>18828665</v>
      </c>
      <c r="N84" s="21">
        <f t="shared" si="257"/>
        <v>20603426</v>
      </c>
      <c r="O84" s="21">
        <f t="shared" si="257"/>
        <v>24580224</v>
      </c>
      <c r="P84" s="21">
        <f t="shared" si="257"/>
        <v>26707849</v>
      </c>
      <c r="Q84" s="21">
        <f t="shared" si="257"/>
        <v>29107241</v>
      </c>
      <c r="R84" s="21">
        <f t="shared" si="257"/>
        <v>31400775</v>
      </c>
      <c r="S84" s="21">
        <f t="shared" si="257"/>
        <v>32999684</v>
      </c>
      <c r="T84" s="21">
        <f t="shared" si="257"/>
        <v>37333040</v>
      </c>
      <c r="U84" s="21">
        <f t="shared" si="257"/>
        <v>39811952</v>
      </c>
      <c r="V84" s="21">
        <f t="shared" si="257"/>
        <v>44920370</v>
      </c>
      <c r="W84" s="21">
        <f t="shared" si="257"/>
        <v>65813063</v>
      </c>
      <c r="X84" s="21">
        <f t="shared" si="257"/>
        <v>73248096</v>
      </c>
      <c r="Y84" s="21">
        <f t="shared" si="257"/>
        <v>70651904</v>
      </c>
      <c r="Z84" s="21">
        <f t="shared" si="257"/>
        <v>71067230</v>
      </c>
      <c r="AA84" s="21">
        <f t="shared" si="257"/>
        <v>72320055</v>
      </c>
      <c r="AB84" s="21">
        <f t="shared" ref="AB84" si="258">AB11+AB46</f>
        <v>78679176</v>
      </c>
      <c r="AC84" s="21">
        <f t="shared" ref="AC84:AD84" si="259">AC11+AC46</f>
        <v>74895640</v>
      </c>
      <c r="AD84" s="21">
        <f t="shared" si="259"/>
        <v>67334755</v>
      </c>
      <c r="AE84" s="21">
        <f t="shared" ref="AE84:AF84" si="260">AE11+AE46</f>
        <v>71754922</v>
      </c>
      <c r="AF84" s="21">
        <f t="shared" si="260"/>
        <v>74088175</v>
      </c>
      <c r="AG84" s="21">
        <f t="shared" ref="AG84:AH84" si="261">AG11+AG46</f>
        <v>82712531</v>
      </c>
      <c r="AH84" s="21">
        <f t="shared" si="261"/>
        <v>86763117</v>
      </c>
      <c r="AI84" s="21">
        <f t="shared" ref="AI84:AJ84" si="262">AI11+AI46</f>
        <v>101201849</v>
      </c>
      <c r="AJ84" s="21">
        <f t="shared" si="262"/>
        <v>77136626</v>
      </c>
      <c r="AK84" s="21">
        <f t="shared" ref="AK84" si="263">AK11+AK46</f>
        <v>81948123</v>
      </c>
      <c r="AL84" s="17"/>
    </row>
    <row r="85" spans="1:38" ht="13.5" customHeight="1" x14ac:dyDescent="0.2">
      <c r="A85" s="15"/>
      <c r="D85" s="1" t="s">
        <v>28</v>
      </c>
      <c r="E85" s="23"/>
      <c r="F85" s="23">
        <f t="shared" si="256"/>
        <v>69932895</v>
      </c>
      <c r="G85" s="23">
        <f t="shared" si="256"/>
        <v>95262965</v>
      </c>
      <c r="H85" s="23"/>
      <c r="I85" s="23">
        <f t="shared" si="257"/>
        <v>136572086</v>
      </c>
      <c r="J85" s="23">
        <f t="shared" si="257"/>
        <v>155187038</v>
      </c>
      <c r="K85" s="23">
        <f t="shared" si="257"/>
        <v>162842182</v>
      </c>
      <c r="L85" s="23">
        <f t="shared" si="257"/>
        <v>166661468</v>
      </c>
      <c r="M85" s="23">
        <f t="shared" si="257"/>
        <v>170581229</v>
      </c>
      <c r="N85" s="23">
        <f t="shared" si="257"/>
        <v>178690473</v>
      </c>
      <c r="O85" s="23">
        <f t="shared" si="257"/>
        <v>187348027</v>
      </c>
      <c r="P85" s="23">
        <f t="shared" si="257"/>
        <v>220872685</v>
      </c>
      <c r="Q85" s="23">
        <f t="shared" si="257"/>
        <v>253212980</v>
      </c>
      <c r="R85" s="23">
        <f t="shared" si="257"/>
        <v>275610938</v>
      </c>
      <c r="S85" s="23">
        <f t="shared" si="257"/>
        <v>291511710</v>
      </c>
      <c r="T85" s="23">
        <f t="shared" si="257"/>
        <v>298311849</v>
      </c>
      <c r="U85" s="23">
        <f t="shared" si="257"/>
        <v>317867430</v>
      </c>
      <c r="V85" s="23">
        <f t="shared" si="257"/>
        <v>360209341</v>
      </c>
      <c r="W85" s="23">
        <f t="shared" si="257"/>
        <v>413891021</v>
      </c>
      <c r="X85" s="23">
        <f t="shared" si="257"/>
        <v>441014940</v>
      </c>
      <c r="Y85" s="23">
        <f t="shared" si="257"/>
        <v>458595407</v>
      </c>
      <c r="Z85" s="23">
        <f t="shared" si="257"/>
        <v>445124735</v>
      </c>
      <c r="AA85" s="23">
        <f t="shared" si="257"/>
        <v>435104388</v>
      </c>
      <c r="AB85" s="23">
        <f t="shared" ref="AB85" si="264">AB12+AB47</f>
        <v>423484600</v>
      </c>
      <c r="AC85" s="23">
        <f t="shared" ref="AC85:AD85" si="265">AC12+AC47</f>
        <v>411789689</v>
      </c>
      <c r="AD85" s="23">
        <f t="shared" si="265"/>
        <v>401974233</v>
      </c>
      <c r="AE85" s="23">
        <f t="shared" ref="AE85:AF85" si="266">AE12+AE47</f>
        <v>386517322</v>
      </c>
      <c r="AF85" s="23">
        <f t="shared" si="266"/>
        <v>372031647</v>
      </c>
      <c r="AG85" s="23">
        <f t="shared" ref="AG85:AH85" si="267">AG12+AG47</f>
        <v>362642073</v>
      </c>
      <c r="AH85" s="23">
        <f t="shared" si="267"/>
        <v>351358880</v>
      </c>
      <c r="AI85" s="23">
        <f t="shared" ref="AI85:AJ85" si="268">AI12+AI47</f>
        <v>338699971</v>
      </c>
      <c r="AJ85" s="23">
        <f t="shared" si="268"/>
        <v>336963894</v>
      </c>
      <c r="AK85" s="23">
        <f t="shared" ref="AK85" si="269">AK12+AK47</f>
        <v>347378657</v>
      </c>
      <c r="AL85" s="17"/>
    </row>
    <row r="86" spans="1:38" ht="13.5" customHeight="1" x14ac:dyDescent="0.2">
      <c r="A86" s="15"/>
      <c r="D86" s="1" t="s">
        <v>29</v>
      </c>
      <c r="E86" s="23"/>
      <c r="F86" s="24">
        <f t="shared" si="256"/>
        <v>2361369</v>
      </c>
      <c r="G86" s="24">
        <f t="shared" si="256"/>
        <v>2161467</v>
      </c>
      <c r="H86" s="24"/>
      <c r="I86" s="24">
        <f t="shared" si="257"/>
        <v>2169193</v>
      </c>
      <c r="J86" s="24">
        <f t="shared" si="257"/>
        <v>2253059</v>
      </c>
      <c r="K86" s="24">
        <f t="shared" si="257"/>
        <v>3233813</v>
      </c>
      <c r="L86" s="24">
        <f t="shared" si="257"/>
        <v>2641030</v>
      </c>
      <c r="M86" s="24">
        <f t="shared" si="257"/>
        <v>2518866</v>
      </c>
      <c r="N86" s="24">
        <f t="shared" si="257"/>
        <v>3304445</v>
      </c>
      <c r="O86" s="24">
        <f t="shared" si="257"/>
        <v>3146199</v>
      </c>
      <c r="P86" s="24">
        <f t="shared" si="257"/>
        <v>4275319</v>
      </c>
      <c r="Q86" s="24">
        <f t="shared" si="257"/>
        <v>4051404</v>
      </c>
      <c r="R86" s="24">
        <f t="shared" si="257"/>
        <v>3529023</v>
      </c>
      <c r="S86" s="24">
        <f t="shared" si="257"/>
        <v>4032093</v>
      </c>
      <c r="T86" s="24">
        <f t="shared" si="257"/>
        <v>3793029</v>
      </c>
      <c r="U86" s="24">
        <f t="shared" si="257"/>
        <v>3137418</v>
      </c>
      <c r="V86" s="24">
        <f t="shared" si="257"/>
        <v>3863453</v>
      </c>
      <c r="W86" s="24">
        <f t="shared" si="257"/>
        <v>3911587</v>
      </c>
      <c r="X86" s="24">
        <f t="shared" si="257"/>
        <v>3229936</v>
      </c>
      <c r="Y86" s="24">
        <f t="shared" si="257"/>
        <v>3707806</v>
      </c>
      <c r="Z86" s="24">
        <f t="shared" si="257"/>
        <v>3217987</v>
      </c>
      <c r="AA86" s="24">
        <f t="shared" si="257"/>
        <v>3212292</v>
      </c>
      <c r="AB86" s="24">
        <f t="shared" ref="AB86" si="270">AB13+AB48</f>
        <v>3102255</v>
      </c>
      <c r="AC86" s="24">
        <f t="shared" ref="AC86:AD86" si="271">AC13+AC48</f>
        <v>3107223</v>
      </c>
      <c r="AD86" s="24">
        <f t="shared" si="271"/>
        <v>3087505</v>
      </c>
      <c r="AE86" s="24">
        <f t="shared" ref="AE86:AF86" si="272">AE13+AE48</f>
        <v>3184163</v>
      </c>
      <c r="AF86" s="24">
        <f t="shared" si="272"/>
        <v>3425553</v>
      </c>
      <c r="AG86" s="24">
        <f t="shared" ref="AG86:AH86" si="273">AG13+AG48</f>
        <v>3115837</v>
      </c>
      <c r="AH86" s="24">
        <f t="shared" si="273"/>
        <v>2683149</v>
      </c>
      <c r="AI86" s="24">
        <f t="shared" ref="AI86:AJ86" si="274">AI13+AI48</f>
        <v>2653921.5</v>
      </c>
      <c r="AJ86" s="24">
        <f t="shared" si="274"/>
        <v>2490466</v>
      </c>
      <c r="AK86" s="24">
        <f t="shared" ref="AK86" si="275">AK13+AK48</f>
        <v>3146164</v>
      </c>
      <c r="AL86" s="17"/>
    </row>
    <row r="87" spans="1:38" ht="13.5" customHeight="1" x14ac:dyDescent="0.2">
      <c r="A87" s="15"/>
      <c r="F87" s="21">
        <f>SUM(F84:F86)</f>
        <v>88402109</v>
      </c>
      <c r="G87" s="21">
        <f>SUM(G84:G86)</f>
        <v>110582577</v>
      </c>
      <c r="H87" s="21"/>
      <c r="I87" s="21">
        <f t="shared" ref="I87:AA87" si="276">SUM(I84:I86)</f>
        <v>153312155</v>
      </c>
      <c r="J87" s="21">
        <f t="shared" si="276"/>
        <v>172827696</v>
      </c>
      <c r="K87" s="21">
        <f t="shared" si="276"/>
        <v>183127177</v>
      </c>
      <c r="L87" s="21">
        <f t="shared" si="276"/>
        <v>188136158</v>
      </c>
      <c r="M87" s="21">
        <f t="shared" si="276"/>
        <v>191928760</v>
      </c>
      <c r="N87" s="21">
        <f t="shared" si="276"/>
        <v>202598344</v>
      </c>
      <c r="O87" s="21">
        <f t="shared" si="276"/>
        <v>215074450</v>
      </c>
      <c r="P87" s="21">
        <f t="shared" si="276"/>
        <v>251855853</v>
      </c>
      <c r="Q87" s="21">
        <f t="shared" si="276"/>
        <v>286371625</v>
      </c>
      <c r="R87" s="21">
        <f t="shared" si="276"/>
        <v>310540736</v>
      </c>
      <c r="S87" s="21">
        <f t="shared" si="276"/>
        <v>328543487</v>
      </c>
      <c r="T87" s="21">
        <f t="shared" si="276"/>
        <v>339437918</v>
      </c>
      <c r="U87" s="21">
        <f t="shared" si="276"/>
        <v>360816800</v>
      </c>
      <c r="V87" s="21">
        <f t="shared" si="276"/>
        <v>408993164</v>
      </c>
      <c r="W87" s="21">
        <f t="shared" si="276"/>
        <v>483615671</v>
      </c>
      <c r="X87" s="21">
        <f t="shared" si="276"/>
        <v>517492972</v>
      </c>
      <c r="Y87" s="21">
        <f t="shared" si="276"/>
        <v>532955117</v>
      </c>
      <c r="Z87" s="21">
        <f t="shared" si="276"/>
        <v>519409952</v>
      </c>
      <c r="AA87" s="21">
        <f t="shared" si="276"/>
        <v>510636735</v>
      </c>
      <c r="AB87" s="21">
        <f t="shared" ref="AB87" si="277">SUM(AB84:AB86)</f>
        <v>505266031</v>
      </c>
      <c r="AC87" s="21">
        <f t="shared" ref="AC87:AD87" si="278">SUM(AC84:AC86)</f>
        <v>489792552</v>
      </c>
      <c r="AD87" s="21">
        <f t="shared" si="278"/>
        <v>472396493</v>
      </c>
      <c r="AE87" s="21">
        <f t="shared" ref="AE87:AF87" si="279">SUM(AE84:AE86)</f>
        <v>461456407</v>
      </c>
      <c r="AF87" s="21">
        <f t="shared" si="279"/>
        <v>449545375</v>
      </c>
      <c r="AG87" s="21">
        <f t="shared" ref="AG87:AH87" si="280">SUM(AG84:AG86)</f>
        <v>448470441</v>
      </c>
      <c r="AH87" s="21">
        <f t="shared" si="280"/>
        <v>440805146</v>
      </c>
      <c r="AI87" s="21">
        <f t="shared" ref="AI87:AJ87" si="281">SUM(AI84:AI86)</f>
        <v>442555741.5</v>
      </c>
      <c r="AJ87" s="21">
        <f t="shared" si="281"/>
        <v>416590986</v>
      </c>
      <c r="AK87" s="21">
        <f t="shared" ref="AK87" si="282">SUM(AK84:AK86)</f>
        <v>432472944</v>
      </c>
      <c r="AL87" s="17"/>
    </row>
    <row r="88" spans="1:38" ht="13.5" hidden="1" customHeight="1" x14ac:dyDescent="0.2">
      <c r="A88" s="15"/>
      <c r="D88" s="26"/>
      <c r="E88" s="27"/>
      <c r="F88" s="28">
        <f>F15+F50</f>
        <v>-1313593</v>
      </c>
      <c r="G88" s="28">
        <f>G15+G50</f>
        <v>-1167254</v>
      </c>
      <c r="H88" s="26"/>
      <c r="I88" s="28">
        <f t="shared" ref="I88:AA88" si="283">I15+I50</f>
        <v>-1424056</v>
      </c>
      <c r="J88" s="28">
        <f t="shared" si="283"/>
        <v>-1391017</v>
      </c>
      <c r="K88" s="28">
        <f t="shared" si="283"/>
        <v>-1539449</v>
      </c>
      <c r="L88" s="28">
        <f t="shared" si="283"/>
        <v>-1391081</v>
      </c>
      <c r="M88" s="28">
        <f t="shared" si="283"/>
        <v>-1414593</v>
      </c>
      <c r="N88" s="28">
        <f t="shared" si="283"/>
        <v>-1422222</v>
      </c>
      <c r="O88" s="28">
        <f t="shared" si="283"/>
        <v>-1531060</v>
      </c>
      <c r="P88" s="28">
        <f t="shared" si="283"/>
        <v>-1690774</v>
      </c>
      <c r="Q88" s="28">
        <f t="shared" si="283"/>
        <v>-2624050</v>
      </c>
      <c r="R88" s="28">
        <f t="shared" si="283"/>
        <v>-1931679</v>
      </c>
      <c r="S88" s="28">
        <f t="shared" si="283"/>
        <v>-1896482</v>
      </c>
      <c r="T88" s="28">
        <f t="shared" si="283"/>
        <v>-1852600</v>
      </c>
      <c r="U88" s="28">
        <f t="shared" si="283"/>
        <v>-1247991</v>
      </c>
      <c r="V88" s="28">
        <f t="shared" si="283"/>
        <v>-1722434</v>
      </c>
      <c r="W88" s="28">
        <f t="shared" si="283"/>
        <v>-1385736</v>
      </c>
      <c r="X88" s="28">
        <f t="shared" si="283"/>
        <v>-1393002</v>
      </c>
      <c r="Y88" s="28">
        <f t="shared" si="283"/>
        <v>-2050209</v>
      </c>
      <c r="Z88" s="28">
        <f t="shared" si="283"/>
        <v>-1396394</v>
      </c>
      <c r="AA88" s="28">
        <f t="shared" si="283"/>
        <v>-1579330</v>
      </c>
      <c r="AB88" s="28">
        <f t="shared" ref="AB88" si="284">AB15+AB50</f>
        <v>-1302100</v>
      </c>
      <c r="AC88" s="28">
        <f t="shared" ref="AC88:AD88" si="285">AC15+AC50</f>
        <v>-1136256</v>
      </c>
      <c r="AD88" s="28">
        <f t="shared" si="285"/>
        <v>-1221872</v>
      </c>
      <c r="AE88" s="28">
        <f t="shared" ref="AE88:AF88" si="286">AE15+AE50</f>
        <v>-1324169</v>
      </c>
      <c r="AF88" s="28">
        <f t="shared" si="286"/>
        <v>-857618</v>
      </c>
      <c r="AG88" s="28">
        <f t="shared" ref="AG88:AH88" si="287">AG15+AG50</f>
        <v>-756430</v>
      </c>
      <c r="AH88" s="28">
        <f t="shared" si="287"/>
        <v>-820359</v>
      </c>
      <c r="AI88" s="28">
        <f t="shared" ref="AI88:AJ88" si="288">AI15+AI50</f>
        <v>-556463</v>
      </c>
      <c r="AJ88" s="28">
        <f t="shared" si="288"/>
        <v>-359614</v>
      </c>
      <c r="AK88" s="28">
        <f t="shared" ref="AK88" si="289">AK15+AK50</f>
        <v>-594459</v>
      </c>
      <c r="AL88" s="5"/>
    </row>
    <row r="89" spans="1:38" ht="13.5" customHeight="1" x14ac:dyDescent="0.2">
      <c r="A89" s="15"/>
      <c r="D89" s="26"/>
      <c r="E89" s="27" t="s">
        <v>30</v>
      </c>
      <c r="F89" s="29">
        <f>SUM(F87:F88)</f>
        <v>87088516</v>
      </c>
      <c r="G89" s="29">
        <f>SUM(G87:G88)</f>
        <v>109415323</v>
      </c>
      <c r="H89" s="26"/>
      <c r="I89" s="29">
        <f t="shared" ref="I89:AA89" si="290">SUM(I87:I88)</f>
        <v>151888099</v>
      </c>
      <c r="J89" s="29">
        <f t="shared" si="290"/>
        <v>171436679</v>
      </c>
      <c r="K89" s="29">
        <f t="shared" si="290"/>
        <v>181587728</v>
      </c>
      <c r="L89" s="29">
        <f t="shared" si="290"/>
        <v>186745077</v>
      </c>
      <c r="M89" s="29">
        <f t="shared" si="290"/>
        <v>190514167</v>
      </c>
      <c r="N89" s="29">
        <f t="shared" si="290"/>
        <v>201176122</v>
      </c>
      <c r="O89" s="29">
        <f t="shared" si="290"/>
        <v>213543390</v>
      </c>
      <c r="P89" s="29">
        <f t="shared" si="290"/>
        <v>250165079</v>
      </c>
      <c r="Q89" s="29">
        <f t="shared" si="290"/>
        <v>283747575</v>
      </c>
      <c r="R89" s="29">
        <f t="shared" si="290"/>
        <v>308609057</v>
      </c>
      <c r="S89" s="29">
        <f t="shared" si="290"/>
        <v>326647005</v>
      </c>
      <c r="T89" s="29">
        <f t="shared" si="290"/>
        <v>337585318</v>
      </c>
      <c r="U89" s="29">
        <f t="shared" si="290"/>
        <v>359568809</v>
      </c>
      <c r="V89" s="29">
        <f t="shared" si="290"/>
        <v>407270730</v>
      </c>
      <c r="W89" s="29">
        <f t="shared" si="290"/>
        <v>482229935</v>
      </c>
      <c r="X89" s="29">
        <f t="shared" si="290"/>
        <v>516099970</v>
      </c>
      <c r="Y89" s="29">
        <f t="shared" si="290"/>
        <v>530904908</v>
      </c>
      <c r="Z89" s="29">
        <f t="shared" si="290"/>
        <v>518013558</v>
      </c>
      <c r="AA89" s="29">
        <f t="shared" si="290"/>
        <v>509057405</v>
      </c>
      <c r="AB89" s="29">
        <f t="shared" ref="AB89" si="291">SUM(AB87:AB88)</f>
        <v>503963931</v>
      </c>
      <c r="AC89" s="29">
        <f t="shared" ref="AC89:AD89" si="292">SUM(AC87:AC88)</f>
        <v>488656296</v>
      </c>
      <c r="AD89" s="29">
        <f t="shared" si="292"/>
        <v>471174621</v>
      </c>
      <c r="AE89" s="29">
        <f t="shared" ref="AE89:AF89" si="293">SUM(AE87:AE88)</f>
        <v>460132238</v>
      </c>
      <c r="AF89" s="29">
        <f t="shared" si="293"/>
        <v>448687757</v>
      </c>
      <c r="AG89" s="29">
        <f t="shared" ref="AG89:AH89" si="294">SUM(AG87:AG88)</f>
        <v>447714011</v>
      </c>
      <c r="AH89" s="29">
        <f t="shared" si="294"/>
        <v>439984787</v>
      </c>
      <c r="AI89" s="29">
        <f t="shared" ref="AI89:AJ89" si="295">SUM(AI87:AI88)</f>
        <v>441999278.5</v>
      </c>
      <c r="AJ89" s="29">
        <f t="shared" si="295"/>
        <v>416231372</v>
      </c>
      <c r="AK89" s="29">
        <f t="shared" ref="AK89" si="296">SUM(AK87:AK88)</f>
        <v>431878485</v>
      </c>
      <c r="AL89" s="5"/>
    </row>
    <row r="90" spans="1:38" ht="13.5" customHeight="1" x14ac:dyDescent="0.2">
      <c r="A90" s="15"/>
      <c r="C90" s="2" t="s">
        <v>31</v>
      </c>
      <c r="AL90" s="17"/>
    </row>
    <row r="91" spans="1:38" ht="13.5" customHeight="1" x14ac:dyDescent="0.2">
      <c r="A91" s="15"/>
      <c r="D91" s="1" t="s">
        <v>27</v>
      </c>
      <c r="E91" s="21"/>
      <c r="F91" s="21">
        <f>F18+F53</f>
        <v>12855876</v>
      </c>
      <c r="G91" s="21">
        <f>G18+G53</f>
        <v>7828593</v>
      </c>
      <c r="H91" s="21"/>
      <c r="I91" s="21">
        <f t="shared" ref="I91:AA92" si="297">I18+I53</f>
        <v>8449784</v>
      </c>
      <c r="J91" s="21">
        <f t="shared" si="297"/>
        <v>9187067</v>
      </c>
      <c r="K91" s="21">
        <f t="shared" si="297"/>
        <v>10110299</v>
      </c>
      <c r="L91" s="21">
        <f t="shared" si="297"/>
        <v>11805488</v>
      </c>
      <c r="M91" s="21">
        <f t="shared" si="297"/>
        <v>13129068</v>
      </c>
      <c r="N91" s="21">
        <f t="shared" si="297"/>
        <v>15187233</v>
      </c>
      <c r="O91" s="21">
        <f t="shared" si="297"/>
        <v>16119238</v>
      </c>
      <c r="P91" s="21">
        <f t="shared" si="297"/>
        <v>15263942</v>
      </c>
      <c r="Q91" s="21">
        <f t="shared" si="297"/>
        <v>15291353</v>
      </c>
      <c r="R91" s="21">
        <f t="shared" si="297"/>
        <v>14246288</v>
      </c>
      <c r="S91" s="21">
        <f t="shared" si="297"/>
        <v>15789657</v>
      </c>
      <c r="T91" s="21">
        <f t="shared" si="297"/>
        <v>15747843</v>
      </c>
      <c r="U91" s="21">
        <f t="shared" si="297"/>
        <v>23168934</v>
      </c>
      <c r="V91" s="21">
        <f t="shared" si="297"/>
        <v>23981647</v>
      </c>
      <c r="W91" s="21">
        <f t="shared" si="297"/>
        <v>22106603</v>
      </c>
      <c r="X91" s="21">
        <f t="shared" si="297"/>
        <v>16341773</v>
      </c>
      <c r="Y91" s="21">
        <f t="shared" si="297"/>
        <v>16567128</v>
      </c>
      <c r="Z91" s="21">
        <f t="shared" si="297"/>
        <v>18476321</v>
      </c>
      <c r="AA91" s="21">
        <f t="shared" si="297"/>
        <v>19633191</v>
      </c>
      <c r="AB91" s="21">
        <f t="shared" ref="AB91" si="298">AB18+AB53</f>
        <v>24974843</v>
      </c>
      <c r="AC91" s="21">
        <f t="shared" ref="AC91:AD91" si="299">AC18+AC53</f>
        <v>28609575</v>
      </c>
      <c r="AD91" s="21">
        <f t="shared" si="299"/>
        <v>29564264</v>
      </c>
      <c r="AE91" s="21">
        <f t="shared" ref="AE91:AF91" si="300">AE18+AE53</f>
        <v>27451340</v>
      </c>
      <c r="AF91" s="21">
        <f t="shared" si="300"/>
        <v>29161749</v>
      </c>
      <c r="AG91" s="21">
        <f t="shared" ref="AG91:AH91" si="301">AG18+AG53</f>
        <v>30244809</v>
      </c>
      <c r="AH91" s="21">
        <f t="shared" si="301"/>
        <v>27270924</v>
      </c>
      <c r="AI91" s="21">
        <f t="shared" ref="AI91:AJ91" si="302">AI18+AI53</f>
        <v>32539017</v>
      </c>
      <c r="AJ91" s="21">
        <f t="shared" si="302"/>
        <v>35037268</v>
      </c>
      <c r="AK91" s="21">
        <f t="shared" ref="AK91" si="303">AK18+AK53</f>
        <v>36252012</v>
      </c>
      <c r="AL91" s="17"/>
    </row>
    <row r="92" spans="1:38" ht="13.5" customHeight="1" x14ac:dyDescent="0.2">
      <c r="A92" s="15"/>
      <c r="D92" s="1" t="s">
        <v>28</v>
      </c>
      <c r="E92" s="23"/>
      <c r="F92" s="24">
        <f>F19+F54</f>
        <v>0</v>
      </c>
      <c r="G92" s="24">
        <f>G19+G54</f>
        <v>0</v>
      </c>
      <c r="H92" s="24"/>
      <c r="I92" s="24">
        <f t="shared" si="297"/>
        <v>0</v>
      </c>
      <c r="J92" s="24">
        <f t="shared" si="297"/>
        <v>0</v>
      </c>
      <c r="K92" s="24">
        <f t="shared" si="297"/>
        <v>0</v>
      </c>
      <c r="L92" s="24">
        <f t="shared" si="297"/>
        <v>0</v>
      </c>
      <c r="M92" s="24">
        <f t="shared" si="297"/>
        <v>1116517</v>
      </c>
      <c r="N92" s="24">
        <f t="shared" si="297"/>
        <v>859952</v>
      </c>
      <c r="O92" s="24">
        <f t="shared" si="297"/>
        <v>473732</v>
      </c>
      <c r="P92" s="24">
        <f t="shared" si="297"/>
        <v>242862</v>
      </c>
      <c r="Q92" s="24">
        <f t="shared" si="297"/>
        <v>143911</v>
      </c>
      <c r="R92" s="24">
        <f t="shared" si="297"/>
        <v>23166</v>
      </c>
      <c r="S92" s="24">
        <f t="shared" si="297"/>
        <v>0</v>
      </c>
      <c r="T92" s="24">
        <f t="shared" si="297"/>
        <v>0</v>
      </c>
      <c r="U92" s="24">
        <f t="shared" si="297"/>
        <v>0</v>
      </c>
      <c r="V92" s="24">
        <f t="shared" si="297"/>
        <v>357500</v>
      </c>
      <c r="W92" s="24">
        <f t="shared" si="297"/>
        <v>245001</v>
      </c>
      <c r="X92" s="24">
        <f t="shared" si="297"/>
        <v>240000</v>
      </c>
      <c r="Y92" s="24">
        <f t="shared" si="297"/>
        <v>120000</v>
      </c>
      <c r="Z92" s="24">
        <f t="shared" si="297"/>
        <v>120000</v>
      </c>
      <c r="AA92" s="24">
        <f t="shared" si="297"/>
        <v>102500</v>
      </c>
      <c r="AB92" s="24">
        <f t="shared" ref="AB92" si="304">AB19+AB54</f>
        <v>70000</v>
      </c>
      <c r="AC92" s="24">
        <f t="shared" ref="AC92:AD92" si="305">AC19+AC54</f>
        <v>0</v>
      </c>
      <c r="AD92" s="24">
        <f t="shared" si="305"/>
        <v>0</v>
      </c>
      <c r="AE92" s="24">
        <f t="shared" ref="AE92:AF92" si="306">AE19+AE54</f>
        <v>0</v>
      </c>
      <c r="AF92" s="24">
        <f t="shared" si="306"/>
        <v>0</v>
      </c>
      <c r="AG92" s="24">
        <f t="shared" ref="AG92:AH92" si="307">AG19+AG54</f>
        <v>0</v>
      </c>
      <c r="AH92" s="24">
        <f t="shared" si="307"/>
        <v>0</v>
      </c>
      <c r="AI92" s="24">
        <f t="shared" ref="AI92:AJ92" si="308">AI19+AI54</f>
        <v>0</v>
      </c>
      <c r="AJ92" s="24">
        <f t="shared" si="308"/>
        <v>0</v>
      </c>
      <c r="AK92" s="24">
        <f t="shared" ref="AK92" si="309">AK19+AK54</f>
        <v>0</v>
      </c>
      <c r="AL92" s="17"/>
    </row>
    <row r="93" spans="1:38" ht="13.5" customHeight="1" x14ac:dyDescent="0.2">
      <c r="A93" s="15"/>
      <c r="F93" s="21">
        <f>SUM(F91:F92)</f>
        <v>12855876</v>
      </c>
      <c r="G93" s="21">
        <f>SUM(G91:G92)</f>
        <v>7828593</v>
      </c>
      <c r="I93" s="21">
        <f t="shared" ref="I93:AA93" si="310">SUM(I91:I92)</f>
        <v>8449784</v>
      </c>
      <c r="J93" s="21">
        <f t="shared" si="310"/>
        <v>9187067</v>
      </c>
      <c r="K93" s="21">
        <f t="shared" si="310"/>
        <v>10110299</v>
      </c>
      <c r="L93" s="21">
        <f t="shared" si="310"/>
        <v>11805488</v>
      </c>
      <c r="M93" s="21">
        <f t="shared" si="310"/>
        <v>14245585</v>
      </c>
      <c r="N93" s="21">
        <f t="shared" si="310"/>
        <v>16047185</v>
      </c>
      <c r="O93" s="21">
        <f t="shared" si="310"/>
        <v>16592970</v>
      </c>
      <c r="P93" s="21">
        <f t="shared" si="310"/>
        <v>15506804</v>
      </c>
      <c r="Q93" s="21">
        <f t="shared" si="310"/>
        <v>15435264</v>
      </c>
      <c r="R93" s="21">
        <f t="shared" si="310"/>
        <v>14269454</v>
      </c>
      <c r="S93" s="21">
        <f t="shared" si="310"/>
        <v>15789657</v>
      </c>
      <c r="T93" s="21">
        <f t="shared" si="310"/>
        <v>15747843</v>
      </c>
      <c r="U93" s="21">
        <f t="shared" si="310"/>
        <v>23168934</v>
      </c>
      <c r="V93" s="21">
        <f t="shared" si="310"/>
        <v>24339147</v>
      </c>
      <c r="W93" s="21">
        <f t="shared" si="310"/>
        <v>22351604</v>
      </c>
      <c r="X93" s="21">
        <f t="shared" si="310"/>
        <v>16581773</v>
      </c>
      <c r="Y93" s="21">
        <f t="shared" si="310"/>
        <v>16687128</v>
      </c>
      <c r="Z93" s="21">
        <f t="shared" si="310"/>
        <v>18596321</v>
      </c>
      <c r="AA93" s="21">
        <f t="shared" si="310"/>
        <v>19735691</v>
      </c>
      <c r="AB93" s="21">
        <f t="shared" ref="AB93" si="311">SUM(AB91:AB92)</f>
        <v>25044843</v>
      </c>
      <c r="AC93" s="21">
        <f t="shared" ref="AC93:AD93" si="312">SUM(AC91:AC92)</f>
        <v>28609575</v>
      </c>
      <c r="AD93" s="21">
        <f t="shared" si="312"/>
        <v>29564264</v>
      </c>
      <c r="AE93" s="21">
        <f t="shared" ref="AE93:AF93" si="313">SUM(AE91:AE92)</f>
        <v>27451340</v>
      </c>
      <c r="AF93" s="21">
        <f t="shared" si="313"/>
        <v>29161749</v>
      </c>
      <c r="AG93" s="21">
        <f t="shared" ref="AG93:AH93" si="314">SUM(AG91:AG92)</f>
        <v>30244809</v>
      </c>
      <c r="AH93" s="21">
        <f t="shared" si="314"/>
        <v>27270924</v>
      </c>
      <c r="AI93" s="21">
        <f t="shared" ref="AI93:AJ93" si="315">SUM(AI91:AI92)</f>
        <v>32539017</v>
      </c>
      <c r="AJ93" s="21">
        <f t="shared" si="315"/>
        <v>35037268</v>
      </c>
      <c r="AK93" s="21">
        <f t="shared" ref="AK93" si="316">SUM(AK91:AK92)</f>
        <v>36252012</v>
      </c>
      <c r="AL93" s="17"/>
    </row>
    <row r="94" spans="1:38" ht="13.5" hidden="1" customHeight="1" x14ac:dyDescent="0.2">
      <c r="A94" s="15"/>
      <c r="D94" s="26"/>
      <c r="E94" s="27"/>
      <c r="F94" s="28">
        <f>F21+F56</f>
        <v>-35750</v>
      </c>
      <c r="G94" s="28">
        <f>G21+G56</f>
        <v>-32500</v>
      </c>
      <c r="H94" s="26"/>
      <c r="I94" s="28">
        <f t="shared" ref="I94:AA94" si="317">I21+I56</f>
        <v>-41500</v>
      </c>
      <c r="J94" s="28">
        <f t="shared" si="317"/>
        <v>-36250</v>
      </c>
      <c r="K94" s="28">
        <f t="shared" si="317"/>
        <v>-37000</v>
      </c>
      <c r="L94" s="28">
        <f t="shared" si="317"/>
        <v>-41053</v>
      </c>
      <c r="M94" s="28">
        <f t="shared" si="317"/>
        <v>-87777</v>
      </c>
      <c r="N94" s="28">
        <f t="shared" si="317"/>
        <v>-52835</v>
      </c>
      <c r="O94" s="28">
        <f t="shared" si="317"/>
        <v>-56386</v>
      </c>
      <c r="P94" s="28">
        <f t="shared" si="317"/>
        <v>-67877</v>
      </c>
      <c r="Q94" s="28">
        <f t="shared" si="317"/>
        <v>-103888</v>
      </c>
      <c r="R94" s="28">
        <f t="shared" si="317"/>
        <v>-83026</v>
      </c>
      <c r="S94" s="28">
        <f t="shared" si="317"/>
        <v>-65439</v>
      </c>
      <c r="T94" s="28">
        <f t="shared" si="317"/>
        <v>-48500</v>
      </c>
      <c r="U94" s="28">
        <f t="shared" si="317"/>
        <v>-70367</v>
      </c>
      <c r="V94" s="28">
        <f t="shared" si="317"/>
        <v>-48658</v>
      </c>
      <c r="W94" s="28">
        <f t="shared" si="317"/>
        <v>-8500</v>
      </c>
      <c r="X94" s="28">
        <f t="shared" si="317"/>
        <v>-4000</v>
      </c>
      <c r="Y94" s="28">
        <f t="shared" si="317"/>
        <v>-1000</v>
      </c>
      <c r="Z94" s="28">
        <f t="shared" si="317"/>
        <v>-1000</v>
      </c>
      <c r="AA94" s="28">
        <f t="shared" si="317"/>
        <v>-1000</v>
      </c>
      <c r="AB94" s="28">
        <f t="shared" ref="AB94" si="318">AB21+AB56</f>
        <v>-1000</v>
      </c>
      <c r="AC94" s="28">
        <f t="shared" ref="AC94:AD94" si="319">AC21+AC56</f>
        <v>-1000</v>
      </c>
      <c r="AD94" s="28">
        <f t="shared" si="319"/>
        <v>0</v>
      </c>
      <c r="AE94" s="28">
        <f t="shared" ref="AE94:AF94" si="320">AE21+AE56</f>
        <v>0</v>
      </c>
      <c r="AF94" s="28">
        <f t="shared" si="320"/>
        <v>0</v>
      </c>
      <c r="AG94" s="28">
        <f t="shared" ref="AG94:AH94" si="321">AG21+AG56</f>
        <v>0</v>
      </c>
      <c r="AH94" s="28">
        <f t="shared" si="321"/>
        <v>0</v>
      </c>
      <c r="AI94" s="28">
        <f t="shared" ref="AI94:AJ94" si="322">AI21+AI56</f>
        <v>0</v>
      </c>
      <c r="AJ94" s="28">
        <f t="shared" si="322"/>
        <v>0</v>
      </c>
      <c r="AK94" s="28">
        <f t="shared" ref="AK94" si="323">AK21+AK56</f>
        <v>0</v>
      </c>
      <c r="AL94" s="5"/>
    </row>
    <row r="95" spans="1:38" ht="13.5" customHeight="1" x14ac:dyDescent="0.2">
      <c r="A95" s="15"/>
      <c r="D95" s="26"/>
      <c r="E95" s="27" t="s">
        <v>30</v>
      </c>
      <c r="F95" s="29">
        <f>SUM(F93:F94)</f>
        <v>12820126</v>
      </c>
      <c r="G95" s="29">
        <f>SUM(G93:G94)</f>
        <v>7796093</v>
      </c>
      <c r="H95" s="26"/>
      <c r="I95" s="29">
        <f t="shared" ref="I95:AA95" si="324">SUM(I93:I94)</f>
        <v>8408284</v>
      </c>
      <c r="J95" s="29">
        <f t="shared" si="324"/>
        <v>9150817</v>
      </c>
      <c r="K95" s="29">
        <f t="shared" si="324"/>
        <v>10073299</v>
      </c>
      <c r="L95" s="29">
        <f t="shared" si="324"/>
        <v>11764435</v>
      </c>
      <c r="M95" s="29">
        <f t="shared" si="324"/>
        <v>14157808</v>
      </c>
      <c r="N95" s="29">
        <f t="shared" si="324"/>
        <v>15994350</v>
      </c>
      <c r="O95" s="29">
        <f t="shared" si="324"/>
        <v>16536584</v>
      </c>
      <c r="P95" s="29">
        <f t="shared" si="324"/>
        <v>15438927</v>
      </c>
      <c r="Q95" s="29">
        <f t="shared" si="324"/>
        <v>15331376</v>
      </c>
      <c r="R95" s="29">
        <f t="shared" si="324"/>
        <v>14186428</v>
      </c>
      <c r="S95" s="29">
        <f t="shared" si="324"/>
        <v>15724218</v>
      </c>
      <c r="T95" s="29">
        <f t="shared" si="324"/>
        <v>15699343</v>
      </c>
      <c r="U95" s="29">
        <f t="shared" si="324"/>
        <v>23098567</v>
      </c>
      <c r="V95" s="29">
        <f t="shared" si="324"/>
        <v>24290489</v>
      </c>
      <c r="W95" s="29">
        <f t="shared" si="324"/>
        <v>22343104</v>
      </c>
      <c r="X95" s="29">
        <f t="shared" si="324"/>
        <v>16577773</v>
      </c>
      <c r="Y95" s="29">
        <f t="shared" si="324"/>
        <v>16686128</v>
      </c>
      <c r="Z95" s="29">
        <f t="shared" si="324"/>
        <v>18595321</v>
      </c>
      <c r="AA95" s="29">
        <f t="shared" si="324"/>
        <v>19734691</v>
      </c>
      <c r="AB95" s="29">
        <f t="shared" ref="AB95" si="325">SUM(AB93:AB94)</f>
        <v>25043843</v>
      </c>
      <c r="AC95" s="29">
        <f t="shared" ref="AC95:AD95" si="326">SUM(AC93:AC94)</f>
        <v>28608575</v>
      </c>
      <c r="AD95" s="29">
        <f t="shared" si="326"/>
        <v>29564264</v>
      </c>
      <c r="AE95" s="29">
        <f t="shared" ref="AE95:AF95" si="327">SUM(AE93:AE94)</f>
        <v>27451340</v>
      </c>
      <c r="AF95" s="29">
        <f t="shared" si="327"/>
        <v>29161749</v>
      </c>
      <c r="AG95" s="29">
        <f t="shared" ref="AG95:AH95" si="328">SUM(AG93:AG94)</f>
        <v>30244809</v>
      </c>
      <c r="AH95" s="29">
        <f t="shared" si="328"/>
        <v>27270924</v>
      </c>
      <c r="AI95" s="29">
        <f t="shared" ref="AI95:AJ95" si="329">SUM(AI93:AI94)</f>
        <v>32539017</v>
      </c>
      <c r="AJ95" s="29">
        <f t="shared" si="329"/>
        <v>35037268</v>
      </c>
      <c r="AK95" s="29">
        <f t="shared" ref="AK95" si="330">SUM(AK93:AK94)</f>
        <v>36252012</v>
      </c>
      <c r="AL95" s="5"/>
    </row>
    <row r="96" spans="1:38" ht="13.5" customHeight="1" x14ac:dyDescent="0.2">
      <c r="A96" s="15"/>
      <c r="C96" s="2" t="s">
        <v>32</v>
      </c>
      <c r="D96" s="2"/>
      <c r="AL96" s="17"/>
    </row>
    <row r="97" spans="1:38" ht="13.5" customHeight="1" x14ac:dyDescent="0.2">
      <c r="A97" s="15"/>
      <c r="D97" s="1" t="s">
        <v>27</v>
      </c>
      <c r="E97" s="21"/>
      <c r="F97" s="21">
        <f t="shared" ref="F97:G99" si="331">F24+F59</f>
        <v>34753229</v>
      </c>
      <c r="G97" s="21">
        <f t="shared" si="331"/>
        <v>45648706</v>
      </c>
      <c r="H97" s="21"/>
      <c r="I97" s="21">
        <f t="shared" ref="I97:AA99" si="332">I24+I59</f>
        <v>65860055</v>
      </c>
      <c r="J97" s="21">
        <f t="shared" si="332"/>
        <v>73533989</v>
      </c>
      <c r="K97" s="21">
        <f t="shared" si="332"/>
        <v>80475777</v>
      </c>
      <c r="L97" s="21">
        <f t="shared" si="332"/>
        <v>87116705</v>
      </c>
      <c r="M97" s="21">
        <f t="shared" si="332"/>
        <v>90750665</v>
      </c>
      <c r="N97" s="21">
        <f t="shared" si="332"/>
        <v>95306741</v>
      </c>
      <c r="O97" s="21">
        <f t="shared" si="332"/>
        <v>101754771</v>
      </c>
      <c r="P97" s="21">
        <f t="shared" si="332"/>
        <v>107451941</v>
      </c>
      <c r="Q97" s="21">
        <f t="shared" si="332"/>
        <v>117444499</v>
      </c>
      <c r="R97" s="21">
        <f t="shared" si="332"/>
        <v>123539399</v>
      </c>
      <c r="S97" s="21">
        <f t="shared" si="332"/>
        <v>133298296</v>
      </c>
      <c r="T97" s="21">
        <f t="shared" si="332"/>
        <v>144701144</v>
      </c>
      <c r="U97" s="21">
        <f t="shared" si="332"/>
        <v>153232444</v>
      </c>
      <c r="V97" s="21">
        <f t="shared" si="332"/>
        <v>169393892</v>
      </c>
      <c r="W97" s="21">
        <f t="shared" si="332"/>
        <v>166012405</v>
      </c>
      <c r="X97" s="21">
        <f t="shared" si="332"/>
        <v>173393767</v>
      </c>
      <c r="Y97" s="21">
        <f t="shared" si="332"/>
        <v>191305379</v>
      </c>
      <c r="Z97" s="21">
        <f t="shared" si="332"/>
        <v>202346763</v>
      </c>
      <c r="AA97" s="21">
        <f t="shared" si="332"/>
        <v>211098232</v>
      </c>
      <c r="AB97" s="21">
        <f t="shared" ref="AB97" si="333">AB24+AB59</f>
        <v>224375159</v>
      </c>
      <c r="AC97" s="21">
        <f t="shared" ref="AC97:AD97" si="334">AC24+AC59</f>
        <v>240698283</v>
      </c>
      <c r="AD97" s="21">
        <f t="shared" si="334"/>
        <v>242677603</v>
      </c>
      <c r="AE97" s="21">
        <f t="shared" ref="AE97:AF97" si="335">AE24+AE59</f>
        <v>246576274</v>
      </c>
      <c r="AF97" s="21">
        <f t="shared" si="335"/>
        <v>251701852</v>
      </c>
      <c r="AG97" s="21">
        <f t="shared" ref="AG97:AH97" si="336">AG24+AG59</f>
        <v>289894653</v>
      </c>
      <c r="AH97" s="21">
        <f t="shared" si="336"/>
        <v>303597328</v>
      </c>
      <c r="AI97" s="21">
        <f t="shared" ref="AI97:AJ97" si="337">AI24+AI59</f>
        <v>330393245</v>
      </c>
      <c r="AJ97" s="21">
        <f t="shared" si="337"/>
        <v>343655988</v>
      </c>
      <c r="AK97" s="21">
        <f t="shared" ref="AK97" si="338">AK24+AK59</f>
        <v>380196454</v>
      </c>
      <c r="AL97" s="17"/>
    </row>
    <row r="98" spans="1:38" ht="13.5" customHeight="1" x14ac:dyDescent="0.2">
      <c r="A98" s="15"/>
      <c r="D98" s="1" t="s">
        <v>28</v>
      </c>
      <c r="E98" s="23"/>
      <c r="F98" s="23">
        <f t="shared" si="331"/>
        <v>1537208</v>
      </c>
      <c r="G98" s="23">
        <f t="shared" si="331"/>
        <v>1327151</v>
      </c>
      <c r="H98" s="23"/>
      <c r="I98" s="23">
        <f t="shared" si="332"/>
        <v>2208758</v>
      </c>
      <c r="J98" s="23">
        <f t="shared" si="332"/>
        <v>2992777</v>
      </c>
      <c r="K98" s="23">
        <f t="shared" si="332"/>
        <v>3089279</v>
      </c>
      <c r="L98" s="23">
        <f t="shared" si="332"/>
        <v>2894001</v>
      </c>
      <c r="M98" s="23">
        <f t="shared" si="332"/>
        <v>2547891</v>
      </c>
      <c r="N98" s="23">
        <f t="shared" si="332"/>
        <v>2542676</v>
      </c>
      <c r="O98" s="23">
        <f t="shared" si="332"/>
        <v>2221428</v>
      </c>
      <c r="P98" s="23">
        <f t="shared" si="332"/>
        <v>1632829</v>
      </c>
      <c r="Q98" s="23">
        <f t="shared" si="332"/>
        <v>2940412</v>
      </c>
      <c r="R98" s="23">
        <f t="shared" si="332"/>
        <v>3690767</v>
      </c>
      <c r="S98" s="23">
        <f t="shared" si="332"/>
        <v>4368332</v>
      </c>
      <c r="T98" s="23">
        <f t="shared" si="332"/>
        <v>3525853</v>
      </c>
      <c r="U98" s="23">
        <f t="shared" si="332"/>
        <v>2709296</v>
      </c>
      <c r="V98" s="23">
        <f t="shared" si="332"/>
        <v>2513448</v>
      </c>
      <c r="W98" s="23">
        <f t="shared" si="332"/>
        <v>2148337</v>
      </c>
      <c r="X98" s="23">
        <f t="shared" si="332"/>
        <v>2372596</v>
      </c>
      <c r="Y98" s="23">
        <f t="shared" si="332"/>
        <v>2284506</v>
      </c>
      <c r="Z98" s="23">
        <f t="shared" si="332"/>
        <v>1592877</v>
      </c>
      <c r="AA98" s="23">
        <f t="shared" si="332"/>
        <v>1394825</v>
      </c>
      <c r="AB98" s="23">
        <f t="shared" ref="AB98" si="339">AB25+AB60</f>
        <v>1189126</v>
      </c>
      <c r="AC98" s="23">
        <f t="shared" ref="AC98:AD98" si="340">AC25+AC60</f>
        <v>1040363</v>
      </c>
      <c r="AD98" s="23">
        <f t="shared" si="340"/>
        <v>1074305</v>
      </c>
      <c r="AE98" s="23">
        <f t="shared" ref="AE98:AF98" si="341">AE25+AE60</f>
        <v>1546518</v>
      </c>
      <c r="AF98" s="23">
        <f t="shared" si="341"/>
        <v>1721191</v>
      </c>
      <c r="AG98" s="23">
        <f t="shared" ref="AG98:AH98" si="342">AG25+AG60</f>
        <v>1270774</v>
      </c>
      <c r="AH98" s="23">
        <f t="shared" si="342"/>
        <v>928264</v>
      </c>
      <c r="AI98" s="23">
        <f t="shared" ref="AI98:AJ98" si="343">AI25+AI60</f>
        <v>746296</v>
      </c>
      <c r="AJ98" s="23">
        <f t="shared" si="343"/>
        <v>995576</v>
      </c>
      <c r="AK98" s="23">
        <f t="shared" ref="AK98" si="344">AK25+AK60</f>
        <v>1102807</v>
      </c>
      <c r="AL98" s="17"/>
    </row>
    <row r="99" spans="1:38" ht="13.5" customHeight="1" x14ac:dyDescent="0.2">
      <c r="A99" s="15"/>
      <c r="D99" s="1" t="s">
        <v>29</v>
      </c>
      <c r="E99" s="23"/>
      <c r="F99" s="24">
        <f t="shared" si="331"/>
        <v>34985038</v>
      </c>
      <c r="G99" s="24">
        <f t="shared" si="331"/>
        <v>37286110</v>
      </c>
      <c r="H99" s="24"/>
      <c r="I99" s="24">
        <f t="shared" si="332"/>
        <v>34324113</v>
      </c>
      <c r="J99" s="24">
        <f t="shared" si="332"/>
        <v>36070254</v>
      </c>
      <c r="K99" s="24">
        <f t="shared" si="332"/>
        <v>39110358</v>
      </c>
      <c r="L99" s="24">
        <f t="shared" si="332"/>
        <v>40560080</v>
      </c>
      <c r="M99" s="24">
        <f t="shared" si="332"/>
        <v>42483615</v>
      </c>
      <c r="N99" s="24">
        <f t="shared" si="332"/>
        <v>43419861</v>
      </c>
      <c r="O99" s="24">
        <f t="shared" si="332"/>
        <v>38459926</v>
      </c>
      <c r="P99" s="24">
        <f t="shared" si="332"/>
        <v>34647984</v>
      </c>
      <c r="Q99" s="24">
        <f t="shared" si="332"/>
        <v>47032182</v>
      </c>
      <c r="R99" s="24">
        <f t="shared" si="332"/>
        <v>53459172</v>
      </c>
      <c r="S99" s="24">
        <f t="shared" si="332"/>
        <v>47023762</v>
      </c>
      <c r="T99" s="24">
        <f t="shared" si="332"/>
        <v>54501965</v>
      </c>
      <c r="U99" s="24">
        <f t="shared" si="332"/>
        <v>61338214</v>
      </c>
      <c r="V99" s="24">
        <f t="shared" si="332"/>
        <v>70421466</v>
      </c>
      <c r="W99" s="24">
        <f t="shared" si="332"/>
        <v>76331763</v>
      </c>
      <c r="X99" s="24">
        <f t="shared" si="332"/>
        <v>79835647</v>
      </c>
      <c r="Y99" s="24">
        <f t="shared" si="332"/>
        <v>83914364</v>
      </c>
      <c r="Z99" s="24">
        <f t="shared" si="332"/>
        <v>84020727</v>
      </c>
      <c r="AA99" s="24">
        <f t="shared" si="332"/>
        <v>85705244</v>
      </c>
      <c r="AB99" s="24">
        <f t="shared" ref="AB99" si="345">AB26+AB61</f>
        <v>86930379</v>
      </c>
      <c r="AC99" s="24">
        <f t="shared" ref="AC99:AD99" si="346">AC26+AC61</f>
        <v>90178013</v>
      </c>
      <c r="AD99" s="24">
        <f t="shared" si="346"/>
        <v>88624170</v>
      </c>
      <c r="AE99" s="24">
        <f t="shared" ref="AE99:AF99" si="347">AE26+AE61</f>
        <v>87617470</v>
      </c>
      <c r="AF99" s="24">
        <f t="shared" si="347"/>
        <v>84135554</v>
      </c>
      <c r="AG99" s="24">
        <f t="shared" ref="AG99:AH99" si="348">AG26+AG61</f>
        <v>82914831</v>
      </c>
      <c r="AH99" s="24">
        <f t="shared" si="348"/>
        <v>75719295</v>
      </c>
      <c r="AI99" s="24">
        <f t="shared" ref="AI99:AJ99" si="349">AI26+AI61</f>
        <v>81748469</v>
      </c>
      <c r="AJ99" s="24">
        <f t="shared" si="349"/>
        <v>88315624</v>
      </c>
      <c r="AK99" s="24">
        <f t="shared" ref="AK99" si="350">AK26+AK61</f>
        <v>99353729</v>
      </c>
      <c r="AL99" s="17"/>
    </row>
    <row r="100" spans="1:38" ht="13.5" customHeight="1" x14ac:dyDescent="0.2">
      <c r="A100" s="15"/>
      <c r="E100" s="21"/>
      <c r="F100" s="21">
        <f>SUM(F97:F99)</f>
        <v>71275475</v>
      </c>
      <c r="G100" s="21">
        <f>SUM(G97:G99)</f>
        <v>84261967</v>
      </c>
      <c r="H100" s="21"/>
      <c r="I100" s="21">
        <f t="shared" ref="I100:AA100" si="351">SUM(I97:I99)</f>
        <v>102392926</v>
      </c>
      <c r="J100" s="21">
        <f t="shared" si="351"/>
        <v>112597020</v>
      </c>
      <c r="K100" s="21">
        <f t="shared" si="351"/>
        <v>122675414</v>
      </c>
      <c r="L100" s="21">
        <f t="shared" si="351"/>
        <v>130570786</v>
      </c>
      <c r="M100" s="21">
        <f t="shared" si="351"/>
        <v>135782171</v>
      </c>
      <c r="N100" s="21">
        <f t="shared" si="351"/>
        <v>141269278</v>
      </c>
      <c r="O100" s="21">
        <f t="shared" si="351"/>
        <v>142436125</v>
      </c>
      <c r="P100" s="21">
        <f t="shared" si="351"/>
        <v>143732754</v>
      </c>
      <c r="Q100" s="21">
        <f t="shared" si="351"/>
        <v>167417093</v>
      </c>
      <c r="R100" s="21">
        <f t="shared" si="351"/>
        <v>180689338</v>
      </c>
      <c r="S100" s="21">
        <f t="shared" si="351"/>
        <v>184690390</v>
      </c>
      <c r="T100" s="21">
        <f t="shared" si="351"/>
        <v>202728962</v>
      </c>
      <c r="U100" s="21">
        <f t="shared" si="351"/>
        <v>217279954</v>
      </c>
      <c r="V100" s="21">
        <f t="shared" si="351"/>
        <v>242328806</v>
      </c>
      <c r="W100" s="21">
        <f t="shared" si="351"/>
        <v>244492505</v>
      </c>
      <c r="X100" s="21">
        <f t="shared" si="351"/>
        <v>255602010</v>
      </c>
      <c r="Y100" s="21">
        <f t="shared" si="351"/>
        <v>277504249</v>
      </c>
      <c r="Z100" s="21">
        <f t="shared" si="351"/>
        <v>287960367</v>
      </c>
      <c r="AA100" s="21">
        <f t="shared" si="351"/>
        <v>298198301</v>
      </c>
      <c r="AB100" s="21">
        <f t="shared" ref="AB100" si="352">SUM(AB97:AB99)</f>
        <v>312494664</v>
      </c>
      <c r="AC100" s="21">
        <f t="shared" ref="AC100:AD100" si="353">SUM(AC97:AC99)</f>
        <v>331916659</v>
      </c>
      <c r="AD100" s="21">
        <f t="shared" si="353"/>
        <v>332376078</v>
      </c>
      <c r="AE100" s="21">
        <f t="shared" ref="AE100:AF100" si="354">SUM(AE97:AE99)</f>
        <v>335740262</v>
      </c>
      <c r="AF100" s="21">
        <f t="shared" si="354"/>
        <v>337558597</v>
      </c>
      <c r="AG100" s="21">
        <f t="shared" ref="AG100:AH100" si="355">SUM(AG97:AG99)</f>
        <v>374080258</v>
      </c>
      <c r="AH100" s="21">
        <f t="shared" si="355"/>
        <v>380244887</v>
      </c>
      <c r="AI100" s="21">
        <f t="shared" ref="AI100:AJ100" si="356">SUM(AI97:AI99)</f>
        <v>412888010</v>
      </c>
      <c r="AJ100" s="21">
        <f t="shared" si="356"/>
        <v>432967188</v>
      </c>
      <c r="AK100" s="21">
        <f t="shared" ref="AK100" si="357">SUM(AK97:AK99)</f>
        <v>480652990</v>
      </c>
      <c r="AL100" s="17"/>
    </row>
    <row r="101" spans="1:38" ht="13.5" hidden="1" customHeight="1" x14ac:dyDescent="0.2">
      <c r="A101" s="15"/>
      <c r="D101" s="26"/>
      <c r="E101" s="27"/>
      <c r="F101" s="28">
        <f>F28+F63</f>
        <v>1349343</v>
      </c>
      <c r="G101" s="28">
        <f>G28+G63</f>
        <v>1199754</v>
      </c>
      <c r="H101" s="37"/>
      <c r="I101" s="28">
        <f t="shared" ref="I101:AA101" si="358">I28+I63</f>
        <v>1465556</v>
      </c>
      <c r="J101" s="28">
        <f t="shared" si="358"/>
        <v>1427267</v>
      </c>
      <c r="K101" s="28">
        <f t="shared" si="358"/>
        <v>1576449</v>
      </c>
      <c r="L101" s="28">
        <f t="shared" si="358"/>
        <v>1432134</v>
      </c>
      <c r="M101" s="28">
        <f t="shared" si="358"/>
        <v>1502370</v>
      </c>
      <c r="N101" s="28">
        <f t="shared" si="358"/>
        <v>1475057</v>
      </c>
      <c r="O101" s="28">
        <f t="shared" si="358"/>
        <v>1587446</v>
      </c>
      <c r="P101" s="28">
        <f t="shared" si="358"/>
        <v>1758651</v>
      </c>
      <c r="Q101" s="28">
        <f t="shared" si="358"/>
        <v>2727938</v>
      </c>
      <c r="R101" s="28">
        <f t="shared" si="358"/>
        <v>2014705</v>
      </c>
      <c r="S101" s="28">
        <f t="shared" si="358"/>
        <v>1961921</v>
      </c>
      <c r="T101" s="28">
        <f t="shared" si="358"/>
        <v>1901100</v>
      </c>
      <c r="U101" s="28">
        <f t="shared" si="358"/>
        <v>1318358</v>
      </c>
      <c r="V101" s="28">
        <f t="shared" si="358"/>
        <v>1771092</v>
      </c>
      <c r="W101" s="28">
        <f t="shared" si="358"/>
        <v>1394236</v>
      </c>
      <c r="X101" s="28">
        <f t="shared" si="358"/>
        <v>1397002</v>
      </c>
      <c r="Y101" s="28">
        <f t="shared" si="358"/>
        <v>2051209</v>
      </c>
      <c r="Z101" s="28">
        <f t="shared" si="358"/>
        <v>1397394</v>
      </c>
      <c r="AA101" s="28">
        <f t="shared" si="358"/>
        <v>1580330</v>
      </c>
      <c r="AB101" s="28">
        <f t="shared" ref="AB101" si="359">AB28+AB63</f>
        <v>1303100</v>
      </c>
      <c r="AC101" s="28">
        <f t="shared" ref="AC101:AD101" si="360">AC28+AC63</f>
        <v>1137256</v>
      </c>
      <c r="AD101" s="28">
        <f t="shared" si="360"/>
        <v>1221872</v>
      </c>
      <c r="AE101" s="28">
        <f t="shared" ref="AE101:AF101" si="361">AE28+AE63</f>
        <v>1324169</v>
      </c>
      <c r="AF101" s="28">
        <f t="shared" si="361"/>
        <v>857618</v>
      </c>
      <c r="AG101" s="28">
        <f t="shared" ref="AG101:AH101" si="362">AG28+AG63</f>
        <v>756430</v>
      </c>
      <c r="AH101" s="28">
        <f t="shared" si="362"/>
        <v>820359</v>
      </c>
      <c r="AI101" s="28">
        <f t="shared" ref="AI101:AJ101" si="363">AI28+AI63</f>
        <v>556463</v>
      </c>
      <c r="AJ101" s="28">
        <f t="shared" si="363"/>
        <v>359614</v>
      </c>
      <c r="AK101" s="28">
        <f t="shared" ref="AK101" si="364">AK28+AK63</f>
        <v>594459</v>
      </c>
      <c r="AL101" s="5"/>
    </row>
    <row r="102" spans="1:38" ht="13.5" customHeight="1" x14ac:dyDescent="0.2">
      <c r="A102" s="15"/>
      <c r="D102" s="26"/>
      <c r="E102" s="27" t="s">
        <v>33</v>
      </c>
      <c r="F102" s="29">
        <f>SUM(F100:F101)</f>
        <v>72624818</v>
      </c>
      <c r="G102" s="29">
        <f>SUM(G100:G101)</f>
        <v>85461721</v>
      </c>
      <c r="H102" s="37"/>
      <c r="I102" s="29">
        <f t="shared" ref="I102:AA102" si="365">SUM(I100:I101)</f>
        <v>103858482</v>
      </c>
      <c r="J102" s="29">
        <f t="shared" si="365"/>
        <v>114024287</v>
      </c>
      <c r="K102" s="29">
        <f t="shared" si="365"/>
        <v>124251863</v>
      </c>
      <c r="L102" s="29">
        <f t="shared" si="365"/>
        <v>132002920</v>
      </c>
      <c r="M102" s="29">
        <f t="shared" si="365"/>
        <v>137284541</v>
      </c>
      <c r="N102" s="29">
        <f t="shared" si="365"/>
        <v>142744335</v>
      </c>
      <c r="O102" s="29">
        <f t="shared" si="365"/>
        <v>144023571</v>
      </c>
      <c r="P102" s="29">
        <f t="shared" si="365"/>
        <v>145491405</v>
      </c>
      <c r="Q102" s="29">
        <f t="shared" si="365"/>
        <v>170145031</v>
      </c>
      <c r="R102" s="29">
        <f t="shared" si="365"/>
        <v>182704043</v>
      </c>
      <c r="S102" s="29">
        <f t="shared" si="365"/>
        <v>186652311</v>
      </c>
      <c r="T102" s="29">
        <f t="shared" si="365"/>
        <v>204630062</v>
      </c>
      <c r="U102" s="29">
        <f t="shared" si="365"/>
        <v>218598312</v>
      </c>
      <c r="V102" s="29">
        <f t="shared" si="365"/>
        <v>244099898</v>
      </c>
      <c r="W102" s="29">
        <f t="shared" si="365"/>
        <v>245886741</v>
      </c>
      <c r="X102" s="29">
        <f t="shared" si="365"/>
        <v>256999012</v>
      </c>
      <c r="Y102" s="29">
        <f t="shared" si="365"/>
        <v>279555458</v>
      </c>
      <c r="Z102" s="29">
        <f t="shared" si="365"/>
        <v>289357761</v>
      </c>
      <c r="AA102" s="29">
        <f t="shared" si="365"/>
        <v>299778631</v>
      </c>
      <c r="AB102" s="29">
        <f t="shared" ref="AB102" si="366">SUM(AB100:AB101)</f>
        <v>313797764</v>
      </c>
      <c r="AC102" s="29">
        <f t="shared" ref="AC102:AD102" si="367">SUM(AC100:AC101)</f>
        <v>333053915</v>
      </c>
      <c r="AD102" s="29">
        <f t="shared" si="367"/>
        <v>333597950</v>
      </c>
      <c r="AE102" s="29">
        <f t="shared" ref="AE102:AF102" si="368">SUM(AE100:AE101)</f>
        <v>337064431</v>
      </c>
      <c r="AF102" s="29">
        <f t="shared" si="368"/>
        <v>338416215</v>
      </c>
      <c r="AG102" s="29">
        <f t="shared" ref="AG102:AH102" si="369">SUM(AG100:AG101)</f>
        <v>374836688</v>
      </c>
      <c r="AH102" s="29">
        <f t="shared" si="369"/>
        <v>381065246</v>
      </c>
      <c r="AI102" s="29">
        <f t="shared" ref="AI102:AJ102" si="370">SUM(AI100:AI101)</f>
        <v>413444473</v>
      </c>
      <c r="AJ102" s="29">
        <f t="shared" si="370"/>
        <v>433326802</v>
      </c>
      <c r="AK102" s="29">
        <f t="shared" ref="AK102" si="371">SUM(AK100:AK101)</f>
        <v>481247449</v>
      </c>
      <c r="AL102" s="5"/>
    </row>
    <row r="103" spans="1:38" ht="13.5" customHeight="1" x14ac:dyDescent="0.2">
      <c r="A103" s="15"/>
      <c r="C103" s="2" t="s">
        <v>34</v>
      </c>
      <c r="D103" s="2"/>
      <c r="AL103" s="17"/>
    </row>
    <row r="104" spans="1:38" ht="13.5" customHeight="1" x14ac:dyDescent="0.2">
      <c r="A104" s="15"/>
      <c r="D104" s="1" t="s">
        <v>27</v>
      </c>
      <c r="E104" s="21"/>
      <c r="F104" s="21">
        <f>F31+F66</f>
        <v>9593493</v>
      </c>
      <c r="G104" s="21">
        <f>G31+G66</f>
        <v>8964613</v>
      </c>
      <c r="H104" s="21"/>
      <c r="I104" s="21">
        <f t="shared" ref="I104:AA105" si="372">I31+I66</f>
        <v>11892447</v>
      </c>
      <c r="J104" s="21">
        <f t="shared" si="372"/>
        <v>13243878</v>
      </c>
      <c r="K104" s="21">
        <f t="shared" si="372"/>
        <v>14281699</v>
      </c>
      <c r="L104" s="21">
        <f t="shared" si="372"/>
        <v>15486242</v>
      </c>
      <c r="M104" s="21">
        <f t="shared" si="372"/>
        <v>16148788</v>
      </c>
      <c r="N104" s="21">
        <f t="shared" si="372"/>
        <v>20958410</v>
      </c>
      <c r="O104" s="21">
        <f t="shared" si="372"/>
        <v>26730030</v>
      </c>
      <c r="P104" s="21">
        <f t="shared" si="372"/>
        <v>33868386</v>
      </c>
      <c r="Q104" s="21">
        <f t="shared" si="372"/>
        <v>19615420</v>
      </c>
      <c r="R104" s="21">
        <f t="shared" si="372"/>
        <v>18911477</v>
      </c>
      <c r="S104" s="21">
        <f t="shared" si="372"/>
        <v>26692669</v>
      </c>
      <c r="T104" s="21">
        <f t="shared" si="372"/>
        <v>21530836</v>
      </c>
      <c r="U104" s="21">
        <f t="shared" si="372"/>
        <v>18712186</v>
      </c>
      <c r="V104" s="21">
        <f t="shared" si="372"/>
        <v>23077654</v>
      </c>
      <c r="W104" s="21">
        <f t="shared" si="372"/>
        <v>20412906</v>
      </c>
      <c r="X104" s="21">
        <f t="shared" si="372"/>
        <v>19003766</v>
      </c>
      <c r="Y104" s="21">
        <f t="shared" si="372"/>
        <v>21917012</v>
      </c>
      <c r="Z104" s="21">
        <f t="shared" si="372"/>
        <v>25131143</v>
      </c>
      <c r="AA104" s="21">
        <f t="shared" si="372"/>
        <v>25614554</v>
      </c>
      <c r="AB104" s="21">
        <f t="shared" ref="AB104" si="373">AB31+AB66</f>
        <v>28500629</v>
      </c>
      <c r="AC104" s="21">
        <f t="shared" ref="AC104:AD104" si="374">AC31+AC66</f>
        <v>28913122</v>
      </c>
      <c r="AD104" s="21">
        <f t="shared" si="374"/>
        <v>37295362</v>
      </c>
      <c r="AE104" s="21">
        <f t="shared" ref="AE104:AF104" si="375">AE31+AE66</f>
        <v>34546862</v>
      </c>
      <c r="AF104" s="21">
        <f t="shared" si="375"/>
        <v>30211496</v>
      </c>
      <c r="AG104" s="21">
        <f t="shared" ref="AG104:AH104" si="376">AG31+AG66</f>
        <v>33384096</v>
      </c>
      <c r="AH104" s="21">
        <f t="shared" si="376"/>
        <v>31256945</v>
      </c>
      <c r="AI104" s="21">
        <f t="shared" ref="AI104:AJ104" si="377">AI31+AI66</f>
        <v>30345635.27</v>
      </c>
      <c r="AJ104" s="21">
        <f t="shared" si="377"/>
        <v>30437563.68</v>
      </c>
      <c r="AK104" s="21">
        <f t="shared" ref="AK104" si="378">AK31+AK66</f>
        <v>32459007</v>
      </c>
      <c r="AL104" s="17"/>
    </row>
    <row r="105" spans="1:38" ht="13.5" customHeight="1" x14ac:dyDescent="0.2">
      <c r="A105" s="15"/>
      <c r="D105" s="1" t="s">
        <v>28</v>
      </c>
      <c r="E105" s="23"/>
      <c r="F105" s="31" t="s">
        <v>35</v>
      </c>
      <c r="G105" s="31" t="s">
        <v>35</v>
      </c>
      <c r="H105" s="31" t="s">
        <v>35</v>
      </c>
      <c r="I105" s="31" t="s">
        <v>35</v>
      </c>
      <c r="J105" s="31" t="s">
        <v>35</v>
      </c>
      <c r="K105" s="31" t="s">
        <v>35</v>
      </c>
      <c r="L105" s="31" t="s">
        <v>35</v>
      </c>
      <c r="M105" s="31" t="s">
        <v>35</v>
      </c>
      <c r="N105" s="31" t="s">
        <v>35</v>
      </c>
      <c r="O105" s="31" t="s">
        <v>35</v>
      </c>
      <c r="P105" s="31" t="s">
        <v>35</v>
      </c>
      <c r="Q105" s="24">
        <f t="shared" si="372"/>
        <v>19506399</v>
      </c>
      <c r="R105" s="24">
        <f t="shared" si="372"/>
        <v>24371613</v>
      </c>
      <c r="S105" s="24">
        <f t="shared" si="372"/>
        <v>31989475</v>
      </c>
      <c r="T105" s="24">
        <f t="shared" si="372"/>
        <v>36307093</v>
      </c>
      <c r="U105" s="24">
        <f t="shared" si="372"/>
        <v>31410626</v>
      </c>
      <c r="V105" s="24">
        <f t="shared" si="372"/>
        <v>29522018</v>
      </c>
      <c r="W105" s="24">
        <f t="shared" si="372"/>
        <v>23293900</v>
      </c>
      <c r="X105" s="24">
        <f t="shared" si="372"/>
        <v>21694163</v>
      </c>
      <c r="Y105" s="24">
        <f t="shared" si="372"/>
        <v>22152963</v>
      </c>
      <c r="Z105" s="24">
        <f t="shared" si="372"/>
        <v>25259935</v>
      </c>
      <c r="AA105" s="24">
        <f t="shared" si="372"/>
        <v>33882488</v>
      </c>
      <c r="AB105" s="24">
        <f t="shared" ref="AB105" si="379">AB32+AB67</f>
        <v>35237670</v>
      </c>
      <c r="AC105" s="24">
        <f t="shared" ref="AC105:AD105" si="380">AC32+AC67</f>
        <v>37529905</v>
      </c>
      <c r="AD105" s="24">
        <f t="shared" si="380"/>
        <v>38927493</v>
      </c>
      <c r="AE105" s="24">
        <f t="shared" ref="AE105:AF105" si="381">AE32+AE67</f>
        <v>38686555</v>
      </c>
      <c r="AF105" s="24">
        <f t="shared" si="381"/>
        <v>43007272</v>
      </c>
      <c r="AG105" s="24">
        <f t="shared" ref="AG105:AH105" si="382">AG32+AG67</f>
        <v>44178545</v>
      </c>
      <c r="AH105" s="24">
        <f t="shared" si="382"/>
        <v>43380790</v>
      </c>
      <c r="AI105" s="24">
        <f t="shared" ref="AI105:AJ105" si="383">AI32+AI67</f>
        <v>48168900</v>
      </c>
      <c r="AJ105" s="24">
        <f t="shared" si="383"/>
        <v>58677590.75</v>
      </c>
      <c r="AK105" s="24">
        <f t="shared" ref="AK105" si="384">AK32+AK67</f>
        <v>65737315</v>
      </c>
      <c r="AL105" s="17"/>
    </row>
    <row r="106" spans="1:38" ht="13.5" customHeight="1" x14ac:dyDescent="0.2">
      <c r="A106" s="15"/>
      <c r="F106" s="21">
        <f>SUM(F104:F105)</f>
        <v>9593493</v>
      </c>
      <c r="G106" s="21">
        <f>SUM(G104:G105)</f>
        <v>8964613</v>
      </c>
      <c r="I106" s="21">
        <f t="shared" ref="I106:AA106" si="385">SUM(I104:I105)</f>
        <v>11892447</v>
      </c>
      <c r="J106" s="21">
        <f t="shared" si="385"/>
        <v>13243878</v>
      </c>
      <c r="K106" s="21">
        <f t="shared" si="385"/>
        <v>14281699</v>
      </c>
      <c r="L106" s="21">
        <f t="shared" si="385"/>
        <v>15486242</v>
      </c>
      <c r="M106" s="21">
        <f t="shared" ref="M106:O106" si="386">M104</f>
        <v>16148788</v>
      </c>
      <c r="N106" s="21">
        <f t="shared" si="386"/>
        <v>20958410</v>
      </c>
      <c r="O106" s="21">
        <f t="shared" si="386"/>
        <v>26730030</v>
      </c>
      <c r="P106" s="21">
        <f>P104</f>
        <v>33868386</v>
      </c>
      <c r="Q106" s="21">
        <f t="shared" si="385"/>
        <v>39121819</v>
      </c>
      <c r="R106" s="21">
        <f t="shared" si="385"/>
        <v>43283090</v>
      </c>
      <c r="S106" s="21">
        <f t="shared" si="385"/>
        <v>58682144</v>
      </c>
      <c r="T106" s="21">
        <f t="shared" si="385"/>
        <v>57837929</v>
      </c>
      <c r="U106" s="21">
        <f t="shared" si="385"/>
        <v>50122812</v>
      </c>
      <c r="V106" s="21">
        <f t="shared" si="385"/>
        <v>52599672</v>
      </c>
      <c r="W106" s="21">
        <f t="shared" si="385"/>
        <v>43706806</v>
      </c>
      <c r="X106" s="21">
        <f t="shared" si="385"/>
        <v>40697929</v>
      </c>
      <c r="Y106" s="21">
        <f t="shared" si="385"/>
        <v>44069975</v>
      </c>
      <c r="Z106" s="21">
        <f t="shared" si="385"/>
        <v>50391078</v>
      </c>
      <c r="AA106" s="21">
        <f t="shared" si="385"/>
        <v>59497042</v>
      </c>
      <c r="AB106" s="21">
        <f t="shared" ref="AB106" si="387">SUM(AB104:AB105)</f>
        <v>63738299</v>
      </c>
      <c r="AC106" s="21">
        <f t="shared" ref="AC106:AD106" si="388">SUM(AC104:AC105)</f>
        <v>66443027</v>
      </c>
      <c r="AD106" s="21">
        <f t="shared" si="388"/>
        <v>76222855</v>
      </c>
      <c r="AE106" s="21">
        <f t="shared" ref="AE106:AF106" si="389">SUM(AE104:AE105)</f>
        <v>73233417</v>
      </c>
      <c r="AF106" s="21">
        <f t="shared" si="389"/>
        <v>73218768</v>
      </c>
      <c r="AG106" s="21">
        <f t="shared" ref="AG106:AH106" si="390">SUM(AG104:AG105)</f>
        <v>77562641</v>
      </c>
      <c r="AH106" s="21">
        <f t="shared" si="390"/>
        <v>74637735</v>
      </c>
      <c r="AI106" s="21">
        <f t="shared" ref="AI106:AJ106" si="391">SUM(AI104:AI105)</f>
        <v>78514535.269999996</v>
      </c>
      <c r="AJ106" s="21">
        <f t="shared" si="391"/>
        <v>89115154.430000007</v>
      </c>
      <c r="AK106" s="21">
        <f t="shared" ref="AK106" si="392">SUM(AK104:AK105)</f>
        <v>98196322</v>
      </c>
      <c r="AL106" s="17"/>
    </row>
    <row r="107" spans="1:38" ht="13.5" customHeight="1" x14ac:dyDescent="0.2">
      <c r="A107" s="15"/>
      <c r="C107" s="2" t="s">
        <v>36</v>
      </c>
      <c r="D107" s="2"/>
      <c r="AL107" s="17"/>
    </row>
    <row r="108" spans="1:38" ht="13.5" customHeight="1" x14ac:dyDescent="0.2">
      <c r="A108" s="15"/>
      <c r="D108" s="1" t="s">
        <v>27</v>
      </c>
      <c r="E108" s="21"/>
      <c r="F108" s="21">
        <f>F84+F91+F97+F104</f>
        <v>73310443</v>
      </c>
      <c r="G108" s="21">
        <f>G84+G91+G97+G104</f>
        <v>75600057</v>
      </c>
      <c r="H108" s="21"/>
      <c r="I108" s="21">
        <f t="shared" ref="I108:AA109" si="393">I84+I91+I97+I104</f>
        <v>100773162</v>
      </c>
      <c r="J108" s="21">
        <f t="shared" si="393"/>
        <v>111352533</v>
      </c>
      <c r="K108" s="21">
        <f t="shared" si="393"/>
        <v>121918957</v>
      </c>
      <c r="L108" s="21">
        <f t="shared" si="393"/>
        <v>133242095</v>
      </c>
      <c r="M108" s="21">
        <f t="shared" si="393"/>
        <v>138857186</v>
      </c>
      <c r="N108" s="21">
        <f t="shared" si="393"/>
        <v>152055810</v>
      </c>
      <c r="O108" s="21">
        <f t="shared" si="393"/>
        <v>169184263</v>
      </c>
      <c r="P108" s="21">
        <f t="shared" si="393"/>
        <v>183292118</v>
      </c>
      <c r="Q108" s="21">
        <f t="shared" si="393"/>
        <v>181458513</v>
      </c>
      <c r="R108" s="21">
        <f t="shared" si="393"/>
        <v>188097939</v>
      </c>
      <c r="S108" s="21">
        <f t="shared" si="393"/>
        <v>208780306</v>
      </c>
      <c r="T108" s="21">
        <f t="shared" si="393"/>
        <v>219312863</v>
      </c>
      <c r="U108" s="21">
        <f t="shared" si="393"/>
        <v>234925516</v>
      </c>
      <c r="V108" s="21">
        <f t="shared" si="393"/>
        <v>261373563</v>
      </c>
      <c r="W108" s="21">
        <f t="shared" si="393"/>
        <v>274344977</v>
      </c>
      <c r="X108" s="21">
        <f t="shared" si="393"/>
        <v>281987402</v>
      </c>
      <c r="Y108" s="21">
        <f t="shared" si="393"/>
        <v>300441423</v>
      </c>
      <c r="Z108" s="21">
        <f t="shared" si="393"/>
        <v>317021457</v>
      </c>
      <c r="AA108" s="21">
        <f t="shared" si="393"/>
        <v>328666032</v>
      </c>
      <c r="AB108" s="21">
        <f t="shared" ref="AB108" si="394">AB84+AB91+AB97+AB104</f>
        <v>356529807</v>
      </c>
      <c r="AC108" s="21">
        <f t="shared" ref="AC108:AD108" si="395">AC84+AC91+AC97+AC104</f>
        <v>373116620</v>
      </c>
      <c r="AD108" s="21">
        <f t="shared" si="395"/>
        <v>376871984</v>
      </c>
      <c r="AE108" s="21">
        <f t="shared" ref="AE108:AF108" si="396">AE84+AE91+AE97+AE104</f>
        <v>380329398</v>
      </c>
      <c r="AF108" s="21">
        <f t="shared" si="396"/>
        <v>385163272</v>
      </c>
      <c r="AG108" s="21">
        <f t="shared" ref="AG108:AH108" si="397">AG84+AG91+AG97+AG104</f>
        <v>436236089</v>
      </c>
      <c r="AH108" s="21">
        <f t="shared" si="397"/>
        <v>448888314</v>
      </c>
      <c r="AI108" s="21">
        <f t="shared" ref="AI108:AJ108" si="398">AI84+AI91+AI97+AI104</f>
        <v>494479746.26999998</v>
      </c>
      <c r="AJ108" s="21">
        <f t="shared" si="398"/>
        <v>486267445.68000001</v>
      </c>
      <c r="AK108" s="21">
        <f t="shared" ref="AK108" si="399">AK84+AK91+AK97+AK104</f>
        <v>530855596</v>
      </c>
      <c r="AL108" s="17"/>
    </row>
    <row r="109" spans="1:38" ht="13.5" customHeight="1" x14ac:dyDescent="0.2">
      <c r="A109" s="15"/>
      <c r="D109" s="1" t="s">
        <v>28</v>
      </c>
      <c r="E109" s="23"/>
      <c r="F109" s="23">
        <f>F85+F92+F98</f>
        <v>71470103</v>
      </c>
      <c r="G109" s="23">
        <f>G85+G92+G98</f>
        <v>96590116</v>
      </c>
      <c r="H109" s="23"/>
      <c r="I109" s="23">
        <f t="shared" ref="I109:N109" si="400">I85+I92+I98</f>
        <v>138780844</v>
      </c>
      <c r="J109" s="23">
        <f t="shared" si="400"/>
        <v>158179815</v>
      </c>
      <c r="K109" s="23">
        <f t="shared" si="400"/>
        <v>165931461</v>
      </c>
      <c r="L109" s="23">
        <f t="shared" si="400"/>
        <v>169555469</v>
      </c>
      <c r="M109" s="23">
        <f t="shared" si="400"/>
        <v>174245637</v>
      </c>
      <c r="N109" s="23">
        <f t="shared" si="400"/>
        <v>182093101</v>
      </c>
      <c r="O109" s="23">
        <f>O85+O92+O98</f>
        <v>190043187</v>
      </c>
      <c r="P109" s="23">
        <f>P85+P92+P98</f>
        <v>222748376</v>
      </c>
      <c r="Q109" s="23">
        <f>Q85+Q92+Q98+Q105</f>
        <v>275803702</v>
      </c>
      <c r="R109" s="23">
        <f>R85+R92+R98+R105</f>
        <v>303696484</v>
      </c>
      <c r="S109" s="23">
        <f>S85+S92+S98+S105</f>
        <v>327869517</v>
      </c>
      <c r="T109" s="23">
        <f>T85+T92+T98+T105</f>
        <v>338144795</v>
      </c>
      <c r="U109" s="23">
        <f t="shared" si="393"/>
        <v>351987352</v>
      </c>
      <c r="V109" s="23">
        <f t="shared" si="393"/>
        <v>392602307</v>
      </c>
      <c r="W109" s="23">
        <f t="shared" si="393"/>
        <v>439578259</v>
      </c>
      <c r="X109" s="23">
        <f t="shared" si="393"/>
        <v>465321699</v>
      </c>
      <c r="Y109" s="23">
        <f t="shared" si="393"/>
        <v>483152876</v>
      </c>
      <c r="Z109" s="23">
        <f t="shared" si="393"/>
        <v>472097547</v>
      </c>
      <c r="AA109" s="23">
        <f t="shared" si="393"/>
        <v>470484201</v>
      </c>
      <c r="AB109" s="23">
        <f t="shared" ref="AB109" si="401">AB85+AB92+AB98+AB105</f>
        <v>459981396</v>
      </c>
      <c r="AC109" s="23">
        <f t="shared" ref="AC109:AD109" si="402">AC85+AC92+AC98+AC105</f>
        <v>450359957</v>
      </c>
      <c r="AD109" s="23">
        <f t="shared" si="402"/>
        <v>441976031</v>
      </c>
      <c r="AE109" s="23">
        <f t="shared" ref="AE109:AF109" si="403">AE85+AE92+AE98+AE105</f>
        <v>426750395</v>
      </c>
      <c r="AF109" s="23">
        <f t="shared" si="403"/>
        <v>416760110</v>
      </c>
      <c r="AG109" s="23">
        <f t="shared" ref="AG109:AH109" si="404">AG85+AG92+AG98+AG105</f>
        <v>408091392</v>
      </c>
      <c r="AH109" s="23">
        <f t="shared" si="404"/>
        <v>395667934</v>
      </c>
      <c r="AI109" s="23">
        <f t="shared" ref="AI109:AJ109" si="405">AI85+AI92+AI98+AI105</f>
        <v>387615167</v>
      </c>
      <c r="AJ109" s="23">
        <f t="shared" si="405"/>
        <v>396637060.75</v>
      </c>
      <c r="AK109" s="23">
        <f t="shared" ref="AK109" si="406">AK85+AK92+AK98+AK105</f>
        <v>414218779</v>
      </c>
      <c r="AL109" s="17"/>
    </row>
    <row r="110" spans="1:38" ht="13.5" customHeight="1" x14ac:dyDescent="0.2">
      <c r="A110" s="15"/>
      <c r="D110" s="1" t="s">
        <v>29</v>
      </c>
      <c r="E110" s="23"/>
      <c r="F110" s="24">
        <f>F86+F99</f>
        <v>37346407</v>
      </c>
      <c r="G110" s="24">
        <f>G86+G99</f>
        <v>39447577</v>
      </c>
      <c r="H110" s="24"/>
      <c r="I110" s="24">
        <f t="shared" ref="I110:AA110" si="407">I86+I99</f>
        <v>36493306</v>
      </c>
      <c r="J110" s="24">
        <f t="shared" si="407"/>
        <v>38323313</v>
      </c>
      <c r="K110" s="24">
        <f t="shared" si="407"/>
        <v>42344171</v>
      </c>
      <c r="L110" s="24">
        <f t="shared" si="407"/>
        <v>43201110</v>
      </c>
      <c r="M110" s="24">
        <f t="shared" si="407"/>
        <v>45002481</v>
      </c>
      <c r="N110" s="24">
        <f t="shared" si="407"/>
        <v>46724306</v>
      </c>
      <c r="O110" s="24">
        <f t="shared" si="407"/>
        <v>41606125</v>
      </c>
      <c r="P110" s="24">
        <f t="shared" si="407"/>
        <v>38923303</v>
      </c>
      <c r="Q110" s="24">
        <f t="shared" si="407"/>
        <v>51083586</v>
      </c>
      <c r="R110" s="24">
        <f t="shared" si="407"/>
        <v>56988195</v>
      </c>
      <c r="S110" s="24">
        <f t="shared" si="407"/>
        <v>51055855</v>
      </c>
      <c r="T110" s="24">
        <f t="shared" si="407"/>
        <v>58294994</v>
      </c>
      <c r="U110" s="24">
        <f t="shared" si="407"/>
        <v>64475632</v>
      </c>
      <c r="V110" s="24">
        <f t="shared" si="407"/>
        <v>74284919</v>
      </c>
      <c r="W110" s="24">
        <f t="shared" si="407"/>
        <v>80243350</v>
      </c>
      <c r="X110" s="24">
        <f t="shared" si="407"/>
        <v>83065583</v>
      </c>
      <c r="Y110" s="24">
        <f t="shared" si="407"/>
        <v>87622170</v>
      </c>
      <c r="Z110" s="24">
        <f t="shared" si="407"/>
        <v>87238714</v>
      </c>
      <c r="AA110" s="24">
        <f t="shared" si="407"/>
        <v>88917536</v>
      </c>
      <c r="AB110" s="24">
        <f t="shared" ref="AB110" si="408">AB86+AB99</f>
        <v>90032634</v>
      </c>
      <c r="AC110" s="24">
        <f t="shared" ref="AC110:AD110" si="409">AC86+AC99</f>
        <v>93285236</v>
      </c>
      <c r="AD110" s="24">
        <f t="shared" si="409"/>
        <v>91711675</v>
      </c>
      <c r="AE110" s="24">
        <f t="shared" ref="AE110:AF110" si="410">AE86+AE99</f>
        <v>90801633</v>
      </c>
      <c r="AF110" s="24">
        <f t="shared" si="410"/>
        <v>87561107</v>
      </c>
      <c r="AG110" s="24">
        <f t="shared" ref="AG110:AH110" si="411">AG86+AG99</f>
        <v>86030668</v>
      </c>
      <c r="AH110" s="24">
        <f t="shared" si="411"/>
        <v>78402444</v>
      </c>
      <c r="AI110" s="24">
        <f t="shared" ref="AI110:AJ110" si="412">AI86+AI99</f>
        <v>84402390.5</v>
      </c>
      <c r="AJ110" s="24">
        <f t="shared" si="412"/>
        <v>90806090</v>
      </c>
      <c r="AK110" s="24">
        <f t="shared" ref="AK110" si="413">AK86+AK99</f>
        <v>102499893</v>
      </c>
      <c r="AL110" s="17"/>
    </row>
    <row r="111" spans="1:38" ht="13.5" customHeight="1" x14ac:dyDescent="0.2">
      <c r="A111" s="15"/>
      <c r="E111" s="21"/>
      <c r="F111" s="21">
        <f>SUM(F108:F110)</f>
        <v>182126953</v>
      </c>
      <c r="G111" s="21">
        <f>SUM(G108:G110)</f>
        <v>211637750</v>
      </c>
      <c r="H111" s="21">
        <f>H38+H73</f>
        <v>243807395</v>
      </c>
      <c r="I111" s="21">
        <f t="shared" ref="I111:AA111" si="414">SUM(I108:I110)</f>
        <v>276047312</v>
      </c>
      <c r="J111" s="21">
        <f t="shared" si="414"/>
        <v>307855661</v>
      </c>
      <c r="K111" s="21">
        <f t="shared" si="414"/>
        <v>330194589</v>
      </c>
      <c r="L111" s="21">
        <f t="shared" si="414"/>
        <v>345998674</v>
      </c>
      <c r="M111" s="21">
        <f t="shared" si="414"/>
        <v>358105304</v>
      </c>
      <c r="N111" s="21">
        <f t="shared" si="414"/>
        <v>380873217</v>
      </c>
      <c r="O111" s="21">
        <f t="shared" si="414"/>
        <v>400833575</v>
      </c>
      <c r="P111" s="21">
        <f t="shared" si="414"/>
        <v>444963797</v>
      </c>
      <c r="Q111" s="21">
        <f t="shared" si="414"/>
        <v>508345801</v>
      </c>
      <c r="R111" s="21">
        <f t="shared" si="414"/>
        <v>548782618</v>
      </c>
      <c r="S111" s="21">
        <f t="shared" si="414"/>
        <v>587705678</v>
      </c>
      <c r="T111" s="21">
        <f t="shared" si="414"/>
        <v>615752652</v>
      </c>
      <c r="U111" s="21">
        <f t="shared" si="414"/>
        <v>651388500</v>
      </c>
      <c r="V111" s="21">
        <f t="shared" si="414"/>
        <v>728260789</v>
      </c>
      <c r="W111" s="21">
        <f t="shared" si="414"/>
        <v>794166586</v>
      </c>
      <c r="X111" s="21">
        <f t="shared" si="414"/>
        <v>830374684</v>
      </c>
      <c r="Y111" s="21">
        <f t="shared" si="414"/>
        <v>871216469</v>
      </c>
      <c r="Z111" s="21">
        <f t="shared" si="414"/>
        <v>876357718</v>
      </c>
      <c r="AA111" s="21">
        <f t="shared" si="414"/>
        <v>888067769</v>
      </c>
      <c r="AB111" s="21">
        <f t="shared" ref="AB111" si="415">SUM(AB108:AB110)</f>
        <v>906543837</v>
      </c>
      <c r="AC111" s="21">
        <f t="shared" ref="AC111:AD111" si="416">SUM(AC108:AC110)</f>
        <v>916761813</v>
      </c>
      <c r="AD111" s="21">
        <f t="shared" si="416"/>
        <v>910559690</v>
      </c>
      <c r="AE111" s="21">
        <f t="shared" ref="AE111:AF111" si="417">SUM(AE108:AE110)</f>
        <v>897881426</v>
      </c>
      <c r="AF111" s="21">
        <f t="shared" si="417"/>
        <v>889484489</v>
      </c>
      <c r="AG111" s="21">
        <f t="shared" ref="AG111:AH111" si="418">SUM(AG108:AG110)</f>
        <v>930358149</v>
      </c>
      <c r="AH111" s="21">
        <f t="shared" si="418"/>
        <v>922958692</v>
      </c>
      <c r="AI111" s="21">
        <f t="shared" ref="AI111:AJ111" si="419">SUM(AI108:AI110)</f>
        <v>966497303.76999998</v>
      </c>
      <c r="AJ111" s="21">
        <f t="shared" si="419"/>
        <v>973710596.43000007</v>
      </c>
      <c r="AK111" s="21">
        <f t="shared" ref="AK111" si="420">SUM(AK108:AK110)</f>
        <v>1047574268</v>
      </c>
      <c r="AL111" s="17"/>
    </row>
    <row r="112" spans="1:38" ht="13.5" customHeight="1" x14ac:dyDescent="0.2">
      <c r="A112" s="15"/>
      <c r="C112" s="2" t="s">
        <v>37</v>
      </c>
      <c r="D112" s="2"/>
      <c r="E112" s="21"/>
      <c r="AL112" s="17"/>
    </row>
    <row r="113" spans="1:38" ht="13.5" customHeight="1" x14ac:dyDescent="0.2">
      <c r="A113" s="15"/>
      <c r="D113" s="1" t="s">
        <v>38</v>
      </c>
      <c r="E113" s="21"/>
      <c r="F113" s="32">
        <f>F40+F75</f>
        <v>16833</v>
      </c>
      <c r="G113" s="32">
        <f>G40+G75</f>
        <v>17446</v>
      </c>
      <c r="I113" s="32">
        <f t="shared" ref="I113:T114" si="421">I40+I75</f>
        <v>20687</v>
      </c>
      <c r="J113" s="32">
        <f t="shared" si="421"/>
        <v>21856</v>
      </c>
      <c r="K113" s="32">
        <f t="shared" si="421"/>
        <v>22504</v>
      </c>
      <c r="L113" s="32">
        <f t="shared" si="421"/>
        <v>21928</v>
      </c>
      <c r="M113" s="32">
        <f t="shared" si="421"/>
        <v>21693</v>
      </c>
      <c r="N113" s="32">
        <f t="shared" si="421"/>
        <v>21896</v>
      </c>
      <c r="O113" s="32">
        <f t="shared" si="421"/>
        <v>21551</v>
      </c>
      <c r="P113" s="32">
        <f t="shared" si="421"/>
        <v>24178</v>
      </c>
      <c r="Q113" s="32">
        <f t="shared" si="421"/>
        <v>26572</v>
      </c>
      <c r="R113" s="32">
        <f t="shared" si="421"/>
        <v>27033</v>
      </c>
      <c r="S113" s="32">
        <f t="shared" si="421"/>
        <v>27287</v>
      </c>
      <c r="T113" s="32">
        <f t="shared" si="421"/>
        <v>27372</v>
      </c>
      <c r="U113" s="32">
        <f>MU!U113+UMKC!U113+'S&amp;T'!U113+UMSL!U113</f>
        <v>28660</v>
      </c>
      <c r="V113" s="32">
        <f>MU!V113+UMKC!V113+'S&amp;T'!V113+UMSL!V113</f>
        <v>30235</v>
      </c>
      <c r="W113" s="32">
        <f>MU!W113+UMKC!W113+'S&amp;T'!W113+UMSL!W113</f>
        <v>33712</v>
      </c>
      <c r="X113" s="32">
        <f>MU!X113+UMKC!X113+'S&amp;T'!X113+UMSL!X113</f>
        <v>36038</v>
      </c>
      <c r="Y113" s="32">
        <f>MU!Y113+UMKC!Y113+'S&amp;T'!Y113+UMSL!Y113</f>
        <v>37145</v>
      </c>
      <c r="Z113" s="32">
        <f>MU!Z113+UMKC!Z113+'S&amp;T'!Z113+UMSL!Z113</f>
        <v>29537</v>
      </c>
      <c r="AA113" s="32">
        <f>MU!AA113+UMKC!AA113+'S&amp;T'!AA113+UMSL!AA113</f>
        <v>29203</v>
      </c>
      <c r="AB113" s="32">
        <f>MU!AB113+UMKC!AB113+'S&amp;T'!AB113+UMSL!AB113</f>
        <v>28571</v>
      </c>
      <c r="AC113" s="32">
        <f>MU!AC113+UMKC!AC113+'S&amp;T'!AC113+UMSL!AC113</f>
        <v>27126</v>
      </c>
      <c r="AD113" s="32">
        <f>MU!AD113+UMKC!AD113+'S&amp;T'!AD113+UMSL!AD113</f>
        <v>25377</v>
      </c>
      <c r="AE113" s="32">
        <f>MU!AE113+UMKC!AE113+'S&amp;T'!AE113+UMSL!AE113</f>
        <v>24229</v>
      </c>
      <c r="AF113" s="32">
        <f>MU!AF113+UMKC!AF113+'S&amp;T'!AF113+UMSL!AF113</f>
        <v>23293</v>
      </c>
      <c r="AG113" s="32">
        <f>MU!AG113+UMKC!AG113+'S&amp;T'!AG113+UMSL!AG113</f>
        <v>22480</v>
      </c>
      <c r="AH113" s="32">
        <f>MU!AH113+UMKC!AH113+'S&amp;T'!AH113+UMSL!AH113</f>
        <v>21467</v>
      </c>
      <c r="AI113" s="32">
        <f>MU!AI113+UMKC!AI113+'S&amp;T'!AI113+UMSL!AI113</f>
        <v>20859</v>
      </c>
      <c r="AJ113" s="32">
        <f>MU!AJ113+UMKC!AJ113+'S&amp;T'!AJ113+UMSL!AJ113</f>
        <v>20139</v>
      </c>
      <c r="AK113" s="32">
        <f>MU!AK113+UMKC!AK113+'S&amp;T'!AK113+UMSL!AK113</f>
        <v>21144</v>
      </c>
      <c r="AL113" s="17"/>
    </row>
    <row r="114" spans="1:38" ht="13.5" customHeight="1" x14ac:dyDescent="0.2">
      <c r="A114" s="15"/>
      <c r="D114" s="1" t="s">
        <v>39</v>
      </c>
      <c r="E114" s="21"/>
      <c r="F114" s="33">
        <f>F41+F76</f>
        <v>16680</v>
      </c>
      <c r="G114" s="33">
        <f>G41+G76</f>
        <v>17974</v>
      </c>
      <c r="H114" s="38"/>
      <c r="I114" s="33">
        <f t="shared" si="421"/>
        <v>23499</v>
      </c>
      <c r="J114" s="33">
        <f t="shared" si="421"/>
        <v>22589</v>
      </c>
      <c r="K114" s="33">
        <f t="shared" si="421"/>
        <v>19700</v>
      </c>
      <c r="L114" s="33">
        <f t="shared" si="421"/>
        <v>18902</v>
      </c>
      <c r="M114" s="33">
        <f t="shared" si="421"/>
        <v>19908</v>
      </c>
      <c r="N114" s="33">
        <f t="shared" si="421"/>
        <v>21238</v>
      </c>
      <c r="O114" s="33">
        <f t="shared" si="421"/>
        <v>23749</v>
      </c>
      <c r="P114" s="33">
        <f t="shared" si="421"/>
        <v>24140</v>
      </c>
      <c r="Q114" s="33">
        <f t="shared" si="421"/>
        <v>23742</v>
      </c>
      <c r="R114" s="33">
        <f t="shared" si="421"/>
        <v>23134</v>
      </c>
      <c r="S114" s="33">
        <f t="shared" si="421"/>
        <v>24054</v>
      </c>
      <c r="T114" s="33">
        <f t="shared" si="421"/>
        <v>24118</v>
      </c>
      <c r="U114" s="33">
        <f>MU!U114+UMKC!U114+'S&amp;T'!U114+UMSL!U114</f>
        <v>22611</v>
      </c>
      <c r="V114" s="33">
        <f>MU!V114+UMKC!V114+'S&amp;T'!V114+UMSL!V114</f>
        <v>22672</v>
      </c>
      <c r="W114" s="33">
        <f>MU!W114+UMKC!W114+'S&amp;T'!W114+UMSL!W114</f>
        <v>22697</v>
      </c>
      <c r="X114" s="33">
        <f>MU!X114+UMKC!X114+'S&amp;T'!X114+UMSL!X114</f>
        <v>22021</v>
      </c>
      <c r="Y114" s="33">
        <f>MU!Y114+UMKC!Y114+'S&amp;T'!Y114+UMSL!Y114</f>
        <v>22086</v>
      </c>
      <c r="Z114" s="33">
        <f>MU!Z114+UMKC!Z114+'S&amp;T'!Z114+UMSL!Z114</f>
        <v>29979</v>
      </c>
      <c r="AA114" s="33">
        <f>MU!AA114+UMKC!AA114+'S&amp;T'!AA114+UMSL!AA114</f>
        <v>29366</v>
      </c>
      <c r="AB114" s="33">
        <f>MU!AB114+UMKC!AB114+'S&amp;T'!AB114+UMSL!AB114</f>
        <v>29956</v>
      </c>
      <c r="AC114" s="33">
        <f>MU!AC114+UMKC!AC114+'S&amp;T'!AC114+UMSL!AC114</f>
        <v>31125</v>
      </c>
      <c r="AD114" s="33">
        <f>MU!AD114+UMKC!AD114+'S&amp;T'!AD114+UMSL!AD114</f>
        <v>30833</v>
      </c>
      <c r="AE114" s="33">
        <f>MU!AE114+UMKC!AE114+'S&amp;T'!AE114+UMSL!AE114</f>
        <v>30393</v>
      </c>
      <c r="AF114" s="33">
        <f>MU!AF114+UMKC!AF114+'S&amp;T'!AF114+UMSL!AF114</f>
        <v>30666</v>
      </c>
      <c r="AG114" s="33">
        <f>MU!AG114+UMKC!AG114+'S&amp;T'!AG114+UMSL!AG114</f>
        <v>34245</v>
      </c>
      <c r="AH114" s="33">
        <f>MU!AH114+UMKC!AH114+'S&amp;T'!AH114+UMSL!AH114</f>
        <v>34161</v>
      </c>
      <c r="AI114" s="33">
        <f>MU!AI114+UMKC!AI114+'S&amp;T'!AI114+UMSL!AI114</f>
        <v>34547</v>
      </c>
      <c r="AJ114" s="33">
        <f>MU!AJ114+UMKC!AJ114+'S&amp;T'!AJ114+UMSL!AJ114</f>
        <v>34213</v>
      </c>
      <c r="AK114" s="33">
        <f>MU!AK114+UMKC!AK114+'S&amp;T'!AK114+UMSL!AK114</f>
        <v>33958</v>
      </c>
      <c r="AL114" s="17"/>
    </row>
    <row r="115" spans="1:38" ht="13.5" customHeight="1" x14ac:dyDescent="0.2">
      <c r="A115" s="15"/>
      <c r="F115" s="32">
        <f>SUM(F113:F114)</f>
        <v>33513</v>
      </c>
      <c r="G115" s="32">
        <f>SUM(G113:G114)</f>
        <v>35420</v>
      </c>
      <c r="I115" s="32">
        <f t="shared" ref="I115:AA115" si="422">SUM(I113:I114)</f>
        <v>44186</v>
      </c>
      <c r="J115" s="32">
        <f t="shared" si="422"/>
        <v>44445</v>
      </c>
      <c r="K115" s="32">
        <f t="shared" si="422"/>
        <v>42204</v>
      </c>
      <c r="L115" s="32">
        <f t="shared" si="422"/>
        <v>40830</v>
      </c>
      <c r="M115" s="32">
        <f t="shared" si="422"/>
        <v>41601</v>
      </c>
      <c r="N115" s="32">
        <f t="shared" si="422"/>
        <v>43134</v>
      </c>
      <c r="O115" s="32">
        <f t="shared" si="422"/>
        <v>45300</v>
      </c>
      <c r="P115" s="32">
        <f t="shared" si="422"/>
        <v>48318</v>
      </c>
      <c r="Q115" s="32">
        <f t="shared" si="422"/>
        <v>50314</v>
      </c>
      <c r="R115" s="32">
        <f t="shared" si="422"/>
        <v>50167</v>
      </c>
      <c r="S115" s="32">
        <f t="shared" si="422"/>
        <v>51341</v>
      </c>
      <c r="T115" s="32">
        <f t="shared" si="422"/>
        <v>51490</v>
      </c>
      <c r="U115" s="32">
        <f t="shared" si="422"/>
        <v>51271</v>
      </c>
      <c r="V115" s="32">
        <f t="shared" si="422"/>
        <v>52907</v>
      </c>
      <c r="W115" s="32">
        <f t="shared" si="422"/>
        <v>56409</v>
      </c>
      <c r="X115" s="32">
        <f t="shared" si="422"/>
        <v>58059</v>
      </c>
      <c r="Y115" s="32">
        <f t="shared" si="422"/>
        <v>59231</v>
      </c>
      <c r="Z115" s="32">
        <f t="shared" si="422"/>
        <v>59516</v>
      </c>
      <c r="AA115" s="32">
        <f t="shared" si="422"/>
        <v>58569</v>
      </c>
      <c r="AB115" s="32">
        <f t="shared" ref="AB115" si="423">SUM(AB113:AB114)</f>
        <v>58527</v>
      </c>
      <c r="AC115" s="32">
        <f t="shared" ref="AC115:AD115" si="424">SUM(AC113:AC114)</f>
        <v>58251</v>
      </c>
      <c r="AD115" s="32">
        <f t="shared" si="424"/>
        <v>56210</v>
      </c>
      <c r="AE115" s="32">
        <f t="shared" ref="AE115:AF115" si="425">SUM(AE113:AE114)</f>
        <v>54622</v>
      </c>
      <c r="AF115" s="32">
        <f t="shared" si="425"/>
        <v>53959</v>
      </c>
      <c r="AG115" s="32">
        <f t="shared" ref="AG115:AH115" si="426">SUM(AG113:AG114)</f>
        <v>56725</v>
      </c>
      <c r="AH115" s="32">
        <f t="shared" si="426"/>
        <v>55628</v>
      </c>
      <c r="AI115" s="32">
        <f t="shared" ref="AI115:AJ115" si="427">SUM(AI113:AI114)</f>
        <v>55406</v>
      </c>
      <c r="AJ115" s="32">
        <f t="shared" si="427"/>
        <v>54352</v>
      </c>
      <c r="AK115" s="32">
        <f t="shared" ref="AK115" si="428">SUM(AK113:AK114)</f>
        <v>55102</v>
      </c>
      <c r="AL115" s="17"/>
    </row>
    <row r="116" spans="1:38" ht="13.5" customHeight="1" x14ac:dyDescent="0.2">
      <c r="A116" s="15"/>
      <c r="B116" s="12"/>
      <c r="C116" s="12"/>
      <c r="D116" s="12"/>
      <c r="E116" s="12"/>
      <c r="F116" s="12"/>
      <c r="G116" s="12"/>
      <c r="H116" s="12"/>
      <c r="I116" s="12"/>
      <c r="J116" s="12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17"/>
    </row>
    <row r="117" spans="1:38" ht="13.5" customHeight="1" x14ac:dyDescent="0.2">
      <c r="A117" s="3"/>
      <c r="AL117" s="5"/>
    </row>
    <row r="118" spans="1:38" ht="13.5" customHeight="1" x14ac:dyDescent="0.2">
      <c r="A118" s="3"/>
      <c r="B118" s="1" t="s">
        <v>42</v>
      </c>
      <c r="AL118" s="5"/>
    </row>
    <row r="119" spans="1:38" ht="13.5" customHeight="1" x14ac:dyDescent="0.2">
      <c r="A119" s="3"/>
      <c r="AL119" s="5"/>
    </row>
    <row r="120" spans="1:38" ht="13.5" customHeight="1" x14ac:dyDescent="0.2">
      <c r="A120" s="3"/>
      <c r="B120" s="1" t="s">
        <v>43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5"/>
    </row>
    <row r="121" spans="1:38" ht="13.5" customHeight="1" x14ac:dyDescent="0.2">
      <c r="A121" s="3"/>
      <c r="B121" s="1" t="s">
        <v>44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5"/>
    </row>
    <row r="122" spans="1:38" ht="13.5" customHeight="1" x14ac:dyDescent="0.2">
      <c r="A122" s="3"/>
      <c r="B122" s="1" t="s">
        <v>45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5"/>
    </row>
    <row r="123" spans="1:38" ht="13.5" customHeight="1" x14ac:dyDescent="0.2">
      <c r="A123" s="3"/>
      <c r="AL123" s="5"/>
    </row>
    <row r="124" spans="1:38" ht="13.5" customHeight="1" x14ac:dyDescent="0.25">
      <c r="A124" s="39"/>
      <c r="B124" s="69" t="s">
        <v>46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70"/>
      <c r="AE124" s="71"/>
      <c r="AF124" s="71"/>
      <c r="AG124" s="40"/>
      <c r="AH124" s="40"/>
      <c r="AI124" s="40"/>
      <c r="AJ124" s="40"/>
      <c r="AK124" s="40" t="s">
        <v>61</v>
      </c>
      <c r="AL124" s="41"/>
    </row>
    <row r="126" spans="1:38" ht="13.5" customHeight="1" x14ac:dyDescent="0.2">
      <c r="AG126" s="21"/>
      <c r="AH126" s="21"/>
      <c r="AI126" s="21"/>
      <c r="AJ126" s="21">
        <f>AJ111/AJ115</f>
        <v>17914.899110060349</v>
      </c>
      <c r="AK126" s="21">
        <f>AK111/AK115</f>
        <v>19011.547094479331</v>
      </c>
    </row>
    <row r="127" spans="1:38" ht="13.5" customHeight="1" x14ac:dyDescent="0.2">
      <c r="AF127" s="21"/>
      <c r="AG127" s="21"/>
      <c r="AH127" s="21"/>
      <c r="AI127" s="21"/>
      <c r="AJ127" s="21"/>
      <c r="AK127" s="21"/>
    </row>
    <row r="135" spans="8:39" ht="13.5" customHeight="1" x14ac:dyDescent="0.2"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M135" s="32"/>
    </row>
    <row r="136" spans="8:39" ht="13.5" customHeight="1" x14ac:dyDescent="0.2"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M136" s="32"/>
    </row>
    <row r="137" spans="8:39" ht="13.5" customHeight="1" x14ac:dyDescent="0.2"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M137" s="32"/>
    </row>
    <row r="138" spans="8:39" ht="13.5" customHeight="1" x14ac:dyDescent="0.2"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M138" s="32"/>
    </row>
    <row r="139" spans="8:39" ht="13.5" customHeight="1" x14ac:dyDescent="0.2"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M139" s="32"/>
    </row>
  </sheetData>
  <mergeCells count="2">
    <mergeCell ref="A2:AL2"/>
    <mergeCell ref="B124:AF124"/>
  </mergeCells>
  <hyperlinks>
    <hyperlink ref="B124:AC124" r:id="rId1" display="Source: DHE 14-1, Student Financial Aid Awarded" xr:uid="{3A879F21-2053-453A-9917-1AC175D14BB2}"/>
    <hyperlink ref="B124:AD124" r:id="rId2" display="Source: DHE 14-1, Student Financial Aid Awarded" xr:uid="{86F03BF0-0A93-4439-89D2-60CD9817F56A}"/>
  </hyperlinks>
  <printOptions horizontalCentered="1"/>
  <pageMargins left="0.7" right="0.45" top="0.5" bottom="0.25" header="0.5" footer="0.5"/>
  <pageSetup scale="77" orientation="portrait" r:id="rId3"/>
  <headerFooter alignWithMargins="0"/>
  <rowBreaks count="1" manualBreakCount="1">
    <brk id="78" max="26" man="1"/>
  </rowBreaks>
  <ignoredErrors>
    <ignoredError sqref="F22:AA116 AL90:AL116 F21:AB21 AL21:AM89 AB87 AB100 AB93 AC21:AC43 AC87:AC123 AC125:AC127 AC56 AD87:AD104 AE87:AE102 AF87:AF102 AG87:AG100 AH87:AH100 AD21:AI21 AD56:AI56 AI87:AI123 AI125 AJ87:AJ105 AJ21:AK42 AK87:AK10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/>
  <dimension ref="A2:AP134"/>
  <sheetViews>
    <sheetView zoomScaleNormal="100" workbookViewId="0"/>
  </sheetViews>
  <sheetFormatPr defaultColWidth="10.85546875" defaultRowHeight="13.5" customHeight="1" x14ac:dyDescent="0.2"/>
  <cols>
    <col min="1" max="3" width="2.7109375" style="1" customWidth="1"/>
    <col min="4" max="4" width="13.7109375" style="1" customWidth="1"/>
    <col min="5" max="5" width="3.7109375" style="1" customWidth="1"/>
    <col min="6" max="31" width="13.7109375" style="1" hidden="1" customWidth="1"/>
    <col min="32" max="37" width="13.7109375" style="1" customWidth="1"/>
    <col min="38" max="38" width="2.7109375" style="1" customWidth="1"/>
    <col min="39" max="39" width="8.28515625" style="1" customWidth="1"/>
    <col min="40" max="72" width="10.85546875" style="1" customWidth="1"/>
    <col min="73" max="16384" width="10.85546875" style="1"/>
  </cols>
  <sheetData>
    <row r="2" spans="1:40" ht="15" customHeight="1" x14ac:dyDescent="0.25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8"/>
      <c r="AM2" s="2"/>
      <c r="AN2" s="2"/>
    </row>
    <row r="3" spans="1:40" ht="13.5" customHeight="1" x14ac:dyDescent="0.2">
      <c r="A3" s="3"/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5"/>
    </row>
    <row r="4" spans="1:40" ht="15" customHeight="1" x14ac:dyDescent="0.25">
      <c r="A4" s="3"/>
      <c r="B4" s="6" t="s">
        <v>1</v>
      </c>
      <c r="C4" s="7"/>
      <c r="D4" s="7"/>
      <c r="E4" s="7"/>
      <c r="F4" s="7"/>
      <c r="G4" s="7"/>
      <c r="H4" s="7"/>
      <c r="I4" s="7"/>
      <c r="J4" s="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5"/>
    </row>
    <row r="5" spans="1:40" ht="15" customHeight="1" x14ac:dyDescent="0.25">
      <c r="A5" s="3"/>
      <c r="B5" s="8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5"/>
    </row>
    <row r="6" spans="1:40" ht="13.5" customHeight="1" thickBot="1" x14ac:dyDescent="0.25">
      <c r="A6" s="3"/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0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5"/>
    </row>
    <row r="7" spans="1:40" ht="13.5" customHeight="1" thickTop="1" x14ac:dyDescent="0.2">
      <c r="A7" s="3"/>
      <c r="B7" s="11"/>
      <c r="C7" s="11"/>
      <c r="D7" s="11"/>
      <c r="E7" s="12"/>
      <c r="F7" s="13" t="s">
        <v>3</v>
      </c>
      <c r="G7" s="13" t="s">
        <v>4</v>
      </c>
      <c r="H7" s="13" t="s">
        <v>5</v>
      </c>
      <c r="I7" s="13" t="s">
        <v>6</v>
      </c>
      <c r="J7" s="13" t="s">
        <v>7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4" t="s">
        <v>13</v>
      </c>
      <c r="Q7" s="14" t="s">
        <v>14</v>
      </c>
      <c r="R7" s="14" t="s">
        <v>15</v>
      </c>
      <c r="S7" s="14" t="s">
        <v>16</v>
      </c>
      <c r="T7" s="14" t="s">
        <v>17</v>
      </c>
      <c r="U7" s="14" t="s">
        <v>18</v>
      </c>
      <c r="V7" s="14" t="s">
        <v>19</v>
      </c>
      <c r="W7" s="14" t="s">
        <v>20</v>
      </c>
      <c r="X7" s="14" t="s">
        <v>21</v>
      </c>
      <c r="Y7" s="14" t="s">
        <v>22</v>
      </c>
      <c r="Z7" s="14" t="s">
        <v>23</v>
      </c>
      <c r="AA7" s="14" t="s">
        <v>24</v>
      </c>
      <c r="AB7" s="14" t="s">
        <v>51</v>
      </c>
      <c r="AC7" s="14" t="s">
        <v>52</v>
      </c>
      <c r="AD7" s="14" t="s">
        <v>53</v>
      </c>
      <c r="AE7" s="14" t="s">
        <v>54</v>
      </c>
      <c r="AF7" s="14" t="s">
        <v>55</v>
      </c>
      <c r="AG7" s="14" t="s">
        <v>56</v>
      </c>
      <c r="AH7" s="14" t="s">
        <v>57</v>
      </c>
      <c r="AI7" s="14" t="s">
        <v>58</v>
      </c>
      <c r="AJ7" s="14" t="s">
        <v>59</v>
      </c>
      <c r="AK7" s="14" t="s">
        <v>60</v>
      </c>
      <c r="AL7" s="5"/>
    </row>
    <row r="8" spans="1:40" ht="13.5" customHeight="1" x14ac:dyDescent="0.2">
      <c r="A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7"/>
    </row>
    <row r="9" spans="1:40" ht="13.5" customHeight="1" x14ac:dyDescent="0.2">
      <c r="A9" s="15"/>
      <c r="B9" s="18" t="s">
        <v>25</v>
      </c>
      <c r="C9" s="19"/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17"/>
    </row>
    <row r="10" spans="1:40" ht="13.5" customHeight="1" x14ac:dyDescent="0.2">
      <c r="A10" s="15"/>
      <c r="C10" s="2" t="s">
        <v>26</v>
      </c>
      <c r="D10" s="2"/>
      <c r="AL10" s="17"/>
    </row>
    <row r="11" spans="1:40" ht="13.5" customHeight="1" x14ac:dyDescent="0.2">
      <c r="A11" s="15"/>
      <c r="D11" s="1" t="s">
        <v>27</v>
      </c>
      <c r="E11" s="21"/>
      <c r="F11" s="21">
        <v>7732918</v>
      </c>
      <c r="G11" s="21">
        <v>6499957</v>
      </c>
      <c r="H11" s="21">
        <v>6399124</v>
      </c>
      <c r="I11" s="21">
        <v>6517281</v>
      </c>
      <c r="J11" s="21">
        <v>6495065</v>
      </c>
      <c r="K11" s="21">
        <v>7140820</v>
      </c>
      <c r="L11" s="21">
        <v>7734272</v>
      </c>
      <c r="M11" s="21">
        <v>7254750</v>
      </c>
      <c r="N11" s="21">
        <v>8180439</v>
      </c>
      <c r="O11" s="21">
        <v>9254352</v>
      </c>
      <c r="P11" s="21">
        <v>10598734</v>
      </c>
      <c r="Q11" s="21">
        <v>11417215</v>
      </c>
      <c r="R11" s="21">
        <f>1711371+8364696+1383946</f>
        <v>11460013</v>
      </c>
      <c r="S11" s="21">
        <f>1780883+8097316+1481129</f>
        <v>11359328</v>
      </c>
      <c r="T11" s="21">
        <f>1543362+8236047+2972215</f>
        <v>12751624</v>
      </c>
      <c r="U11" s="21">
        <f>1398733+9659568+612697+346620+2360686</f>
        <v>14378304</v>
      </c>
      <c r="V11" s="21">
        <f>763235+11440003+319560+1395030+1983736+165361+703933</f>
        <v>16770858</v>
      </c>
      <c r="W11" s="21">
        <f>1062459+18490526+738071+0+1095356+12000+773205+0+0+428769+1008471</f>
        <v>23608857</v>
      </c>
      <c r="X11" s="21">
        <f>1189725+22463311+772540+0+1130387+44000+90178+0+0+501099+1022047</f>
        <v>27213287</v>
      </c>
      <c r="Y11" s="21">
        <f>0+23376685+0+0+1411398+42000+262695+0+0+659393+872926</f>
        <v>26625097</v>
      </c>
      <c r="Z11" s="21">
        <f>0+23300852+0+0+1085394+29557+438318+0+0+745899+823093</f>
        <v>26423113</v>
      </c>
      <c r="AA11" s="21">
        <f>23183569+0+0+1085225+26837+306427+0+0+616625+1017139</f>
        <v>26235822</v>
      </c>
      <c r="AB11" s="21">
        <f>0+23506194+0+0+1086331+30690+4726477+0+0+207538+1106678</f>
        <v>30663908</v>
      </c>
      <c r="AC11" s="21">
        <f>0+22480265+0+0+1049185+29744+3311140+0+0+149183+820707</f>
        <v>27840224</v>
      </c>
      <c r="AD11" s="21">
        <f>0+20173319+0+0+1076744+22360+3179122+0+0+120000+717758</f>
        <v>25289303</v>
      </c>
      <c r="AE11" s="21">
        <f>0+20538496+0+0+1008524+16758+2949133+0+0+100000+542379</f>
        <v>25155290</v>
      </c>
      <c r="AF11" s="21">
        <f>21678597+1101171+11208+2752327+98703+610925</f>
        <v>26252931</v>
      </c>
      <c r="AG11" s="21">
        <f>22599153+1146085+15020+3240352+102680+7780796</f>
        <v>34884086</v>
      </c>
      <c r="AH11" s="21">
        <f>22995873+1223607+15088+598051+100000+8568058</f>
        <v>33500677</v>
      </c>
      <c r="AI11" s="21">
        <f>24128586+1358596+38402+3309020+159500+20334233</f>
        <v>49328337</v>
      </c>
      <c r="AJ11" s="21">
        <f>25053773+0+1391875+26404+3380241+0+0+256949+533816</f>
        <v>30643058</v>
      </c>
      <c r="AK11" s="21">
        <f>26231577+1492043+33948+4221544+282452+687796</f>
        <v>32949360</v>
      </c>
      <c r="AL11" s="22"/>
    </row>
    <row r="12" spans="1:40" ht="13.5" customHeight="1" x14ac:dyDescent="0.2">
      <c r="A12" s="15"/>
      <c r="D12" s="1" t="s">
        <v>28</v>
      </c>
      <c r="E12" s="23"/>
      <c r="F12" s="23">
        <v>18472237</v>
      </c>
      <c r="G12" s="23">
        <v>26605730</v>
      </c>
      <c r="H12" s="23">
        <v>29023629</v>
      </c>
      <c r="I12" s="23">
        <v>33973678</v>
      </c>
      <c r="J12" s="23">
        <v>38064833</v>
      </c>
      <c r="K12" s="23">
        <v>40063484</v>
      </c>
      <c r="L12" s="23">
        <v>43797153</v>
      </c>
      <c r="M12" s="23">
        <v>45415919</v>
      </c>
      <c r="N12" s="23">
        <v>46682045</v>
      </c>
      <c r="O12" s="23">
        <v>49497548</v>
      </c>
      <c r="P12" s="23">
        <v>58128185</v>
      </c>
      <c r="Q12" s="23">
        <v>66057966</v>
      </c>
      <c r="R12" s="23">
        <f>2578317+26081835+19347063+29032373+75000+295757</f>
        <v>77410345</v>
      </c>
      <c r="S12" s="23">
        <f>2003278+0+0+2239124+25722122+20241825+32255699+45000+0+396559</f>
        <v>82903607</v>
      </c>
      <c r="T12" s="23">
        <f>1915924+0+0+3597115+26000319+19449681+29926794+45000+0+163295</f>
        <v>81098128</v>
      </c>
      <c r="U12" s="23">
        <f>769750+4844992+29315251+20211080+30875554+169468</f>
        <v>86186095</v>
      </c>
      <c r="V12" s="23">
        <f>31356661+35115647+35607161+203100+467550+915105+353642+458781</f>
        <v>104477647</v>
      </c>
      <c r="W12" s="23">
        <f>36394700+42666984+38818987+0+0+299958+1828048+158948+207138+508861+0+0+0</f>
        <v>120883624</v>
      </c>
      <c r="X12" s="23">
        <f>40514675+44639502+44572997+0+0+412103+1026369+0+0+0+0+0+0</f>
        <v>131165646</v>
      </c>
      <c r="Y12" s="23">
        <f>42770797+45905181+48495661+0+0+180866+2041620+0+0+0+0+0+0</f>
        <v>139394125</v>
      </c>
      <c r="Z12" s="23">
        <f>41129229+46070021+46483640+0+0+175526+2603011+0+0+0+0+0+0</f>
        <v>136461427</v>
      </c>
      <c r="AA12" s="23">
        <f>39836141+44490880+45171588+0+0+285725+2513643+0+0+0+0+0+0</f>
        <v>132297977</v>
      </c>
      <c r="AB12" s="23">
        <f>40651872+42117934+50543657+0+0+289600+1110388+0+0+0+0+0+0</f>
        <v>134713451</v>
      </c>
      <c r="AC12" s="23">
        <f>38596149+39006821+52969148+0+0+236696+1739053+0+0+0+0+0+0</f>
        <v>132547867</v>
      </c>
      <c r="AD12" s="23">
        <f>36344285+34027060+52599721+0+0+373653+4577206+0+0+0+0+0+0</f>
        <v>127921925</v>
      </c>
      <c r="AE12" s="23">
        <f>32511220+29958672+48223536+0+0+366260+3637125+0+0+0+0+0+0</f>
        <v>114696813</v>
      </c>
      <c r="AF12" s="23">
        <f>27849498+27417270+46009874+419163</f>
        <v>101695805</v>
      </c>
      <c r="AG12" s="23">
        <f>26195430+28229148+47584534+0+431605</f>
        <v>102440717</v>
      </c>
      <c r="AH12" s="23">
        <f>24514759+27050154+45736887+0+230781</f>
        <v>97532581</v>
      </c>
      <c r="AI12" s="23">
        <f>24479448+26812793+40914954+355162</f>
        <v>92562357</v>
      </c>
      <c r="AJ12" s="23">
        <f>23249461+29468173+40841014+0+0+324911+0+0+0+0+0</f>
        <v>93883559</v>
      </c>
      <c r="AK12" s="23">
        <f>25124059+28049026+48501175+214400</f>
        <v>101888660</v>
      </c>
      <c r="AL12" s="22"/>
    </row>
    <row r="13" spans="1:40" ht="13.5" customHeight="1" x14ac:dyDescent="0.2">
      <c r="A13" s="15"/>
      <c r="D13" s="1" t="s">
        <v>29</v>
      </c>
      <c r="E13" s="23"/>
      <c r="F13" s="24">
        <v>1096733</v>
      </c>
      <c r="G13" s="24">
        <v>1012394</v>
      </c>
      <c r="H13" s="24">
        <v>915108</v>
      </c>
      <c r="I13" s="24">
        <v>1111146</v>
      </c>
      <c r="J13" s="24">
        <v>1066827</v>
      </c>
      <c r="K13" s="24">
        <v>1509834</v>
      </c>
      <c r="L13" s="24">
        <v>1421944</v>
      </c>
      <c r="M13" s="24">
        <v>1136791</v>
      </c>
      <c r="N13" s="24">
        <v>1719254</v>
      </c>
      <c r="O13" s="24">
        <v>1212011</v>
      </c>
      <c r="P13" s="24">
        <v>1632270</v>
      </c>
      <c r="Q13" s="24">
        <v>2030987</v>
      </c>
      <c r="R13" s="24">
        <f>1493947</f>
        <v>1493947</v>
      </c>
      <c r="S13" s="24">
        <f>1239524</f>
        <v>1239524</v>
      </c>
      <c r="T13" s="24">
        <f>1466016</f>
        <v>1466016</v>
      </c>
      <c r="U13" s="24">
        <f>936162</f>
        <v>936162</v>
      </c>
      <c r="V13" s="24">
        <f>1494589</f>
        <v>1494589</v>
      </c>
      <c r="W13" s="24">
        <f>1350328</f>
        <v>1350328</v>
      </c>
      <c r="X13" s="24">
        <f>1322594</f>
        <v>1322594</v>
      </c>
      <c r="Y13" s="24">
        <f>1487881</f>
        <v>1487881</v>
      </c>
      <c r="Z13" s="24">
        <f>1131165</f>
        <v>1131165</v>
      </c>
      <c r="AA13" s="24">
        <f>1260642</f>
        <v>1260642</v>
      </c>
      <c r="AB13" s="24">
        <f>1256364</f>
        <v>1256364</v>
      </c>
      <c r="AC13" s="24">
        <v>1162468</v>
      </c>
      <c r="AD13" s="24">
        <v>1051760</v>
      </c>
      <c r="AE13" s="24">
        <v>947935</v>
      </c>
      <c r="AF13" s="24">
        <v>886305</v>
      </c>
      <c r="AG13" s="24">
        <v>802434</v>
      </c>
      <c r="AH13" s="24">
        <v>775775</v>
      </c>
      <c r="AI13" s="24">
        <v>735404.5</v>
      </c>
      <c r="AJ13" s="24">
        <v>803511</v>
      </c>
      <c r="AK13" s="24">
        <v>1166217</v>
      </c>
      <c r="AL13" s="25"/>
    </row>
    <row r="14" spans="1:40" ht="13.5" customHeight="1" x14ac:dyDescent="0.2">
      <c r="A14" s="15"/>
      <c r="E14" s="23"/>
      <c r="F14" s="21">
        <f t="shared" ref="F14:K14" si="0">SUM(F11:F13)</f>
        <v>27301888</v>
      </c>
      <c r="G14" s="21">
        <f t="shared" si="0"/>
        <v>34118081</v>
      </c>
      <c r="H14" s="21">
        <f t="shared" si="0"/>
        <v>36337861</v>
      </c>
      <c r="I14" s="21">
        <f t="shared" si="0"/>
        <v>41602105</v>
      </c>
      <c r="J14" s="21">
        <f t="shared" si="0"/>
        <v>45626725</v>
      </c>
      <c r="K14" s="21">
        <f t="shared" si="0"/>
        <v>48714138</v>
      </c>
      <c r="L14" s="21">
        <f t="shared" ref="L14:AA14" si="1">SUM(L11:L13)</f>
        <v>52953369</v>
      </c>
      <c r="M14" s="21">
        <f t="shared" si="1"/>
        <v>53807460</v>
      </c>
      <c r="N14" s="21">
        <f t="shared" si="1"/>
        <v>56581738</v>
      </c>
      <c r="O14" s="21">
        <f t="shared" si="1"/>
        <v>59963911</v>
      </c>
      <c r="P14" s="21">
        <f t="shared" si="1"/>
        <v>70359189</v>
      </c>
      <c r="Q14" s="21">
        <f t="shared" si="1"/>
        <v>79506168</v>
      </c>
      <c r="R14" s="21">
        <f t="shared" si="1"/>
        <v>90364305</v>
      </c>
      <c r="S14" s="21">
        <f t="shared" si="1"/>
        <v>95502459</v>
      </c>
      <c r="T14" s="21">
        <f t="shared" si="1"/>
        <v>95315768</v>
      </c>
      <c r="U14" s="21">
        <f t="shared" si="1"/>
        <v>101500561</v>
      </c>
      <c r="V14" s="21">
        <f t="shared" si="1"/>
        <v>122743094</v>
      </c>
      <c r="W14" s="21">
        <f t="shared" si="1"/>
        <v>145842809</v>
      </c>
      <c r="X14" s="21">
        <f t="shared" si="1"/>
        <v>159701527</v>
      </c>
      <c r="Y14" s="21">
        <f t="shared" si="1"/>
        <v>167507103</v>
      </c>
      <c r="Z14" s="21">
        <f t="shared" si="1"/>
        <v>164015705</v>
      </c>
      <c r="AA14" s="21">
        <f t="shared" si="1"/>
        <v>159794441</v>
      </c>
      <c r="AB14" s="21">
        <f t="shared" ref="AB14:AC14" si="2">SUM(AB11:AB13)</f>
        <v>166633723</v>
      </c>
      <c r="AC14" s="21">
        <f t="shared" si="2"/>
        <v>161550559</v>
      </c>
      <c r="AD14" s="21">
        <f t="shared" ref="AD14:AE14" si="3">SUM(AD11:AD13)</f>
        <v>154262988</v>
      </c>
      <c r="AE14" s="21">
        <f t="shared" si="3"/>
        <v>140800038</v>
      </c>
      <c r="AF14" s="21">
        <f t="shared" ref="AF14:AG14" si="4">SUM(AF11:AF13)</f>
        <v>128835041</v>
      </c>
      <c r="AG14" s="21">
        <f t="shared" si="4"/>
        <v>138127237</v>
      </c>
      <c r="AH14" s="21">
        <f t="shared" ref="AH14:AI14" si="5">SUM(AH11:AH13)</f>
        <v>131809033</v>
      </c>
      <c r="AI14" s="21">
        <f t="shared" si="5"/>
        <v>142626098.5</v>
      </c>
      <c r="AJ14" s="21">
        <f t="shared" ref="AJ14:AK14" si="6">SUM(AJ11:AJ13)</f>
        <v>125330128</v>
      </c>
      <c r="AK14" s="21">
        <f t="shared" si="6"/>
        <v>136004237</v>
      </c>
      <c r="AL14" s="22"/>
    </row>
    <row r="15" spans="1:40" ht="13.5" hidden="1" customHeight="1" x14ac:dyDescent="0.2">
      <c r="A15" s="15"/>
      <c r="D15" s="26"/>
      <c r="E15" s="27"/>
      <c r="F15" s="28">
        <v>-549949</v>
      </c>
      <c r="G15" s="28">
        <v>-610361</v>
      </c>
      <c r="H15" s="28"/>
      <c r="I15" s="28">
        <v>-657590</v>
      </c>
      <c r="J15" s="28">
        <v>-575011</v>
      </c>
      <c r="K15" s="28">
        <v>-763573</v>
      </c>
      <c r="L15" s="28">
        <v>-671702</v>
      </c>
      <c r="M15" s="28">
        <v>-628499</v>
      </c>
      <c r="N15" s="28">
        <v>-626885</v>
      </c>
      <c r="O15" s="28">
        <v>-652501</v>
      </c>
      <c r="P15" s="28">
        <v>-865083</v>
      </c>
      <c r="Q15" s="28">
        <v>-1381654</v>
      </c>
      <c r="R15" s="28">
        <v>-1179540</v>
      </c>
      <c r="S15" s="28">
        <v>-1088906</v>
      </c>
      <c r="T15" s="28">
        <v>-1106606</v>
      </c>
      <c r="U15" s="28">
        <v>-586806</v>
      </c>
      <c r="V15" s="28">
        <v>-972666</v>
      </c>
      <c r="W15" s="28">
        <v>-715395</v>
      </c>
      <c r="X15" s="28">
        <v>-821998</v>
      </c>
      <c r="Y15" s="28">
        <v>-1372661</v>
      </c>
      <c r="Z15" s="28">
        <v>-813777</v>
      </c>
      <c r="AA15" s="28">
        <v>-953992</v>
      </c>
      <c r="AB15" s="28">
        <v>-709880</v>
      </c>
      <c r="AC15" s="28">
        <v>-632229</v>
      </c>
      <c r="AD15" s="28">
        <v>-763642</v>
      </c>
      <c r="AE15" s="28">
        <v>-818429</v>
      </c>
      <c r="AF15" s="28">
        <v>-386024</v>
      </c>
      <c r="AG15" s="28">
        <v>-380423</v>
      </c>
      <c r="AH15" s="28">
        <v>-386716</v>
      </c>
      <c r="AI15" s="28">
        <v>-348492</v>
      </c>
      <c r="AJ15" s="28">
        <v>-107711</v>
      </c>
      <c r="AK15" s="28">
        <v>-560138</v>
      </c>
      <c r="AL15" s="22"/>
    </row>
    <row r="16" spans="1:40" ht="13.5" customHeight="1" x14ac:dyDescent="0.2">
      <c r="A16" s="15"/>
      <c r="D16" s="26"/>
      <c r="E16" s="27" t="s">
        <v>30</v>
      </c>
      <c r="F16" s="29">
        <f t="shared" ref="F16:AA16" si="7">SUM(F14:F15)</f>
        <v>26751939</v>
      </c>
      <c r="G16" s="29">
        <f t="shared" si="7"/>
        <v>33507720</v>
      </c>
      <c r="H16" s="29"/>
      <c r="I16" s="29">
        <f t="shared" si="7"/>
        <v>40944515</v>
      </c>
      <c r="J16" s="29">
        <f t="shared" si="7"/>
        <v>45051714</v>
      </c>
      <c r="K16" s="29">
        <f t="shared" si="7"/>
        <v>47950565</v>
      </c>
      <c r="L16" s="29">
        <f t="shared" si="7"/>
        <v>52281667</v>
      </c>
      <c r="M16" s="29">
        <f t="shared" si="7"/>
        <v>53178961</v>
      </c>
      <c r="N16" s="29">
        <f t="shared" si="7"/>
        <v>55954853</v>
      </c>
      <c r="O16" s="29">
        <f t="shared" si="7"/>
        <v>59311410</v>
      </c>
      <c r="P16" s="29">
        <f t="shared" si="7"/>
        <v>69494106</v>
      </c>
      <c r="Q16" s="29">
        <f t="shared" si="7"/>
        <v>78124514</v>
      </c>
      <c r="R16" s="29">
        <f t="shared" si="7"/>
        <v>89184765</v>
      </c>
      <c r="S16" s="29">
        <f t="shared" si="7"/>
        <v>94413553</v>
      </c>
      <c r="T16" s="29">
        <f t="shared" si="7"/>
        <v>94209162</v>
      </c>
      <c r="U16" s="29">
        <f t="shared" si="7"/>
        <v>100913755</v>
      </c>
      <c r="V16" s="29">
        <f t="shared" si="7"/>
        <v>121770428</v>
      </c>
      <c r="W16" s="29">
        <f t="shared" si="7"/>
        <v>145127414</v>
      </c>
      <c r="X16" s="29">
        <f t="shared" si="7"/>
        <v>158879529</v>
      </c>
      <c r="Y16" s="29">
        <f t="shared" si="7"/>
        <v>166134442</v>
      </c>
      <c r="Z16" s="29">
        <f t="shared" si="7"/>
        <v>163201928</v>
      </c>
      <c r="AA16" s="29">
        <f t="shared" si="7"/>
        <v>158840449</v>
      </c>
      <c r="AB16" s="29">
        <f t="shared" ref="AB16:AC16" si="8">SUM(AB14:AB15)</f>
        <v>165923843</v>
      </c>
      <c r="AC16" s="29">
        <f t="shared" si="8"/>
        <v>160918330</v>
      </c>
      <c r="AD16" s="29">
        <f t="shared" ref="AD16:AE16" si="9">SUM(AD14:AD15)</f>
        <v>153499346</v>
      </c>
      <c r="AE16" s="29">
        <f t="shared" si="9"/>
        <v>139981609</v>
      </c>
      <c r="AF16" s="29">
        <f t="shared" ref="AF16" si="10">SUM(AF14:AF15)</f>
        <v>128449017</v>
      </c>
      <c r="AG16" s="29">
        <f>SUM(AG14:AG15)</f>
        <v>137746814</v>
      </c>
      <c r="AH16" s="29">
        <f>SUM(AH14:AH15)</f>
        <v>131422317</v>
      </c>
      <c r="AI16" s="29">
        <f>SUM(AI14:AI15)</f>
        <v>142277606.5</v>
      </c>
      <c r="AJ16" s="29">
        <f>SUM(AJ14:AJ15)</f>
        <v>125222417</v>
      </c>
      <c r="AK16" s="29">
        <f>SUM(AK14:AK15)</f>
        <v>135444099</v>
      </c>
      <c r="AL16" s="22"/>
    </row>
    <row r="17" spans="1:38" ht="13.5" customHeight="1" x14ac:dyDescent="0.2">
      <c r="A17" s="15"/>
      <c r="C17" s="2" t="s">
        <v>31</v>
      </c>
      <c r="AL17" s="17"/>
    </row>
    <row r="18" spans="1:38" ht="13.5" customHeight="1" x14ac:dyDescent="0.2">
      <c r="A18" s="15"/>
      <c r="D18" s="1" t="s">
        <v>27</v>
      </c>
      <c r="E18" s="21"/>
      <c r="F18" s="21">
        <v>9847586</v>
      </c>
      <c r="G18" s="21">
        <v>4308709</v>
      </c>
      <c r="H18" s="21">
        <v>4448620</v>
      </c>
      <c r="I18" s="21">
        <v>4717637</v>
      </c>
      <c r="J18" s="21">
        <v>5086888</v>
      </c>
      <c r="K18" s="21">
        <v>5505409</v>
      </c>
      <c r="L18" s="21">
        <v>6606212</v>
      </c>
      <c r="M18" s="21">
        <v>7639547</v>
      </c>
      <c r="N18" s="21">
        <v>9074632</v>
      </c>
      <c r="O18" s="21">
        <v>9718470</v>
      </c>
      <c r="P18" s="21">
        <v>8920909</v>
      </c>
      <c r="Q18" s="21">
        <v>8689147</v>
      </c>
      <c r="R18" s="21">
        <f>357660+4724342+1887934+17570+2510+69500+167250+668108+8447</f>
        <v>7903321</v>
      </c>
      <c r="S18" s="21">
        <f>293127+4593895+2266083+19068+10964+65000+155250+670957+53300</f>
        <v>8127644</v>
      </c>
      <c r="T18" s="21">
        <f>280500+4539113+2439983+0+14108+20457+100000+161250+700264+78652</f>
        <v>8334327</v>
      </c>
      <c r="U18" s="21">
        <f>4593806+6321459+16986+11997+117000+140250+681445+176640</f>
        <v>12059583</v>
      </c>
      <c r="V18" s="21">
        <f>7666543+51305+4394565+7368+23000+33500+151500+10144+591066+70548</f>
        <v>12999539</v>
      </c>
      <c r="W18" s="21">
        <f>6502594+0+40592+4171087+7500+8842+11000+0+650+135750+10968+682467+103598</f>
        <v>11675048</v>
      </c>
      <c r="X18" s="21">
        <f>4783975+0+53008+3016540+6000+8842+4000+0+11789+152250+5442+714254+0+58666</f>
        <v>8814766</v>
      </c>
      <c r="Y18" s="21">
        <f>5044210+0+21378+3168707+2700+6278+0+0+18835+14991+2722+662873+11500+95722</f>
        <v>9049916</v>
      </c>
      <c r="Z18" s="21">
        <f>5476349+0+49463+3567264+0+2425+0+0+25862+0+11938+1000+4918+707452+0+70912</f>
        <v>9917583</v>
      </c>
      <c r="AA18" s="21">
        <f>4991069+0+40750+4289769+0+6596+0+0+16440+7869+0+9135+626652+0+132982</f>
        <v>10121262</v>
      </c>
      <c r="AB18" s="21">
        <f>7036568+0+36354+5282992+0+13680+0+0+13152+0+5348+1500+7522+655972+0+100923</f>
        <v>13154011</v>
      </c>
      <c r="AC18" s="21">
        <f>7612187+0+25252+5690917+0+4972+0+0+0+0+2703+1500+7619+721094+0+122123</f>
        <v>14188367</v>
      </c>
      <c r="AD18" s="21">
        <f>7949197+0+0+5703161+4500+8286+0+0+0+0+0+1000+10658+660701+0+128411</f>
        <v>14465914</v>
      </c>
      <c r="AE18" s="21">
        <f>6081219+0+0+5789968+4300+0+0+0+0+0+0+500+14107+733194+0+114445</f>
        <v>12737733</v>
      </c>
      <c r="AF18" s="21">
        <f>7423302+5811445+13670+13670+1000+9591+596591+66548</f>
        <v>13935817</v>
      </c>
      <c r="AG18" s="21">
        <f>8194117+6279932+6279+39468+500+8720+828947+33308+44373</f>
        <v>15435644</v>
      </c>
      <c r="AH18" s="21">
        <f>7687454+5388982+0+55080+1500+3997+837903+53571+108293</f>
        <v>14136780</v>
      </c>
      <c r="AI18" s="21">
        <f>9738783+6786133+46267+2241+858561+41810+83352</f>
        <v>17557147</v>
      </c>
      <c r="AJ18" s="21">
        <f>10643040+0+0+7070023+0+0+0+28207+0+1000+15936+683662+8747+75216</f>
        <v>18525831</v>
      </c>
      <c r="AK18" s="21">
        <f>11403362+6004856+21184+1000+19557+788655+24640+188634</f>
        <v>18451888</v>
      </c>
      <c r="AL18" s="22"/>
    </row>
    <row r="19" spans="1:38" ht="13.5" customHeight="1" x14ac:dyDescent="0.2">
      <c r="A19" s="15"/>
      <c r="D19" s="1" t="s">
        <v>28</v>
      </c>
      <c r="E19" s="23"/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590062</v>
      </c>
      <c r="N19" s="24">
        <v>431198</v>
      </c>
      <c r="O19" s="24">
        <v>207334</v>
      </c>
      <c r="P19" s="24">
        <v>125662</v>
      </c>
      <c r="Q19" s="24">
        <v>68864</v>
      </c>
      <c r="R19" s="24">
        <f>11916</f>
        <v>11916</v>
      </c>
      <c r="S19" s="24">
        <f>0+0</f>
        <v>0</v>
      </c>
      <c r="T19" s="24">
        <f>0+0</f>
        <v>0</v>
      </c>
      <c r="U19" s="24">
        <f>0+0</f>
        <v>0</v>
      </c>
      <c r="V19" s="24">
        <f>0+0</f>
        <v>0</v>
      </c>
      <c r="W19" s="24">
        <f>0+5001+0+0</f>
        <v>5001</v>
      </c>
      <c r="X19" s="24">
        <f t="shared" ref="X19:AF19" si="11">0+0+0+0</f>
        <v>0</v>
      </c>
      <c r="Y19" s="24">
        <f t="shared" si="11"/>
        <v>0</v>
      </c>
      <c r="Z19" s="24">
        <f t="shared" si="11"/>
        <v>0</v>
      </c>
      <c r="AA19" s="24">
        <f t="shared" si="11"/>
        <v>0</v>
      </c>
      <c r="AB19" s="24">
        <f t="shared" si="11"/>
        <v>0</v>
      </c>
      <c r="AC19" s="24">
        <f t="shared" si="11"/>
        <v>0</v>
      </c>
      <c r="AD19" s="24">
        <f t="shared" si="11"/>
        <v>0</v>
      </c>
      <c r="AE19" s="24">
        <f t="shared" si="11"/>
        <v>0</v>
      </c>
      <c r="AF19" s="24">
        <f t="shared" si="11"/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2"/>
    </row>
    <row r="20" spans="1:38" ht="13.5" customHeight="1" x14ac:dyDescent="0.2">
      <c r="A20" s="15"/>
      <c r="E20" s="23"/>
      <c r="F20" s="21">
        <f t="shared" ref="F20:K20" si="12">SUM(F18:F19)</f>
        <v>9847586</v>
      </c>
      <c r="G20" s="21">
        <f t="shared" si="12"/>
        <v>4308709</v>
      </c>
      <c r="H20" s="21">
        <f t="shared" si="12"/>
        <v>4448620</v>
      </c>
      <c r="I20" s="21">
        <f t="shared" si="12"/>
        <v>4717637</v>
      </c>
      <c r="J20" s="21">
        <f t="shared" si="12"/>
        <v>5086888</v>
      </c>
      <c r="K20" s="21">
        <f t="shared" si="12"/>
        <v>5505409</v>
      </c>
      <c r="L20" s="21">
        <f t="shared" ref="L20:AA20" si="13">SUM(L18:L19)</f>
        <v>6606212</v>
      </c>
      <c r="M20" s="21">
        <f t="shared" si="13"/>
        <v>8229609</v>
      </c>
      <c r="N20" s="21">
        <f t="shared" si="13"/>
        <v>9505830</v>
      </c>
      <c r="O20" s="21">
        <f t="shared" si="13"/>
        <v>9925804</v>
      </c>
      <c r="P20" s="21">
        <f t="shared" si="13"/>
        <v>9046571</v>
      </c>
      <c r="Q20" s="21">
        <f t="shared" si="13"/>
        <v>8758011</v>
      </c>
      <c r="R20" s="21">
        <f t="shared" si="13"/>
        <v>7915237</v>
      </c>
      <c r="S20" s="21">
        <f t="shared" si="13"/>
        <v>8127644</v>
      </c>
      <c r="T20" s="21">
        <f t="shared" si="13"/>
        <v>8334327</v>
      </c>
      <c r="U20" s="21">
        <f t="shared" si="13"/>
        <v>12059583</v>
      </c>
      <c r="V20" s="21">
        <f t="shared" si="13"/>
        <v>12999539</v>
      </c>
      <c r="W20" s="21">
        <f t="shared" si="13"/>
        <v>11680049</v>
      </c>
      <c r="X20" s="21">
        <f t="shared" si="13"/>
        <v>8814766</v>
      </c>
      <c r="Y20" s="21">
        <f t="shared" si="13"/>
        <v>9049916</v>
      </c>
      <c r="Z20" s="21">
        <f t="shared" si="13"/>
        <v>9917583</v>
      </c>
      <c r="AA20" s="21">
        <f t="shared" si="13"/>
        <v>10121262</v>
      </c>
      <c r="AB20" s="21">
        <f t="shared" ref="AB20:AC20" si="14">SUM(AB18:AB19)</f>
        <v>13154011</v>
      </c>
      <c r="AC20" s="21">
        <f t="shared" si="14"/>
        <v>14188367</v>
      </c>
      <c r="AD20" s="21">
        <f t="shared" ref="AD20:AE20" si="15">SUM(AD18:AD19)</f>
        <v>14465914</v>
      </c>
      <c r="AE20" s="21">
        <f t="shared" si="15"/>
        <v>12737733</v>
      </c>
      <c r="AF20" s="21">
        <f t="shared" ref="AF20:AG20" si="16">SUM(AF18:AF19)</f>
        <v>13935817</v>
      </c>
      <c r="AG20" s="21">
        <f t="shared" si="16"/>
        <v>15435644</v>
      </c>
      <c r="AH20" s="21">
        <f t="shared" ref="AH20:AI20" si="17">SUM(AH18:AH19)</f>
        <v>14136780</v>
      </c>
      <c r="AI20" s="21">
        <f t="shared" si="17"/>
        <v>17557147</v>
      </c>
      <c r="AJ20" s="21">
        <f t="shared" ref="AJ20:AK20" si="18">SUM(AJ18:AJ19)</f>
        <v>18525831</v>
      </c>
      <c r="AK20" s="21">
        <f t="shared" si="18"/>
        <v>18451888</v>
      </c>
      <c r="AL20" s="22"/>
    </row>
    <row r="21" spans="1:38" ht="13.5" hidden="1" customHeight="1" x14ac:dyDescent="0.2">
      <c r="A21" s="15"/>
      <c r="D21" s="26"/>
      <c r="E21" s="27"/>
      <c r="F21" s="28">
        <v>-27500</v>
      </c>
      <c r="G21" s="28">
        <v>-27000</v>
      </c>
      <c r="H21" s="30"/>
      <c r="I21" s="28">
        <v>-30500</v>
      </c>
      <c r="J21" s="28">
        <v>-26500</v>
      </c>
      <c r="K21" s="28">
        <v>-24500</v>
      </c>
      <c r="L21" s="28">
        <v>-33000</v>
      </c>
      <c r="M21" s="28">
        <v>-39000</v>
      </c>
      <c r="N21" s="28">
        <v>-32500</v>
      </c>
      <c r="O21" s="28">
        <v>-32000</v>
      </c>
      <c r="P21" s="28">
        <v>-40000</v>
      </c>
      <c r="Q21" s="28">
        <v>-51000</v>
      </c>
      <c r="R21" s="28">
        <v>-50250</v>
      </c>
      <c r="S21" s="28">
        <v>-47000</v>
      </c>
      <c r="T21" s="28">
        <v>-43000</v>
      </c>
      <c r="U21" s="28">
        <v>-49500</v>
      </c>
      <c r="V21" s="28">
        <v>-33500</v>
      </c>
      <c r="W21" s="28">
        <v>-7000</v>
      </c>
      <c r="X21" s="28">
        <v>-2000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2"/>
    </row>
    <row r="22" spans="1:38" ht="13.5" customHeight="1" x14ac:dyDescent="0.2">
      <c r="A22" s="15"/>
      <c r="D22" s="26"/>
      <c r="E22" s="27" t="s">
        <v>30</v>
      </c>
      <c r="F22" s="29">
        <f t="shared" ref="F22:AA22" si="19">SUM(F20:F21)</f>
        <v>9820086</v>
      </c>
      <c r="G22" s="29">
        <f t="shared" si="19"/>
        <v>4281709</v>
      </c>
      <c r="H22" s="29"/>
      <c r="I22" s="29">
        <f t="shared" si="19"/>
        <v>4687137</v>
      </c>
      <c r="J22" s="29">
        <f t="shared" si="19"/>
        <v>5060388</v>
      </c>
      <c r="K22" s="29">
        <f t="shared" si="19"/>
        <v>5480909</v>
      </c>
      <c r="L22" s="29">
        <f t="shared" si="19"/>
        <v>6573212</v>
      </c>
      <c r="M22" s="29">
        <f t="shared" si="19"/>
        <v>8190609</v>
      </c>
      <c r="N22" s="29">
        <f t="shared" si="19"/>
        <v>9473330</v>
      </c>
      <c r="O22" s="29">
        <f t="shared" si="19"/>
        <v>9893804</v>
      </c>
      <c r="P22" s="29">
        <f t="shared" si="19"/>
        <v>9006571</v>
      </c>
      <c r="Q22" s="29">
        <f t="shared" si="19"/>
        <v>8707011</v>
      </c>
      <c r="R22" s="29">
        <f t="shared" si="19"/>
        <v>7864987</v>
      </c>
      <c r="S22" s="29">
        <f t="shared" si="19"/>
        <v>8080644</v>
      </c>
      <c r="T22" s="29">
        <f t="shared" si="19"/>
        <v>8291327</v>
      </c>
      <c r="U22" s="29">
        <f t="shared" si="19"/>
        <v>12010083</v>
      </c>
      <c r="V22" s="29">
        <f t="shared" si="19"/>
        <v>12966039</v>
      </c>
      <c r="W22" s="29">
        <f t="shared" si="19"/>
        <v>11673049</v>
      </c>
      <c r="X22" s="29">
        <f t="shared" si="19"/>
        <v>8812766</v>
      </c>
      <c r="Y22" s="29">
        <f t="shared" si="19"/>
        <v>9049916</v>
      </c>
      <c r="Z22" s="29">
        <f t="shared" si="19"/>
        <v>9917583</v>
      </c>
      <c r="AA22" s="29">
        <f t="shared" si="19"/>
        <v>10121262</v>
      </c>
      <c r="AB22" s="29">
        <f t="shared" ref="AB22:AC22" si="20">SUM(AB20:AB21)</f>
        <v>13154011</v>
      </c>
      <c r="AC22" s="29">
        <f t="shared" si="20"/>
        <v>14188367</v>
      </c>
      <c r="AD22" s="29">
        <f t="shared" ref="AD22:AE22" si="21">SUM(AD20:AD21)</f>
        <v>14465914</v>
      </c>
      <c r="AE22" s="29">
        <f t="shared" si="21"/>
        <v>12737733</v>
      </c>
      <c r="AF22" s="29">
        <f t="shared" ref="AF22:AG22" si="22">SUM(AF20:AF21)</f>
        <v>13935817</v>
      </c>
      <c r="AG22" s="29">
        <f t="shared" si="22"/>
        <v>15435644</v>
      </c>
      <c r="AH22" s="29">
        <f t="shared" ref="AH22:AI22" si="23">SUM(AH20:AH21)</f>
        <v>14136780</v>
      </c>
      <c r="AI22" s="29">
        <f t="shared" si="23"/>
        <v>17557147</v>
      </c>
      <c r="AJ22" s="29">
        <f t="shared" ref="AJ22:AK22" si="24">SUM(AJ20:AJ21)</f>
        <v>18525831</v>
      </c>
      <c r="AK22" s="29">
        <f t="shared" si="24"/>
        <v>18451888</v>
      </c>
      <c r="AL22" s="22"/>
    </row>
    <row r="23" spans="1:38" ht="13.5" customHeight="1" x14ac:dyDescent="0.2">
      <c r="A23" s="15"/>
      <c r="C23" s="2" t="s">
        <v>32</v>
      </c>
      <c r="D23" s="2"/>
      <c r="E23" s="23"/>
      <c r="F23" s="23"/>
      <c r="G23" s="23"/>
      <c r="H23" s="23"/>
      <c r="I23" s="23"/>
      <c r="J23" s="23"/>
      <c r="K23" s="23"/>
      <c r="L23" s="23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2"/>
    </row>
    <row r="24" spans="1:38" ht="13.5" customHeight="1" x14ac:dyDescent="0.2">
      <c r="A24" s="15"/>
      <c r="D24" s="1" t="s">
        <v>27</v>
      </c>
      <c r="E24" s="21"/>
      <c r="F24" s="21">
        <v>4224964</v>
      </c>
      <c r="G24" s="21">
        <v>11166538</v>
      </c>
      <c r="H24" s="21">
        <v>13396109</v>
      </c>
      <c r="I24" s="21">
        <v>17881557</v>
      </c>
      <c r="J24" s="21">
        <v>23838251</v>
      </c>
      <c r="K24" s="21">
        <v>27903194</v>
      </c>
      <c r="L24" s="21">
        <v>30188617</v>
      </c>
      <c r="M24" s="21">
        <v>29475252</v>
      </c>
      <c r="N24" s="21">
        <v>30297276</v>
      </c>
      <c r="O24" s="21">
        <v>30761869</v>
      </c>
      <c r="P24" s="21">
        <v>31973221</v>
      </c>
      <c r="Q24" s="21">
        <v>35939003</v>
      </c>
      <c r="R24" s="21">
        <f>8614030+21053481+5590205+2944720+1679208</f>
        <v>39881644</v>
      </c>
      <c r="S24" s="21">
        <f>10006580+22278838+5642475+3473196+1665602</f>
        <v>43066691</v>
      </c>
      <c r="T24" s="21">
        <f>11370877+23760251+5944087+3981868+1662546</f>
        <v>46719629</v>
      </c>
      <c r="U24" s="21">
        <f>9166415+23773013+6294769+6720705+653862</f>
        <v>46608764</v>
      </c>
      <c r="V24" s="21">
        <f>10236546+26572396+6663169+7506955+1088076</f>
        <v>52067142</v>
      </c>
      <c r="W24" s="21">
        <f>8398048+28922532+6813281+7897446+1240281</f>
        <v>53271588</v>
      </c>
      <c r="X24" s="21">
        <f>8123834+31418176+7428791+8337172+1632791</f>
        <v>56940764</v>
      </c>
      <c r="Y24" s="21">
        <f>11295365+34924730+7721421+9027219+1878835</f>
        <v>64847570</v>
      </c>
      <c r="Z24" s="21">
        <f>11958600+38665482+8703059+9815891+2052959</f>
        <v>71195991</v>
      </c>
      <c r="AA24" s="21">
        <f>13057845+39753460+8844810+10234763+2040715</f>
        <v>73931593</v>
      </c>
      <c r="AB24" s="21">
        <f>13365425+45552407+9176856+10631875+1976281</f>
        <v>80702844</v>
      </c>
      <c r="AC24" s="21">
        <f>13728729+51143771+10601979+12472208+2237922</f>
        <v>90184609</v>
      </c>
      <c r="AD24" s="21">
        <f>13204245+49042834+10561523+13035778+2152010</f>
        <v>87996390</v>
      </c>
      <c r="AE24" s="21">
        <f>15947758+47493504+12089019+12868472+2419606</f>
        <v>90818359</v>
      </c>
      <c r="AF24" s="21">
        <f>19825456+49785882+6520449+14674978+4093768</f>
        <v>94900533</v>
      </c>
      <c r="AG24" s="21">
        <f>27995803+62559317+9177824+14616759+2745061</f>
        <v>117094764</v>
      </c>
      <c r="AH24" s="21">
        <f>28791711+78237513+11602862+14169110+3130922</f>
        <v>135932118</v>
      </c>
      <c r="AI24" s="21">
        <f>21431616+92257682+10721655+14584686+3569651</f>
        <v>142565290</v>
      </c>
      <c r="AJ24" s="21">
        <f>16617727+103826712+12772407+15865489+4881077</f>
        <v>153963412</v>
      </c>
      <c r="AK24" s="21">
        <f>18961600+128029100+13282631+12070395+5993965</f>
        <v>178337691</v>
      </c>
      <c r="AL24" s="22"/>
    </row>
    <row r="25" spans="1:38" ht="13.5" customHeight="1" x14ac:dyDescent="0.2">
      <c r="A25" s="15"/>
      <c r="D25" s="1" t="s">
        <v>28</v>
      </c>
      <c r="E25" s="23"/>
      <c r="F25" s="23">
        <v>557166</v>
      </c>
      <c r="G25" s="23">
        <v>424311</v>
      </c>
      <c r="H25" s="23">
        <v>551497</v>
      </c>
      <c r="I25" s="23">
        <v>732806</v>
      </c>
      <c r="J25" s="23">
        <v>923736</v>
      </c>
      <c r="K25" s="23">
        <v>986074</v>
      </c>
      <c r="L25" s="23">
        <v>598527</v>
      </c>
      <c r="M25" s="23">
        <v>298328</v>
      </c>
      <c r="N25" s="23">
        <v>447541</v>
      </c>
      <c r="O25" s="23">
        <v>429235</v>
      </c>
      <c r="P25" s="23">
        <v>669027</v>
      </c>
      <c r="Q25" s="23">
        <v>1016103</v>
      </c>
      <c r="R25" s="23">
        <f>1790392</f>
        <v>1790392</v>
      </c>
      <c r="S25" s="23">
        <v>2132789</v>
      </c>
      <c r="T25" s="23">
        <f>1719245+0</f>
        <v>1719245</v>
      </c>
      <c r="U25" s="23">
        <f>1457357</f>
        <v>1457357</v>
      </c>
      <c r="V25" s="23">
        <f>928064</f>
        <v>928064</v>
      </c>
      <c r="W25" s="23">
        <f>757088</f>
        <v>757088</v>
      </c>
      <c r="X25" s="23">
        <f>0+913421</f>
        <v>913421</v>
      </c>
      <c r="Y25" s="23">
        <f>0+348612</f>
        <v>348612</v>
      </c>
      <c r="Z25" s="23">
        <f>0+179154</f>
        <v>179154</v>
      </c>
      <c r="AA25" s="23">
        <f>0+277476</f>
        <v>277476</v>
      </c>
      <c r="AB25" s="23">
        <f>0+225241</f>
        <v>225241</v>
      </c>
      <c r="AC25" s="23">
        <f>0+202693</f>
        <v>202693</v>
      </c>
      <c r="AD25" s="23">
        <f>0+230721</f>
        <v>230721</v>
      </c>
      <c r="AE25" s="23">
        <f>0+259367</f>
        <v>259367</v>
      </c>
      <c r="AF25" s="23">
        <v>414332</v>
      </c>
      <c r="AG25" s="23">
        <v>223140</v>
      </c>
      <c r="AH25" s="23">
        <v>115557</v>
      </c>
      <c r="AI25" s="23">
        <v>133973</v>
      </c>
      <c r="AJ25" s="23">
        <f>0+115699</f>
        <v>115699</v>
      </c>
      <c r="AK25" s="23">
        <v>111086</v>
      </c>
      <c r="AL25" s="22"/>
    </row>
    <row r="26" spans="1:38" ht="13.5" customHeight="1" x14ac:dyDescent="0.2">
      <c r="A26" s="15"/>
      <c r="D26" s="1" t="s">
        <v>29</v>
      </c>
      <c r="E26" s="23"/>
      <c r="F26" s="24">
        <v>6210622</v>
      </c>
      <c r="G26" s="24">
        <v>6238151</v>
      </c>
      <c r="H26" s="24">
        <v>6266704</v>
      </c>
      <c r="I26" s="24">
        <v>5057239</v>
      </c>
      <c r="J26" s="24">
        <v>5747130</v>
      </c>
      <c r="K26" s="24">
        <v>6954787</v>
      </c>
      <c r="L26" s="24">
        <v>7072996</v>
      </c>
      <c r="M26" s="24">
        <v>7221564</v>
      </c>
      <c r="N26" s="24">
        <v>7025000</v>
      </c>
      <c r="O26" s="24">
        <v>6568305</v>
      </c>
      <c r="P26" s="24">
        <v>6303051</v>
      </c>
      <c r="Q26" s="24">
        <v>8241025</v>
      </c>
      <c r="R26" s="24">
        <f>9419247</f>
        <v>9419247</v>
      </c>
      <c r="S26" s="24">
        <v>9764604</v>
      </c>
      <c r="T26" s="24">
        <f>0+10136196</f>
        <v>10136196</v>
      </c>
      <c r="U26" s="24">
        <f>10799503</f>
        <v>10799503</v>
      </c>
      <c r="V26" s="24">
        <f>17882716</f>
        <v>17882716</v>
      </c>
      <c r="W26" s="24">
        <f>29017955</f>
        <v>29017955</v>
      </c>
      <c r="X26" s="24">
        <f>0+30502074</f>
        <v>30502074</v>
      </c>
      <c r="Y26" s="24">
        <f>0+33015592</f>
        <v>33015592</v>
      </c>
      <c r="Z26" s="24">
        <f>0+33509039</f>
        <v>33509039</v>
      </c>
      <c r="AA26" s="24">
        <f>0+33725583</f>
        <v>33725583</v>
      </c>
      <c r="AB26" s="24">
        <f>0+34415020</f>
        <v>34415020</v>
      </c>
      <c r="AC26" s="24">
        <f>0+16512026</f>
        <v>16512026</v>
      </c>
      <c r="AD26" s="24">
        <f>0+13818706</f>
        <v>13818706</v>
      </c>
      <c r="AE26" s="24">
        <f>0+12822634</f>
        <v>12822634</v>
      </c>
      <c r="AF26" s="24">
        <v>11877245</v>
      </c>
      <c r="AG26" s="24">
        <v>11774961</v>
      </c>
      <c r="AH26" s="24">
        <v>10677658</v>
      </c>
      <c r="AI26" s="24">
        <v>12939233</v>
      </c>
      <c r="AJ26" s="24">
        <f>0+15072718</f>
        <v>15072718</v>
      </c>
      <c r="AK26" s="24">
        <v>18422628</v>
      </c>
      <c r="AL26" s="22"/>
    </row>
    <row r="27" spans="1:38" ht="13.5" customHeight="1" x14ac:dyDescent="0.2">
      <c r="A27" s="15"/>
      <c r="E27" s="21"/>
      <c r="F27" s="21">
        <f t="shared" ref="F27:K27" si="25">F24+F25+F26</f>
        <v>10992752</v>
      </c>
      <c r="G27" s="21">
        <f t="shared" si="25"/>
        <v>17829000</v>
      </c>
      <c r="H27" s="21">
        <f t="shared" si="25"/>
        <v>20214310</v>
      </c>
      <c r="I27" s="21">
        <f t="shared" si="25"/>
        <v>23671602</v>
      </c>
      <c r="J27" s="21">
        <f t="shared" si="25"/>
        <v>30509117</v>
      </c>
      <c r="K27" s="21">
        <f t="shared" si="25"/>
        <v>35844055</v>
      </c>
      <c r="L27" s="21">
        <f t="shared" ref="L27:AA27" si="26">SUM(L24:L26)</f>
        <v>37860140</v>
      </c>
      <c r="M27" s="21">
        <f t="shared" si="26"/>
        <v>36995144</v>
      </c>
      <c r="N27" s="21">
        <f t="shared" si="26"/>
        <v>37769817</v>
      </c>
      <c r="O27" s="21">
        <f t="shared" si="26"/>
        <v>37759409</v>
      </c>
      <c r="P27" s="21">
        <f t="shared" si="26"/>
        <v>38945299</v>
      </c>
      <c r="Q27" s="21">
        <f t="shared" si="26"/>
        <v>45196131</v>
      </c>
      <c r="R27" s="21">
        <f t="shared" si="26"/>
        <v>51091283</v>
      </c>
      <c r="S27" s="21">
        <f t="shared" si="26"/>
        <v>54964084</v>
      </c>
      <c r="T27" s="21">
        <f t="shared" si="26"/>
        <v>58575070</v>
      </c>
      <c r="U27" s="21">
        <f t="shared" si="26"/>
        <v>58865624</v>
      </c>
      <c r="V27" s="21">
        <f t="shared" si="26"/>
        <v>70877922</v>
      </c>
      <c r="W27" s="21">
        <f t="shared" si="26"/>
        <v>83046631</v>
      </c>
      <c r="X27" s="21">
        <f t="shared" si="26"/>
        <v>88356259</v>
      </c>
      <c r="Y27" s="21">
        <f t="shared" si="26"/>
        <v>98211774</v>
      </c>
      <c r="Z27" s="21">
        <f t="shared" si="26"/>
        <v>104884184</v>
      </c>
      <c r="AA27" s="21">
        <f t="shared" si="26"/>
        <v>107934652</v>
      </c>
      <c r="AB27" s="21">
        <f t="shared" ref="AB27:AC27" si="27">SUM(AB24:AB26)</f>
        <v>115343105</v>
      </c>
      <c r="AC27" s="21">
        <f t="shared" si="27"/>
        <v>106899328</v>
      </c>
      <c r="AD27" s="21">
        <f t="shared" ref="AD27:AE27" si="28">SUM(AD24:AD26)</f>
        <v>102045817</v>
      </c>
      <c r="AE27" s="21">
        <f t="shared" si="28"/>
        <v>103900360</v>
      </c>
      <c r="AF27" s="21">
        <f t="shared" ref="AF27:AG27" si="29">SUM(AF24:AF26)</f>
        <v>107192110</v>
      </c>
      <c r="AG27" s="21">
        <f t="shared" si="29"/>
        <v>129092865</v>
      </c>
      <c r="AH27" s="21">
        <f t="shared" ref="AH27:AI27" si="30">SUM(AH24:AH26)</f>
        <v>146725333</v>
      </c>
      <c r="AI27" s="21">
        <f t="shared" si="30"/>
        <v>155638496</v>
      </c>
      <c r="AJ27" s="21">
        <f t="shared" ref="AJ27:AK27" si="31">SUM(AJ24:AJ26)</f>
        <v>169151829</v>
      </c>
      <c r="AK27" s="21">
        <f t="shared" si="31"/>
        <v>196871405</v>
      </c>
      <c r="AL27" s="22"/>
    </row>
    <row r="28" spans="1:38" ht="13.5" hidden="1" customHeight="1" x14ac:dyDescent="0.2">
      <c r="A28" s="15"/>
      <c r="D28" s="26"/>
      <c r="E28" s="27"/>
      <c r="F28" s="28">
        <f>(F15+F21)*-1</f>
        <v>577449</v>
      </c>
      <c r="G28" s="28">
        <f>(G15+G21)*-1</f>
        <v>637361</v>
      </c>
      <c r="H28" s="30"/>
      <c r="I28" s="28">
        <f t="shared" ref="I28:AA28" si="32">(I15+I21)*-1</f>
        <v>688090</v>
      </c>
      <c r="J28" s="28">
        <f t="shared" si="32"/>
        <v>601511</v>
      </c>
      <c r="K28" s="28">
        <f t="shared" si="32"/>
        <v>788073</v>
      </c>
      <c r="L28" s="28">
        <f t="shared" si="32"/>
        <v>704702</v>
      </c>
      <c r="M28" s="28">
        <f t="shared" si="32"/>
        <v>667499</v>
      </c>
      <c r="N28" s="28">
        <f t="shared" si="32"/>
        <v>659385</v>
      </c>
      <c r="O28" s="28">
        <f t="shared" si="32"/>
        <v>684501</v>
      </c>
      <c r="P28" s="28">
        <f t="shared" si="32"/>
        <v>905083</v>
      </c>
      <c r="Q28" s="28">
        <f t="shared" si="32"/>
        <v>1432654</v>
      </c>
      <c r="R28" s="28">
        <f t="shared" si="32"/>
        <v>1229790</v>
      </c>
      <c r="S28" s="28">
        <f t="shared" si="32"/>
        <v>1135906</v>
      </c>
      <c r="T28" s="28">
        <f t="shared" si="32"/>
        <v>1149606</v>
      </c>
      <c r="U28" s="28">
        <f t="shared" si="32"/>
        <v>636306</v>
      </c>
      <c r="V28" s="28">
        <f t="shared" si="32"/>
        <v>1006166</v>
      </c>
      <c r="W28" s="28">
        <f t="shared" si="32"/>
        <v>722395</v>
      </c>
      <c r="X28" s="28">
        <f t="shared" si="32"/>
        <v>823998</v>
      </c>
      <c r="Y28" s="28">
        <f t="shared" si="32"/>
        <v>1372661</v>
      </c>
      <c r="Z28" s="28">
        <f t="shared" si="32"/>
        <v>813777</v>
      </c>
      <c r="AA28" s="28">
        <f t="shared" si="32"/>
        <v>953992</v>
      </c>
      <c r="AB28" s="28">
        <f t="shared" ref="AB28:AC28" si="33">(AB15+AB21)*-1</f>
        <v>709880</v>
      </c>
      <c r="AC28" s="28">
        <f t="shared" si="33"/>
        <v>632229</v>
      </c>
      <c r="AD28" s="28">
        <f t="shared" ref="AD28:AE28" si="34">(AD15+AD21)*-1</f>
        <v>763642</v>
      </c>
      <c r="AE28" s="28">
        <f t="shared" si="34"/>
        <v>818429</v>
      </c>
      <c r="AF28" s="28">
        <f t="shared" ref="AF28:AG28" si="35">(AF15+AF21)*-1</f>
        <v>386024</v>
      </c>
      <c r="AG28" s="28">
        <f t="shared" si="35"/>
        <v>380423</v>
      </c>
      <c r="AH28" s="28">
        <f t="shared" ref="AH28:AI28" si="36">(AH15+AH21)*-1</f>
        <v>386716</v>
      </c>
      <c r="AI28" s="28">
        <f t="shared" si="36"/>
        <v>348492</v>
      </c>
      <c r="AJ28" s="28">
        <f t="shared" ref="AJ28:AK28" si="37">(AJ15+AJ21)*-1</f>
        <v>107711</v>
      </c>
      <c r="AK28" s="28">
        <f t="shared" si="37"/>
        <v>560138</v>
      </c>
      <c r="AL28" s="22"/>
    </row>
    <row r="29" spans="1:38" ht="13.5" customHeight="1" x14ac:dyDescent="0.2">
      <c r="A29" s="15"/>
      <c r="D29" s="26"/>
      <c r="E29" s="27" t="s">
        <v>33</v>
      </c>
      <c r="F29" s="29">
        <f t="shared" ref="F29:K29" si="38">SUM(F27:F28)</f>
        <v>11570201</v>
      </c>
      <c r="G29" s="29">
        <f t="shared" si="38"/>
        <v>18466361</v>
      </c>
      <c r="H29" s="29"/>
      <c r="I29" s="29">
        <f t="shared" si="38"/>
        <v>24359692</v>
      </c>
      <c r="J29" s="29">
        <f t="shared" si="38"/>
        <v>31110628</v>
      </c>
      <c r="K29" s="29">
        <f t="shared" si="38"/>
        <v>36632128</v>
      </c>
      <c r="L29" s="29">
        <f t="shared" ref="L29:AA29" si="39">SUM(L27:L28)</f>
        <v>38564842</v>
      </c>
      <c r="M29" s="29">
        <f t="shared" si="39"/>
        <v>37662643</v>
      </c>
      <c r="N29" s="29">
        <f t="shared" si="39"/>
        <v>38429202</v>
      </c>
      <c r="O29" s="29">
        <f t="shared" si="39"/>
        <v>38443910</v>
      </c>
      <c r="P29" s="29">
        <f t="shared" si="39"/>
        <v>39850382</v>
      </c>
      <c r="Q29" s="29">
        <f t="shared" si="39"/>
        <v>46628785</v>
      </c>
      <c r="R29" s="29">
        <f t="shared" si="39"/>
        <v>52321073</v>
      </c>
      <c r="S29" s="29">
        <f t="shared" si="39"/>
        <v>56099990</v>
      </c>
      <c r="T29" s="29">
        <f t="shared" si="39"/>
        <v>59724676</v>
      </c>
      <c r="U29" s="29">
        <f t="shared" si="39"/>
        <v>59501930</v>
      </c>
      <c r="V29" s="29">
        <f t="shared" si="39"/>
        <v>71884088</v>
      </c>
      <c r="W29" s="29">
        <f t="shared" si="39"/>
        <v>83769026</v>
      </c>
      <c r="X29" s="29">
        <f t="shared" si="39"/>
        <v>89180257</v>
      </c>
      <c r="Y29" s="29">
        <f t="shared" si="39"/>
        <v>99584435</v>
      </c>
      <c r="Z29" s="29">
        <f t="shared" si="39"/>
        <v>105697961</v>
      </c>
      <c r="AA29" s="29">
        <f t="shared" si="39"/>
        <v>108888644</v>
      </c>
      <c r="AB29" s="29">
        <f t="shared" ref="AB29:AC29" si="40">SUM(AB27:AB28)</f>
        <v>116052985</v>
      </c>
      <c r="AC29" s="29">
        <f t="shared" si="40"/>
        <v>107531557</v>
      </c>
      <c r="AD29" s="29">
        <f t="shared" ref="AD29:AE29" si="41">SUM(AD27:AD28)</f>
        <v>102809459</v>
      </c>
      <c r="AE29" s="29">
        <f t="shared" si="41"/>
        <v>104718789</v>
      </c>
      <c r="AF29" s="29">
        <f t="shared" ref="AF29:AG29" si="42">SUM(AF27:AF28)</f>
        <v>107578134</v>
      </c>
      <c r="AG29" s="29">
        <f t="shared" si="42"/>
        <v>129473288</v>
      </c>
      <c r="AH29" s="29">
        <f t="shared" ref="AH29:AI29" si="43">SUM(AH27:AH28)</f>
        <v>147112049</v>
      </c>
      <c r="AI29" s="29">
        <f t="shared" si="43"/>
        <v>155986988</v>
      </c>
      <c r="AJ29" s="29">
        <f t="shared" ref="AJ29:AK29" si="44">SUM(AJ27:AJ28)</f>
        <v>169259540</v>
      </c>
      <c r="AK29" s="29">
        <f t="shared" si="44"/>
        <v>197431543</v>
      </c>
      <c r="AL29" s="22"/>
    </row>
    <row r="30" spans="1:38" ht="13.5" customHeight="1" x14ac:dyDescent="0.2">
      <c r="A30" s="15"/>
      <c r="C30" s="2" t="s">
        <v>34</v>
      </c>
      <c r="D30" s="2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2"/>
    </row>
    <row r="31" spans="1:38" ht="13.5" customHeight="1" x14ac:dyDescent="0.2">
      <c r="A31" s="15"/>
      <c r="D31" s="1" t="s">
        <v>27</v>
      </c>
      <c r="E31" s="21"/>
      <c r="F31" s="21">
        <v>2713304</v>
      </c>
      <c r="G31" s="21">
        <v>2802056</v>
      </c>
      <c r="H31" s="21">
        <v>3124861</v>
      </c>
      <c r="I31" s="21">
        <v>3667428</v>
      </c>
      <c r="J31" s="21">
        <v>3811361</v>
      </c>
      <c r="K31" s="21">
        <v>4332822</v>
      </c>
      <c r="L31" s="21">
        <v>5203327</v>
      </c>
      <c r="M31" s="21">
        <v>5826775</v>
      </c>
      <c r="N31" s="21">
        <v>6939612</v>
      </c>
      <c r="O31" s="21">
        <v>8458883</v>
      </c>
      <c r="P31" s="21">
        <v>10536726</v>
      </c>
      <c r="Q31" s="21">
        <v>6946278</v>
      </c>
      <c r="R31" s="21">
        <f>7026855</f>
        <v>7026855</v>
      </c>
      <c r="S31" s="21">
        <f>7460621</f>
        <v>7460621</v>
      </c>
      <c r="T31" s="21">
        <f>7961452</f>
        <v>7961452</v>
      </c>
      <c r="U31" s="21">
        <f>7387849</f>
        <v>7387849</v>
      </c>
      <c r="V31" s="21">
        <f>8512790</f>
        <v>8512790</v>
      </c>
      <c r="W31" s="21">
        <f>3000+8284583</f>
        <v>8287583</v>
      </c>
      <c r="X31" s="21">
        <f>0+8167437</f>
        <v>8167437</v>
      </c>
      <c r="Y31" s="21">
        <f>0+8689999</f>
        <v>8689999</v>
      </c>
      <c r="Z31" s="21">
        <f>126381+10369443</f>
        <v>10495824</v>
      </c>
      <c r="AA31" s="21">
        <f>0+10470577</f>
        <v>10470577</v>
      </c>
      <c r="AB31" s="21">
        <f>11743+12669800</f>
        <v>12681543</v>
      </c>
      <c r="AC31" s="21">
        <f>4500+12748483</f>
        <v>12752983</v>
      </c>
      <c r="AD31" s="21">
        <f>0+13009300</f>
        <v>13009300</v>
      </c>
      <c r="AE31" s="21">
        <f>1500+11074295</f>
        <v>11075795</v>
      </c>
      <c r="AF31" s="21">
        <f>1500+10892409</f>
        <v>10893909</v>
      </c>
      <c r="AG31" s="21">
        <f>1500+11918683</f>
        <v>11920183</v>
      </c>
      <c r="AH31" s="21">
        <f>1500+12144219</f>
        <v>12145719</v>
      </c>
      <c r="AI31" s="21">
        <f>1500+12539404</f>
        <v>12540904</v>
      </c>
      <c r="AJ31" s="21">
        <f>1500+13549885</f>
        <v>13551385</v>
      </c>
      <c r="AK31" s="21">
        <v>14049204</v>
      </c>
      <c r="AL31" s="22"/>
    </row>
    <row r="32" spans="1:38" ht="13.5" customHeight="1" x14ac:dyDescent="0.2">
      <c r="A32" s="15"/>
      <c r="D32" s="1" t="s">
        <v>28</v>
      </c>
      <c r="E32" s="23"/>
      <c r="F32" s="31" t="s">
        <v>35</v>
      </c>
      <c r="G32" s="31" t="s">
        <v>35</v>
      </c>
      <c r="H32" s="31" t="s">
        <v>35</v>
      </c>
      <c r="I32" s="31" t="s">
        <v>35</v>
      </c>
      <c r="J32" s="31" t="s">
        <v>35</v>
      </c>
      <c r="K32" s="31" t="s">
        <v>35</v>
      </c>
      <c r="L32" s="31" t="s">
        <v>35</v>
      </c>
      <c r="M32" s="31" t="s">
        <v>35</v>
      </c>
      <c r="N32" s="31" t="s">
        <v>35</v>
      </c>
      <c r="O32" s="31" t="s">
        <v>35</v>
      </c>
      <c r="P32" s="31" t="s">
        <v>35</v>
      </c>
      <c r="Q32" s="24">
        <v>5839633</v>
      </c>
      <c r="R32" s="24">
        <f>8111306</f>
        <v>8111306</v>
      </c>
      <c r="S32" s="24">
        <f>10914040</f>
        <v>10914040</v>
      </c>
      <c r="T32" s="24">
        <f>13954919</f>
        <v>13954919</v>
      </c>
      <c r="U32" s="24">
        <f>13116187</f>
        <v>13116187</v>
      </c>
      <c r="V32" s="24">
        <f>12383208</f>
        <v>12383208</v>
      </c>
      <c r="W32" s="24">
        <f>9495019</f>
        <v>9495019</v>
      </c>
      <c r="X32" s="24">
        <f>9633086</f>
        <v>9633086</v>
      </c>
      <c r="Y32" s="24">
        <f>10736296</f>
        <v>10736296</v>
      </c>
      <c r="Z32" s="24">
        <f>13562641+0</f>
        <v>13562641</v>
      </c>
      <c r="AA32" s="24">
        <f>17440484</f>
        <v>17440484</v>
      </c>
      <c r="AB32" s="24">
        <f>19137933+0</f>
        <v>19137933</v>
      </c>
      <c r="AC32" s="24">
        <f>22988589+0</f>
        <v>22988589</v>
      </c>
      <c r="AD32" s="24">
        <f>22618239+0</f>
        <v>22618239</v>
      </c>
      <c r="AE32" s="24">
        <f>21035449+0</f>
        <v>21035449</v>
      </c>
      <c r="AF32" s="24">
        <v>21423493</v>
      </c>
      <c r="AG32" s="24">
        <f>23774522</f>
        <v>23774522</v>
      </c>
      <c r="AH32" s="24">
        <v>24786715</v>
      </c>
      <c r="AI32" s="24">
        <v>29710070</v>
      </c>
      <c r="AJ32" s="24">
        <v>33317487</v>
      </c>
      <c r="AK32" s="24">
        <v>35994264</v>
      </c>
      <c r="AL32" s="22"/>
    </row>
    <row r="33" spans="1:42" ht="13.5" customHeight="1" x14ac:dyDescent="0.2">
      <c r="A33" s="15"/>
      <c r="E33" s="23"/>
      <c r="F33" s="21">
        <f t="shared" ref="F33:K33" si="45">SUM(F31:F32)</f>
        <v>2713304</v>
      </c>
      <c r="G33" s="21">
        <f t="shared" si="45"/>
        <v>2802056</v>
      </c>
      <c r="H33" s="21">
        <f t="shared" si="45"/>
        <v>3124861</v>
      </c>
      <c r="I33" s="21">
        <f t="shared" si="45"/>
        <v>3667428</v>
      </c>
      <c r="J33" s="21">
        <f t="shared" si="45"/>
        <v>3811361</v>
      </c>
      <c r="K33" s="21">
        <f t="shared" si="45"/>
        <v>4332822</v>
      </c>
      <c r="L33" s="21">
        <f t="shared" ref="L33:AA33" si="46">SUM(L31:L32)</f>
        <v>5203327</v>
      </c>
      <c r="M33" s="21">
        <f t="shared" ref="M33:O33" si="47">M31</f>
        <v>5826775</v>
      </c>
      <c r="N33" s="21">
        <f t="shared" si="47"/>
        <v>6939612</v>
      </c>
      <c r="O33" s="21">
        <f t="shared" si="47"/>
        <v>8458883</v>
      </c>
      <c r="P33" s="21">
        <f>P31</f>
        <v>10536726</v>
      </c>
      <c r="Q33" s="21">
        <f t="shared" si="46"/>
        <v>12785911</v>
      </c>
      <c r="R33" s="21">
        <f t="shared" si="46"/>
        <v>15138161</v>
      </c>
      <c r="S33" s="21">
        <f t="shared" si="46"/>
        <v>18374661</v>
      </c>
      <c r="T33" s="21">
        <f t="shared" si="46"/>
        <v>21916371</v>
      </c>
      <c r="U33" s="21">
        <f t="shared" si="46"/>
        <v>20504036</v>
      </c>
      <c r="V33" s="21">
        <f t="shared" si="46"/>
        <v>20895998</v>
      </c>
      <c r="W33" s="21">
        <f t="shared" si="46"/>
        <v>17782602</v>
      </c>
      <c r="X33" s="21">
        <f t="shared" si="46"/>
        <v>17800523</v>
      </c>
      <c r="Y33" s="21">
        <f t="shared" si="46"/>
        <v>19426295</v>
      </c>
      <c r="Z33" s="21">
        <f t="shared" si="46"/>
        <v>24058465</v>
      </c>
      <c r="AA33" s="21">
        <f t="shared" si="46"/>
        <v>27911061</v>
      </c>
      <c r="AB33" s="21">
        <f t="shared" ref="AB33:AC33" si="48">SUM(AB31:AB32)</f>
        <v>31819476</v>
      </c>
      <c r="AC33" s="21">
        <f t="shared" si="48"/>
        <v>35741572</v>
      </c>
      <c r="AD33" s="21">
        <f t="shared" ref="AD33:AE33" si="49">SUM(AD31:AD32)</f>
        <v>35627539</v>
      </c>
      <c r="AE33" s="21">
        <f t="shared" si="49"/>
        <v>32111244</v>
      </c>
      <c r="AF33" s="21">
        <f t="shared" ref="AF33:AG33" si="50">SUM(AF31:AF32)</f>
        <v>32317402</v>
      </c>
      <c r="AG33" s="21">
        <f t="shared" si="50"/>
        <v>35694705</v>
      </c>
      <c r="AH33" s="21">
        <f t="shared" ref="AH33:AI33" si="51">SUM(AH31:AH32)</f>
        <v>36932434</v>
      </c>
      <c r="AI33" s="21">
        <f t="shared" si="51"/>
        <v>42250974</v>
      </c>
      <c r="AJ33" s="21">
        <f t="shared" ref="AJ33:AK33" si="52">SUM(AJ31:AJ32)</f>
        <v>46868872</v>
      </c>
      <c r="AK33" s="21">
        <f t="shared" si="52"/>
        <v>50043468</v>
      </c>
      <c r="AL33" s="22"/>
      <c r="AP33" s="21"/>
    </row>
    <row r="34" spans="1:42" ht="13.5" customHeight="1" x14ac:dyDescent="0.2">
      <c r="A34" s="15"/>
      <c r="C34" s="2" t="s">
        <v>36</v>
      </c>
      <c r="D34" s="2"/>
      <c r="E34" s="23"/>
      <c r="F34" s="23"/>
      <c r="G34" s="23"/>
      <c r="H34" s="23"/>
      <c r="I34" s="23"/>
      <c r="J34" s="23"/>
      <c r="K34" s="23"/>
      <c r="L34" s="23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2"/>
    </row>
    <row r="35" spans="1:42" ht="13.5" customHeight="1" x14ac:dyDescent="0.2">
      <c r="A35" s="15"/>
      <c r="D35" s="1" t="s">
        <v>27</v>
      </c>
      <c r="E35" s="21"/>
      <c r="F35" s="21">
        <f t="shared" ref="F35:AA36" si="53">F11+F18+F24+F31</f>
        <v>24518772</v>
      </c>
      <c r="G35" s="21">
        <f t="shared" si="53"/>
        <v>24777260</v>
      </c>
      <c r="H35" s="21">
        <f t="shared" si="53"/>
        <v>27368714</v>
      </c>
      <c r="I35" s="21">
        <f t="shared" si="53"/>
        <v>32783903</v>
      </c>
      <c r="J35" s="21">
        <f t="shared" si="53"/>
        <v>39231565</v>
      </c>
      <c r="K35" s="21">
        <f t="shared" si="53"/>
        <v>44882245</v>
      </c>
      <c r="L35" s="21">
        <f t="shared" si="53"/>
        <v>49732428</v>
      </c>
      <c r="M35" s="21">
        <f t="shared" si="53"/>
        <v>50196324</v>
      </c>
      <c r="N35" s="21">
        <f t="shared" si="53"/>
        <v>54491959</v>
      </c>
      <c r="O35" s="21">
        <f t="shared" si="53"/>
        <v>58193574</v>
      </c>
      <c r="P35" s="21">
        <f t="shared" si="53"/>
        <v>62029590</v>
      </c>
      <c r="Q35" s="21">
        <f t="shared" si="53"/>
        <v>62991643</v>
      </c>
      <c r="R35" s="21">
        <f t="shared" si="53"/>
        <v>66271833</v>
      </c>
      <c r="S35" s="21">
        <f t="shared" si="53"/>
        <v>70014284</v>
      </c>
      <c r="T35" s="21">
        <f t="shared" si="53"/>
        <v>75767032</v>
      </c>
      <c r="U35" s="21">
        <f t="shared" si="53"/>
        <v>80434500</v>
      </c>
      <c r="V35" s="21">
        <f t="shared" si="53"/>
        <v>90350329</v>
      </c>
      <c r="W35" s="21">
        <f t="shared" si="53"/>
        <v>96843076</v>
      </c>
      <c r="X35" s="21">
        <f t="shared" si="53"/>
        <v>101136254</v>
      </c>
      <c r="Y35" s="21">
        <f t="shared" si="53"/>
        <v>109212582</v>
      </c>
      <c r="Z35" s="21">
        <f t="shared" si="53"/>
        <v>118032511</v>
      </c>
      <c r="AA35" s="21">
        <f t="shared" si="53"/>
        <v>120759254</v>
      </c>
      <c r="AB35" s="21">
        <f t="shared" ref="AB35:AC35" si="54">AB11+AB18+AB24+AB31</f>
        <v>137202306</v>
      </c>
      <c r="AC35" s="21">
        <f t="shared" si="54"/>
        <v>144966183</v>
      </c>
      <c r="AD35" s="21">
        <f t="shared" ref="AD35:AE35" si="55">AD11+AD18+AD24+AD31</f>
        <v>140760907</v>
      </c>
      <c r="AE35" s="21">
        <f t="shared" si="55"/>
        <v>139787177</v>
      </c>
      <c r="AF35" s="21">
        <f t="shared" ref="AF35:AG35" si="56">AF11+AF18+AF24+AF31</f>
        <v>145983190</v>
      </c>
      <c r="AG35" s="21">
        <f t="shared" si="56"/>
        <v>179334677</v>
      </c>
      <c r="AH35" s="21">
        <f t="shared" ref="AH35:AI35" si="57">AH11+AH18+AH24+AH31</f>
        <v>195715294</v>
      </c>
      <c r="AI35" s="21">
        <f t="shared" si="57"/>
        <v>221991678</v>
      </c>
      <c r="AJ35" s="21">
        <f t="shared" ref="AJ35:AK35" si="58">AJ11+AJ18+AJ24+AJ31</f>
        <v>216683686</v>
      </c>
      <c r="AK35" s="21">
        <f t="shared" si="58"/>
        <v>243788143</v>
      </c>
      <c r="AL35" s="22"/>
    </row>
    <row r="36" spans="1:42" ht="13.5" customHeight="1" x14ac:dyDescent="0.2">
      <c r="A36" s="15"/>
      <c r="D36" s="1" t="s">
        <v>28</v>
      </c>
      <c r="E36" s="23"/>
      <c r="F36" s="23">
        <f t="shared" ref="F36:K36" si="59">F12+F19+F25</f>
        <v>19029403</v>
      </c>
      <c r="G36" s="23">
        <f t="shared" si="59"/>
        <v>27030041</v>
      </c>
      <c r="H36" s="23">
        <f t="shared" si="59"/>
        <v>29575126</v>
      </c>
      <c r="I36" s="23">
        <f t="shared" si="59"/>
        <v>34706484</v>
      </c>
      <c r="J36" s="23">
        <f t="shared" si="59"/>
        <v>38988569</v>
      </c>
      <c r="K36" s="23">
        <f t="shared" si="59"/>
        <v>41049558</v>
      </c>
      <c r="L36" s="23">
        <f>L12+L19+L25</f>
        <v>44395680</v>
      </c>
      <c r="M36" s="23">
        <f>M12+M19+M25</f>
        <v>46304309</v>
      </c>
      <c r="N36" s="23">
        <f>N12+N19+N25</f>
        <v>47560784</v>
      </c>
      <c r="O36" s="23">
        <f>O12+O19+O25</f>
        <v>50134117</v>
      </c>
      <c r="P36" s="23">
        <f>P12+P19+P25</f>
        <v>58922874</v>
      </c>
      <c r="Q36" s="23">
        <f>Q12+Q19+Q25+Q32</f>
        <v>72982566</v>
      </c>
      <c r="R36" s="23">
        <f t="shared" si="53"/>
        <v>87323959</v>
      </c>
      <c r="S36" s="23">
        <f t="shared" si="53"/>
        <v>95950436</v>
      </c>
      <c r="T36" s="23">
        <f t="shared" si="53"/>
        <v>96772292</v>
      </c>
      <c r="U36" s="23">
        <f t="shared" si="53"/>
        <v>100759639</v>
      </c>
      <c r="V36" s="23">
        <f t="shared" si="53"/>
        <v>117788919</v>
      </c>
      <c r="W36" s="23">
        <f t="shared" si="53"/>
        <v>131140732</v>
      </c>
      <c r="X36" s="23">
        <f t="shared" si="53"/>
        <v>141712153</v>
      </c>
      <c r="Y36" s="23">
        <f t="shared" si="53"/>
        <v>150479033</v>
      </c>
      <c r="Z36" s="23">
        <f t="shared" si="53"/>
        <v>150203222</v>
      </c>
      <c r="AA36" s="23">
        <f t="shared" si="53"/>
        <v>150015937</v>
      </c>
      <c r="AB36" s="23">
        <f t="shared" ref="AB36:AC36" si="60">AB12+AB19+AB25+AB32</f>
        <v>154076625</v>
      </c>
      <c r="AC36" s="23">
        <f t="shared" si="60"/>
        <v>155739149</v>
      </c>
      <c r="AD36" s="23">
        <f t="shared" ref="AD36:AE36" si="61">AD12+AD19+AD25+AD32</f>
        <v>150770885</v>
      </c>
      <c r="AE36" s="23">
        <f t="shared" si="61"/>
        <v>135991629</v>
      </c>
      <c r="AF36" s="23">
        <f t="shared" ref="AF36:AG36" si="62">AF12+AF19+AF25+AF32</f>
        <v>123533630</v>
      </c>
      <c r="AG36" s="23">
        <f t="shared" si="62"/>
        <v>126438379</v>
      </c>
      <c r="AH36" s="23">
        <f t="shared" ref="AH36:AI36" si="63">AH12+AH19+AH25+AH32</f>
        <v>122434853</v>
      </c>
      <c r="AI36" s="23">
        <f t="shared" si="63"/>
        <v>122406400</v>
      </c>
      <c r="AJ36" s="23">
        <f t="shared" ref="AJ36:AK36" si="64">AJ12+AJ19+AJ25+AJ32</f>
        <v>127316745</v>
      </c>
      <c r="AK36" s="23">
        <f t="shared" si="64"/>
        <v>137994010</v>
      </c>
      <c r="AL36" s="22"/>
    </row>
    <row r="37" spans="1:42" ht="13.5" customHeight="1" x14ac:dyDescent="0.2">
      <c r="A37" s="15"/>
      <c r="D37" s="1" t="s">
        <v>29</v>
      </c>
      <c r="E37" s="23"/>
      <c r="F37" s="24">
        <f t="shared" ref="F37:AA37" si="65">F13+F26</f>
        <v>7307355</v>
      </c>
      <c r="G37" s="24">
        <f t="shared" si="65"/>
        <v>7250545</v>
      </c>
      <c r="H37" s="24">
        <f t="shared" si="65"/>
        <v>7181812</v>
      </c>
      <c r="I37" s="24">
        <f t="shared" si="65"/>
        <v>6168385</v>
      </c>
      <c r="J37" s="24">
        <f t="shared" si="65"/>
        <v>6813957</v>
      </c>
      <c r="K37" s="24">
        <f t="shared" si="65"/>
        <v>8464621</v>
      </c>
      <c r="L37" s="24">
        <f t="shared" si="65"/>
        <v>8494940</v>
      </c>
      <c r="M37" s="24">
        <f t="shared" si="65"/>
        <v>8358355</v>
      </c>
      <c r="N37" s="24">
        <f t="shared" si="65"/>
        <v>8744254</v>
      </c>
      <c r="O37" s="24">
        <f t="shared" si="65"/>
        <v>7780316</v>
      </c>
      <c r="P37" s="24">
        <f t="shared" si="65"/>
        <v>7935321</v>
      </c>
      <c r="Q37" s="24">
        <f t="shared" si="65"/>
        <v>10272012</v>
      </c>
      <c r="R37" s="24">
        <f t="shared" si="65"/>
        <v>10913194</v>
      </c>
      <c r="S37" s="24">
        <f t="shared" si="65"/>
        <v>11004128</v>
      </c>
      <c r="T37" s="24">
        <f t="shared" si="65"/>
        <v>11602212</v>
      </c>
      <c r="U37" s="24">
        <f t="shared" si="65"/>
        <v>11735665</v>
      </c>
      <c r="V37" s="24">
        <f t="shared" si="65"/>
        <v>19377305</v>
      </c>
      <c r="W37" s="24">
        <f t="shared" si="65"/>
        <v>30368283</v>
      </c>
      <c r="X37" s="24">
        <f t="shared" si="65"/>
        <v>31824668</v>
      </c>
      <c r="Y37" s="24">
        <f t="shared" si="65"/>
        <v>34503473</v>
      </c>
      <c r="Z37" s="24">
        <f t="shared" si="65"/>
        <v>34640204</v>
      </c>
      <c r="AA37" s="24">
        <f t="shared" si="65"/>
        <v>34986225</v>
      </c>
      <c r="AB37" s="24">
        <f t="shared" ref="AB37" si="66">AB13+AB26</f>
        <v>35671384</v>
      </c>
      <c r="AC37" s="24">
        <f t="shared" ref="AC37:AH37" si="67">AC13+AC26</f>
        <v>17674494</v>
      </c>
      <c r="AD37" s="24">
        <f t="shared" si="67"/>
        <v>14870466</v>
      </c>
      <c r="AE37" s="24">
        <f t="shared" si="67"/>
        <v>13770569</v>
      </c>
      <c r="AF37" s="24">
        <f t="shared" si="67"/>
        <v>12763550</v>
      </c>
      <c r="AG37" s="24">
        <f t="shared" si="67"/>
        <v>12577395</v>
      </c>
      <c r="AH37" s="24">
        <f t="shared" si="67"/>
        <v>11453433</v>
      </c>
      <c r="AI37" s="24">
        <f t="shared" ref="AI37:AJ37" si="68">AI13+AI26</f>
        <v>13674637.5</v>
      </c>
      <c r="AJ37" s="24">
        <f t="shared" si="68"/>
        <v>15876229</v>
      </c>
      <c r="AK37" s="24">
        <f t="shared" ref="AK37" si="69">AK13+AK26</f>
        <v>19588845</v>
      </c>
      <c r="AL37" s="22"/>
    </row>
    <row r="38" spans="1:42" ht="13.5" customHeight="1" x14ac:dyDescent="0.2">
      <c r="A38" s="15"/>
      <c r="E38" s="21"/>
      <c r="F38" s="21">
        <f t="shared" ref="F38:L38" si="70">F35+F36+F37</f>
        <v>50855530</v>
      </c>
      <c r="G38" s="21">
        <f t="shared" si="70"/>
        <v>59057846</v>
      </c>
      <c r="H38" s="21">
        <f t="shared" si="70"/>
        <v>64125652</v>
      </c>
      <c r="I38" s="21">
        <f t="shared" si="70"/>
        <v>73658772</v>
      </c>
      <c r="J38" s="21">
        <f t="shared" si="70"/>
        <v>85034091</v>
      </c>
      <c r="K38" s="21">
        <f t="shared" si="70"/>
        <v>94396424</v>
      </c>
      <c r="L38" s="21">
        <f t="shared" si="70"/>
        <v>102623048</v>
      </c>
      <c r="M38" s="21">
        <f t="shared" ref="M38:AA38" si="71">SUM(M35:M37)</f>
        <v>104858988</v>
      </c>
      <c r="N38" s="21">
        <f t="shared" si="71"/>
        <v>110796997</v>
      </c>
      <c r="O38" s="21">
        <f t="shared" si="71"/>
        <v>116108007</v>
      </c>
      <c r="P38" s="21">
        <f t="shared" si="71"/>
        <v>128887785</v>
      </c>
      <c r="Q38" s="21">
        <f t="shared" si="71"/>
        <v>146246221</v>
      </c>
      <c r="R38" s="21">
        <f t="shared" si="71"/>
        <v>164508986</v>
      </c>
      <c r="S38" s="21">
        <f t="shared" si="71"/>
        <v>176968848</v>
      </c>
      <c r="T38" s="21">
        <f t="shared" si="71"/>
        <v>184141536</v>
      </c>
      <c r="U38" s="21">
        <f t="shared" si="71"/>
        <v>192929804</v>
      </c>
      <c r="V38" s="21">
        <f t="shared" si="71"/>
        <v>227516553</v>
      </c>
      <c r="W38" s="21">
        <f t="shared" si="71"/>
        <v>258352091</v>
      </c>
      <c r="X38" s="21">
        <f t="shared" si="71"/>
        <v>274673075</v>
      </c>
      <c r="Y38" s="21">
        <f t="shared" si="71"/>
        <v>294195088</v>
      </c>
      <c r="Z38" s="21">
        <f t="shared" si="71"/>
        <v>302875937</v>
      </c>
      <c r="AA38" s="21">
        <f t="shared" si="71"/>
        <v>305761416</v>
      </c>
      <c r="AB38" s="21">
        <f t="shared" ref="AB38:AC38" si="72">SUM(AB35:AB37)</f>
        <v>326950315</v>
      </c>
      <c r="AC38" s="21">
        <f t="shared" si="72"/>
        <v>318379826</v>
      </c>
      <c r="AD38" s="21">
        <f t="shared" ref="AD38:AE38" si="73">SUM(AD35:AD37)</f>
        <v>306402258</v>
      </c>
      <c r="AE38" s="21">
        <f t="shared" si="73"/>
        <v>289549375</v>
      </c>
      <c r="AF38" s="21">
        <f t="shared" ref="AF38:AG38" si="74">SUM(AF35:AF37)</f>
        <v>282280370</v>
      </c>
      <c r="AG38" s="21">
        <f t="shared" si="74"/>
        <v>318350451</v>
      </c>
      <c r="AH38" s="21">
        <f t="shared" ref="AH38:AI38" si="75">SUM(AH35:AH37)</f>
        <v>329603580</v>
      </c>
      <c r="AI38" s="21">
        <f t="shared" si="75"/>
        <v>358072715.5</v>
      </c>
      <c r="AJ38" s="21">
        <f t="shared" ref="AJ38:AK38" si="76">SUM(AJ35:AJ37)</f>
        <v>359876660</v>
      </c>
      <c r="AK38" s="21">
        <f t="shared" si="76"/>
        <v>401370998</v>
      </c>
      <c r="AL38" s="22"/>
    </row>
    <row r="39" spans="1:42" ht="13.5" customHeight="1" x14ac:dyDescent="0.2">
      <c r="A39" s="15"/>
      <c r="C39" s="2" t="s">
        <v>37</v>
      </c>
      <c r="D39" s="2"/>
      <c r="AL39" s="17"/>
    </row>
    <row r="40" spans="1:42" ht="13.5" customHeight="1" x14ac:dyDescent="0.2">
      <c r="A40" s="15"/>
      <c r="D40" s="1" t="s">
        <v>38</v>
      </c>
      <c r="F40" s="32">
        <v>6493</v>
      </c>
      <c r="G40" s="32">
        <v>6570</v>
      </c>
      <c r="H40" s="32"/>
      <c r="I40" s="32">
        <v>7111</v>
      </c>
      <c r="J40" s="32">
        <v>7284</v>
      </c>
      <c r="K40" s="32">
        <v>7369</v>
      </c>
      <c r="L40" s="32">
        <v>7746</v>
      </c>
      <c r="M40" s="32">
        <v>7212</v>
      </c>
      <c r="N40" s="32">
        <v>6998</v>
      </c>
      <c r="O40" s="32">
        <v>6893</v>
      </c>
      <c r="P40" s="32">
        <v>7731</v>
      </c>
      <c r="Q40" s="32">
        <v>8686</v>
      </c>
      <c r="R40" s="32">
        <v>8728</v>
      </c>
      <c r="S40" s="32">
        <v>8689</v>
      </c>
      <c r="T40" s="32">
        <v>8677</v>
      </c>
      <c r="U40" s="32">
        <v>9159</v>
      </c>
      <c r="V40" s="32">
        <v>9740</v>
      </c>
      <c r="W40" s="32">
        <v>10703</v>
      </c>
      <c r="X40" s="32">
        <v>11752</v>
      </c>
      <c r="Y40" s="32">
        <v>12383</v>
      </c>
      <c r="Z40" s="32">
        <v>12257</v>
      </c>
      <c r="AA40" s="32">
        <v>11868</v>
      </c>
      <c r="AB40" s="32">
        <v>12068</v>
      </c>
      <c r="AC40" s="32">
        <v>11646</v>
      </c>
      <c r="AD40" s="32">
        <v>10737</v>
      </c>
      <c r="AE40" s="32">
        <v>9872</v>
      </c>
      <c r="AF40" s="32">
        <v>9479</v>
      </c>
      <c r="AG40" s="32">
        <v>9670</v>
      </c>
      <c r="AH40" s="32">
        <v>9641</v>
      </c>
      <c r="AI40" s="32">
        <v>9701</v>
      </c>
      <c r="AJ40" s="32">
        <v>9323</v>
      </c>
      <c r="AK40" s="32">
        <v>9661</v>
      </c>
      <c r="AL40" s="17"/>
    </row>
    <row r="41" spans="1:42" ht="13.5" customHeight="1" x14ac:dyDescent="0.2">
      <c r="A41" s="15"/>
      <c r="D41" s="1" t="s">
        <v>39</v>
      </c>
      <c r="E41" s="23"/>
      <c r="F41" s="33">
        <v>5648</v>
      </c>
      <c r="G41" s="33">
        <v>5626</v>
      </c>
      <c r="H41" s="33"/>
      <c r="I41" s="33">
        <v>5535</v>
      </c>
      <c r="J41" s="33">
        <v>5880</v>
      </c>
      <c r="K41" s="33">
        <v>6819</v>
      </c>
      <c r="L41" s="33">
        <v>6958</v>
      </c>
      <c r="M41" s="33">
        <v>7326</v>
      </c>
      <c r="N41" s="33">
        <v>7716</v>
      </c>
      <c r="O41" s="33">
        <v>8383</v>
      </c>
      <c r="P41" s="33">
        <v>8217</v>
      </c>
      <c r="Q41" s="33">
        <v>8366</v>
      </c>
      <c r="R41" s="33">
        <v>8671</v>
      </c>
      <c r="S41" s="33">
        <v>9091</v>
      </c>
      <c r="T41" s="33">
        <v>9145</v>
      </c>
      <c r="U41" s="33">
        <v>9400</v>
      </c>
      <c r="V41" s="33">
        <v>8524</v>
      </c>
      <c r="W41" s="33">
        <v>8552</v>
      </c>
      <c r="X41" s="33">
        <v>8387</v>
      </c>
      <c r="Y41" s="33">
        <v>8652</v>
      </c>
      <c r="Z41" s="33">
        <v>9203</v>
      </c>
      <c r="AA41" s="33">
        <v>9348</v>
      </c>
      <c r="AB41" s="33">
        <v>9550</v>
      </c>
      <c r="AC41" s="33">
        <v>9911</v>
      </c>
      <c r="AD41" s="33">
        <v>9182</v>
      </c>
      <c r="AE41" s="33">
        <v>8675</v>
      </c>
      <c r="AF41" s="33">
        <v>8481</v>
      </c>
      <c r="AG41" s="33">
        <v>10818</v>
      </c>
      <c r="AH41" s="33">
        <v>11088</v>
      </c>
      <c r="AI41" s="33">
        <v>11255</v>
      </c>
      <c r="AJ41" s="33">
        <v>11623</v>
      </c>
      <c r="AK41" s="33">
        <v>12504</v>
      </c>
      <c r="AL41" s="17"/>
      <c r="AN41" s="32"/>
    </row>
    <row r="42" spans="1:42" ht="13.5" customHeight="1" x14ac:dyDescent="0.2">
      <c r="A42" s="15"/>
      <c r="E42" s="23"/>
      <c r="F42" s="32">
        <f t="shared" ref="F42:AA42" si="77">SUM(F40:F41)</f>
        <v>12141</v>
      </c>
      <c r="G42" s="32">
        <f t="shared" si="77"/>
        <v>12196</v>
      </c>
      <c r="H42" s="32"/>
      <c r="I42" s="32">
        <f t="shared" si="77"/>
        <v>12646</v>
      </c>
      <c r="J42" s="32">
        <f t="shared" si="77"/>
        <v>13164</v>
      </c>
      <c r="K42" s="32">
        <f t="shared" si="77"/>
        <v>14188</v>
      </c>
      <c r="L42" s="32">
        <f t="shared" si="77"/>
        <v>14704</v>
      </c>
      <c r="M42" s="32">
        <f t="shared" si="77"/>
        <v>14538</v>
      </c>
      <c r="N42" s="32">
        <f t="shared" si="77"/>
        <v>14714</v>
      </c>
      <c r="O42" s="32">
        <f t="shared" si="77"/>
        <v>15276</v>
      </c>
      <c r="P42" s="32">
        <f t="shared" si="77"/>
        <v>15948</v>
      </c>
      <c r="Q42" s="32">
        <f t="shared" si="77"/>
        <v>17052</v>
      </c>
      <c r="R42" s="32">
        <f t="shared" si="77"/>
        <v>17399</v>
      </c>
      <c r="S42" s="32">
        <f t="shared" si="77"/>
        <v>17780</v>
      </c>
      <c r="T42" s="32">
        <f t="shared" si="77"/>
        <v>17822</v>
      </c>
      <c r="U42" s="32">
        <f t="shared" si="77"/>
        <v>18559</v>
      </c>
      <c r="V42" s="32">
        <f t="shared" si="77"/>
        <v>18264</v>
      </c>
      <c r="W42" s="32">
        <f t="shared" si="77"/>
        <v>19255</v>
      </c>
      <c r="X42" s="32">
        <f t="shared" si="77"/>
        <v>20139</v>
      </c>
      <c r="Y42" s="32">
        <f t="shared" si="77"/>
        <v>21035</v>
      </c>
      <c r="Z42" s="32">
        <f t="shared" si="77"/>
        <v>21460</v>
      </c>
      <c r="AA42" s="32">
        <f t="shared" si="77"/>
        <v>21216</v>
      </c>
      <c r="AB42" s="32">
        <f t="shared" ref="AB42:AC42" si="78">SUM(AB40:AB41)</f>
        <v>21618</v>
      </c>
      <c r="AC42" s="32">
        <f t="shared" si="78"/>
        <v>21557</v>
      </c>
      <c r="AD42" s="32">
        <f t="shared" ref="AD42:AE42" si="79">SUM(AD40:AD41)</f>
        <v>19919</v>
      </c>
      <c r="AE42" s="32">
        <f t="shared" si="79"/>
        <v>18547</v>
      </c>
      <c r="AF42" s="32">
        <f t="shared" ref="AF42:AG42" si="80">SUM(AF40:AF41)</f>
        <v>17960</v>
      </c>
      <c r="AG42" s="32">
        <f t="shared" si="80"/>
        <v>20488</v>
      </c>
      <c r="AH42" s="32">
        <f t="shared" ref="AH42:AI42" si="81">SUM(AH40:AH41)</f>
        <v>20729</v>
      </c>
      <c r="AI42" s="32">
        <f t="shared" si="81"/>
        <v>20956</v>
      </c>
      <c r="AJ42" s="32">
        <f t="shared" ref="AJ42:AK42" si="82">SUM(AJ40:AJ41)</f>
        <v>20946</v>
      </c>
      <c r="AK42" s="32">
        <f t="shared" si="82"/>
        <v>22165</v>
      </c>
      <c r="AL42" s="17"/>
    </row>
    <row r="43" spans="1:42" ht="13.5" customHeight="1" x14ac:dyDescent="0.2">
      <c r="A43" s="15"/>
      <c r="AL43" s="17"/>
    </row>
    <row r="44" spans="1:42" ht="13.5" customHeight="1" x14ac:dyDescent="0.2">
      <c r="A44" s="3"/>
      <c r="B44" s="18" t="s">
        <v>40</v>
      </c>
      <c r="C44" s="19"/>
      <c r="D44" s="19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17"/>
    </row>
    <row r="45" spans="1:42" ht="13.5" customHeight="1" x14ac:dyDescent="0.2">
      <c r="A45" s="3"/>
      <c r="C45" s="2" t="s">
        <v>26</v>
      </c>
      <c r="D45" s="2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17"/>
    </row>
    <row r="46" spans="1:42" ht="13.5" customHeight="1" x14ac:dyDescent="0.2">
      <c r="A46" s="3"/>
      <c r="D46" s="1" t="s">
        <v>27</v>
      </c>
      <c r="E46" s="21"/>
      <c r="F46" s="21">
        <v>80159</v>
      </c>
      <c r="G46" s="21">
        <v>43334</v>
      </c>
      <c r="H46" s="21"/>
      <c r="I46" s="21">
        <v>380535</v>
      </c>
      <c r="J46" s="21">
        <v>455810</v>
      </c>
      <c r="K46" s="21">
        <v>547317</v>
      </c>
      <c r="L46" s="21">
        <v>536481</v>
      </c>
      <c r="M46" s="21">
        <v>606199</v>
      </c>
      <c r="N46" s="21">
        <v>445529</v>
      </c>
      <c r="O46" s="21">
        <v>551406</v>
      </c>
      <c r="P46" s="21">
        <v>434867</v>
      </c>
      <c r="Q46" s="21">
        <v>584619</v>
      </c>
      <c r="R46" s="21">
        <f>586952</f>
        <v>586952</v>
      </c>
      <c r="S46" s="21">
        <f>1263494</f>
        <v>1263494</v>
      </c>
      <c r="T46" s="21">
        <f>2773111</f>
        <v>2773111</v>
      </c>
      <c r="U46" s="21">
        <f>2968275</f>
        <v>2968275</v>
      </c>
      <c r="V46" s="21">
        <f>65334+669769+683913+2052084</f>
        <v>3471100</v>
      </c>
      <c r="W46" s="21">
        <f>77931+30773+700855+0+0+771673+2043521</f>
        <v>3624753</v>
      </c>
      <c r="X46" s="21">
        <f>45879+41088+695221+0+0+527703+1916906</f>
        <v>3226797</v>
      </c>
      <c r="Y46" s="21">
        <f>34584+53466+829287+0+0+419010+2121436</f>
        <v>3457783</v>
      </c>
      <c r="Z46" s="21">
        <f>0+37410+843075+0+0+370800+1830112</f>
        <v>3081397</v>
      </c>
      <c r="AA46" s="21">
        <f>0+19311+708080+0+0+400738+1606485</f>
        <v>2734614</v>
      </c>
      <c r="AB46" s="21">
        <f>0+37662+1427091+0+0+270682+1791562</f>
        <v>3526997</v>
      </c>
      <c r="AC46" s="21">
        <f>0+0+1855160+0+0+329493+1664532</f>
        <v>3849185</v>
      </c>
      <c r="AD46" s="21">
        <f>0+4189+1584575+0+0+222419+1854370</f>
        <v>3665553</v>
      </c>
      <c r="AE46" s="21">
        <f>0+1397+1629905+0+0+204849+1453683</f>
        <v>3289834</v>
      </c>
      <c r="AF46" s="21">
        <f>938+1710876+54822+1675797</f>
        <v>3442433</v>
      </c>
      <c r="AG46" s="21">
        <f>1398337+84562+2304477</f>
        <v>3787376</v>
      </c>
      <c r="AH46" s="21">
        <f>702967+10000+1735474</f>
        <v>2448441</v>
      </c>
      <c r="AI46" s="21">
        <f>10373+1596877+9500+4077482</f>
        <v>5694232</v>
      </c>
      <c r="AJ46" s="21">
        <f>10295+1629190+0+0+10000+3178921</f>
        <v>4828406</v>
      </c>
      <c r="AK46" s="21">
        <f>17902+1468364+1895436</f>
        <v>3381702</v>
      </c>
      <c r="AL46" s="5"/>
    </row>
    <row r="47" spans="1:42" ht="13.5" customHeight="1" x14ac:dyDescent="0.2">
      <c r="A47" s="3"/>
      <c r="D47" s="1" t="s">
        <v>28</v>
      </c>
      <c r="E47" s="23"/>
      <c r="F47" s="23">
        <v>17220306</v>
      </c>
      <c r="G47" s="23">
        <v>21077851</v>
      </c>
      <c r="H47" s="23"/>
      <c r="I47" s="23">
        <v>27266470</v>
      </c>
      <c r="J47" s="23">
        <v>29369403</v>
      </c>
      <c r="K47" s="23">
        <v>30543903</v>
      </c>
      <c r="L47" s="23">
        <v>31142956</v>
      </c>
      <c r="M47" s="23">
        <v>31441605</v>
      </c>
      <c r="N47" s="23">
        <v>32752490</v>
      </c>
      <c r="O47" s="23">
        <v>34208912</v>
      </c>
      <c r="P47" s="23">
        <v>38929055</v>
      </c>
      <c r="Q47" s="23">
        <v>40324232</v>
      </c>
      <c r="R47" s="23">
        <f>2186560+17706853+20988036+415937+8950</f>
        <v>41306336</v>
      </c>
      <c r="S47" s="23">
        <f>2009423+0+0+0+17870676+22026877+0+476250+0+25554</f>
        <v>42408780</v>
      </c>
      <c r="T47" s="23">
        <f>1939076+0+0+0+18718979+23154161+996371+521250+0+20500</f>
        <v>45350337</v>
      </c>
      <c r="U47" s="23">
        <f>1401185+20474945+25575370+2326848+622471+2000</f>
        <v>50402819</v>
      </c>
      <c r="V47" s="23">
        <f>20538183+27247813+3447959+414818+10000+440978</f>
        <v>52099751</v>
      </c>
      <c r="W47" s="23">
        <f>22579885+29718653+3818673+790104+25000+13000+577495+0+0+0+0+0+0</f>
        <v>57522810</v>
      </c>
      <c r="X47" s="23">
        <f>22915635+30536222+4607510+1938152+12848+0+591684+0+0+0+0+0+37800</f>
        <v>60639851</v>
      </c>
      <c r="Y47" s="23">
        <f>24328768+33501658+5652598+425250+17586+12000+629280+0+0+0+0+0+90278</f>
        <v>64657418</v>
      </c>
      <c r="Z47" s="23">
        <f>0+56327972+5774076+412006+21444+37068+1038684+0+0+0+0+0+87572</f>
        <v>63698822</v>
      </c>
      <c r="AA47" s="23">
        <f>0+55263648+6860178+358080+0+24400+924833+0+0+0+0+0+101407</f>
        <v>63532546</v>
      </c>
      <c r="AB47" s="23">
        <f>0+53704472+6780279+317000+0+4900+818405+0+0+0+0+0+95126</f>
        <v>61720182</v>
      </c>
      <c r="AC47" s="23">
        <f>0+50285772+6748903+402750+18644+17900+388061+0+0+0+0+0+77567</f>
        <v>57939597</v>
      </c>
      <c r="AD47" s="23">
        <f>0+50178289+6364557+351666+11722+10953+629907+0+0+0+0+0+117185</f>
        <v>57664279</v>
      </c>
      <c r="AE47" s="23">
        <f>0+51209971+8348173+409792+45000+8100+0+0+0+0+0+0+116770</f>
        <v>60137806</v>
      </c>
      <c r="AF47" s="23">
        <f>52909395+8276242+351650+44800+16991+186396</f>
        <v>61785474</v>
      </c>
      <c r="AG47" s="23">
        <f>53067446+9184814+603750+25000+12700+56278</f>
        <v>62949988</v>
      </c>
      <c r="AH47" s="23">
        <f>57307835+11044982+706750+0+30700+180050</f>
        <v>69270317</v>
      </c>
      <c r="AI47" s="23">
        <f>57530442+12540704+413400+24000+151500</f>
        <v>70660046</v>
      </c>
      <c r="AJ47" s="23">
        <f>0+55718526+13065359+471431+0+15000+0+0+0+0+197618</f>
        <v>69467934</v>
      </c>
      <c r="AK47" s="23">
        <f>55061646+14776827+265900+246092</f>
        <v>70350465</v>
      </c>
      <c r="AL47" s="34"/>
    </row>
    <row r="48" spans="1:42" ht="13.5" customHeight="1" x14ac:dyDescent="0.2">
      <c r="A48" s="3"/>
      <c r="D48" s="1" t="s">
        <v>29</v>
      </c>
      <c r="E48" s="23"/>
      <c r="F48" s="24">
        <v>58407</v>
      </c>
      <c r="G48" s="24">
        <v>71002</v>
      </c>
      <c r="H48" s="24"/>
      <c r="I48" s="24">
        <v>40478</v>
      </c>
      <c r="J48" s="24">
        <v>33653</v>
      </c>
      <c r="K48" s="24">
        <v>55148</v>
      </c>
      <c r="L48" s="24">
        <v>16951</v>
      </c>
      <c r="M48" s="24">
        <v>32428</v>
      </c>
      <c r="N48" s="24">
        <v>73952</v>
      </c>
      <c r="O48" s="24">
        <v>76770</v>
      </c>
      <c r="P48" s="24">
        <v>100006</v>
      </c>
      <c r="Q48" s="24">
        <v>160039</v>
      </c>
      <c r="R48" s="24">
        <f>152531</f>
        <v>152531</v>
      </c>
      <c r="S48" s="24">
        <f>177371</f>
        <v>177371</v>
      </c>
      <c r="T48" s="24">
        <f>217455</f>
        <v>217455</v>
      </c>
      <c r="U48" s="24">
        <f>233089</f>
        <v>233089</v>
      </c>
      <c r="V48" s="24">
        <f>254276</f>
        <v>254276</v>
      </c>
      <c r="W48" s="24">
        <f>265505</f>
        <v>265505</v>
      </c>
      <c r="X48" s="24">
        <f>301345</f>
        <v>301345</v>
      </c>
      <c r="Y48" s="24">
        <f>320087</f>
        <v>320087</v>
      </c>
      <c r="Z48" s="24">
        <f>303727</f>
        <v>303727</v>
      </c>
      <c r="AA48" s="24">
        <f>327681</f>
        <v>327681</v>
      </c>
      <c r="AB48" s="24">
        <f>270799</f>
        <v>270799</v>
      </c>
      <c r="AC48" s="24">
        <v>289730</v>
      </c>
      <c r="AD48" s="24">
        <v>362747</v>
      </c>
      <c r="AE48" s="24">
        <v>424739</v>
      </c>
      <c r="AF48" s="24">
        <v>445385</v>
      </c>
      <c r="AG48" s="24">
        <v>490050</v>
      </c>
      <c r="AH48" s="24">
        <v>384205</v>
      </c>
      <c r="AI48" s="24">
        <v>419180</v>
      </c>
      <c r="AJ48" s="24">
        <v>319121</v>
      </c>
      <c r="AK48" s="24">
        <v>160496</v>
      </c>
      <c r="AL48" s="34"/>
    </row>
    <row r="49" spans="1:41" ht="13.5" customHeight="1" x14ac:dyDescent="0.2">
      <c r="A49" s="3"/>
      <c r="E49" s="21"/>
      <c r="F49" s="21">
        <f t="shared" ref="F49:K49" si="83">SUM(F46:F48)</f>
        <v>17358872</v>
      </c>
      <c r="G49" s="21">
        <f t="shared" si="83"/>
        <v>21192187</v>
      </c>
      <c r="H49" s="21"/>
      <c r="I49" s="21">
        <f t="shared" si="83"/>
        <v>27687483</v>
      </c>
      <c r="J49" s="21">
        <f t="shared" si="83"/>
        <v>29858866</v>
      </c>
      <c r="K49" s="21">
        <f t="shared" si="83"/>
        <v>31146368</v>
      </c>
      <c r="L49" s="21">
        <f t="shared" ref="L49:AA49" si="84">SUM(L46:L48)</f>
        <v>31696388</v>
      </c>
      <c r="M49" s="21">
        <f t="shared" si="84"/>
        <v>32080232</v>
      </c>
      <c r="N49" s="21">
        <f t="shared" si="84"/>
        <v>33271971</v>
      </c>
      <c r="O49" s="21">
        <f t="shared" si="84"/>
        <v>34837088</v>
      </c>
      <c r="P49" s="21">
        <f t="shared" si="84"/>
        <v>39463928</v>
      </c>
      <c r="Q49" s="21">
        <f t="shared" si="84"/>
        <v>41068890</v>
      </c>
      <c r="R49" s="21">
        <f t="shared" si="84"/>
        <v>42045819</v>
      </c>
      <c r="S49" s="21">
        <f t="shared" si="84"/>
        <v>43849645</v>
      </c>
      <c r="T49" s="21">
        <f t="shared" si="84"/>
        <v>48340903</v>
      </c>
      <c r="U49" s="21">
        <f t="shared" si="84"/>
        <v>53604183</v>
      </c>
      <c r="V49" s="21">
        <f t="shared" si="84"/>
        <v>55825127</v>
      </c>
      <c r="W49" s="21">
        <f t="shared" si="84"/>
        <v>61413068</v>
      </c>
      <c r="X49" s="21">
        <f t="shared" si="84"/>
        <v>64167993</v>
      </c>
      <c r="Y49" s="21">
        <f t="shared" si="84"/>
        <v>68435288</v>
      </c>
      <c r="Z49" s="21">
        <f t="shared" si="84"/>
        <v>67083946</v>
      </c>
      <c r="AA49" s="21">
        <f t="shared" si="84"/>
        <v>66594841</v>
      </c>
      <c r="AB49" s="21">
        <f t="shared" ref="AB49:AC49" si="85">SUM(AB46:AB48)</f>
        <v>65517978</v>
      </c>
      <c r="AC49" s="21">
        <f t="shared" si="85"/>
        <v>62078512</v>
      </c>
      <c r="AD49" s="21">
        <f t="shared" ref="AD49:AE49" si="86">SUM(AD46:AD48)</f>
        <v>61692579</v>
      </c>
      <c r="AE49" s="21">
        <f t="shared" si="86"/>
        <v>63852379</v>
      </c>
      <c r="AF49" s="21">
        <f t="shared" ref="AF49:AG49" si="87">SUM(AF46:AF48)</f>
        <v>65673292</v>
      </c>
      <c r="AG49" s="21">
        <f t="shared" si="87"/>
        <v>67227414</v>
      </c>
      <c r="AH49" s="21">
        <f t="shared" ref="AH49:AI49" si="88">SUM(AH46:AH48)</f>
        <v>72102963</v>
      </c>
      <c r="AI49" s="21">
        <f t="shared" si="88"/>
        <v>76773458</v>
      </c>
      <c r="AJ49" s="21">
        <f t="shared" ref="AJ49:AK49" si="89">SUM(AJ46:AJ48)</f>
        <v>74615461</v>
      </c>
      <c r="AK49" s="21">
        <f t="shared" si="89"/>
        <v>73892663</v>
      </c>
      <c r="AL49" s="5"/>
    </row>
    <row r="50" spans="1:41" ht="13.5" hidden="1" customHeight="1" x14ac:dyDescent="0.2">
      <c r="A50" s="3"/>
      <c r="D50" s="26"/>
      <c r="E50" s="27"/>
      <c r="F50" s="28">
        <v>-259630</v>
      </c>
      <c r="G50" s="28">
        <v>-43334</v>
      </c>
      <c r="H50" s="30"/>
      <c r="I50" s="28">
        <v>-220464</v>
      </c>
      <c r="J50" s="28">
        <v>-263058</v>
      </c>
      <c r="K50" s="28">
        <v>-281511</v>
      </c>
      <c r="L50" s="28">
        <v>-262717</v>
      </c>
      <c r="M50" s="28">
        <v>-294508</v>
      </c>
      <c r="N50" s="28">
        <v>-298668</v>
      </c>
      <c r="O50" s="28">
        <v>-337637</v>
      </c>
      <c r="P50" s="28">
        <v>-222157</v>
      </c>
      <c r="Q50" s="28">
        <v>-258426</v>
      </c>
      <c r="R50" s="28">
        <v>-290213</v>
      </c>
      <c r="S50" s="28">
        <v>-313763</v>
      </c>
      <c r="T50" s="28">
        <v>-263596</v>
      </c>
      <c r="U50" s="28">
        <v>-189461</v>
      </c>
      <c r="V50" s="28">
        <v>-121738</v>
      </c>
      <c r="W50" s="28">
        <v>-110333</v>
      </c>
      <c r="X50" s="28">
        <v>-161484</v>
      </c>
      <c r="Y50" s="28">
        <v>-239863</v>
      </c>
      <c r="Z50" s="28">
        <v>-182301</v>
      </c>
      <c r="AA50" s="28">
        <v>-206722</v>
      </c>
      <c r="AB50" s="28">
        <v>-156911</v>
      </c>
      <c r="AC50" s="28">
        <v>-87308</v>
      </c>
      <c r="AD50" s="28">
        <v>-68252</v>
      </c>
      <c r="AE50" s="28">
        <v>-78016</v>
      </c>
      <c r="AF50" s="28">
        <v>-55644</v>
      </c>
      <c r="AG50" s="28">
        <v>-57346</v>
      </c>
      <c r="AH50" s="28">
        <v>-40023</v>
      </c>
      <c r="AI50" s="28">
        <v>-5041</v>
      </c>
      <c r="AJ50" s="28">
        <v>-42778</v>
      </c>
      <c r="AK50" s="28">
        <v>-25753</v>
      </c>
      <c r="AL50" s="5"/>
    </row>
    <row r="51" spans="1:41" ht="13.5" customHeight="1" x14ac:dyDescent="0.2">
      <c r="A51" s="3"/>
      <c r="D51" s="26"/>
      <c r="E51" s="27" t="s">
        <v>30</v>
      </c>
      <c r="F51" s="29">
        <f t="shared" ref="F51:AA51" si="90">SUM(F49:F50)</f>
        <v>17099242</v>
      </c>
      <c r="G51" s="29">
        <f t="shared" si="90"/>
        <v>21148853</v>
      </c>
      <c r="H51" s="29"/>
      <c r="I51" s="29">
        <f t="shared" si="90"/>
        <v>27467019</v>
      </c>
      <c r="J51" s="29">
        <f t="shared" si="90"/>
        <v>29595808</v>
      </c>
      <c r="K51" s="29">
        <f t="shared" si="90"/>
        <v>30864857</v>
      </c>
      <c r="L51" s="29">
        <f t="shared" si="90"/>
        <v>31433671</v>
      </c>
      <c r="M51" s="29">
        <f t="shared" si="90"/>
        <v>31785724</v>
      </c>
      <c r="N51" s="29">
        <f t="shared" si="90"/>
        <v>32973303</v>
      </c>
      <c r="O51" s="29">
        <f t="shared" si="90"/>
        <v>34499451</v>
      </c>
      <c r="P51" s="29">
        <f t="shared" si="90"/>
        <v>39241771</v>
      </c>
      <c r="Q51" s="29">
        <f t="shared" si="90"/>
        <v>40810464</v>
      </c>
      <c r="R51" s="29">
        <f t="shared" si="90"/>
        <v>41755606</v>
      </c>
      <c r="S51" s="29">
        <f t="shared" si="90"/>
        <v>43535882</v>
      </c>
      <c r="T51" s="29">
        <f t="shared" si="90"/>
        <v>48077307</v>
      </c>
      <c r="U51" s="29">
        <f t="shared" si="90"/>
        <v>53414722</v>
      </c>
      <c r="V51" s="29">
        <f t="shared" si="90"/>
        <v>55703389</v>
      </c>
      <c r="W51" s="29">
        <f t="shared" si="90"/>
        <v>61302735</v>
      </c>
      <c r="X51" s="29">
        <f t="shared" si="90"/>
        <v>64006509</v>
      </c>
      <c r="Y51" s="29">
        <f t="shared" si="90"/>
        <v>68195425</v>
      </c>
      <c r="Z51" s="29">
        <f t="shared" si="90"/>
        <v>66901645</v>
      </c>
      <c r="AA51" s="29">
        <f t="shared" si="90"/>
        <v>66388119</v>
      </c>
      <c r="AB51" s="29">
        <f t="shared" ref="AB51:AC51" si="91">SUM(AB49:AB50)</f>
        <v>65361067</v>
      </c>
      <c r="AC51" s="29">
        <f t="shared" si="91"/>
        <v>61991204</v>
      </c>
      <c r="AD51" s="29">
        <f t="shared" ref="AD51:AE51" si="92">SUM(AD49:AD50)</f>
        <v>61624327</v>
      </c>
      <c r="AE51" s="29">
        <f t="shared" si="92"/>
        <v>63774363</v>
      </c>
      <c r="AF51" s="29">
        <f t="shared" ref="AF51:AG51" si="93">SUM(AF49:AF50)</f>
        <v>65617648</v>
      </c>
      <c r="AG51" s="29">
        <f t="shared" si="93"/>
        <v>67170068</v>
      </c>
      <c r="AH51" s="29">
        <f t="shared" ref="AH51:AI51" si="94">SUM(AH49:AH50)</f>
        <v>72062940</v>
      </c>
      <c r="AI51" s="29">
        <f t="shared" si="94"/>
        <v>76768417</v>
      </c>
      <c r="AJ51" s="29">
        <f t="shared" ref="AJ51:AK51" si="95">SUM(AJ49:AJ50)</f>
        <v>74572683</v>
      </c>
      <c r="AK51" s="29">
        <f t="shared" si="95"/>
        <v>73866910</v>
      </c>
      <c r="AL51" s="5"/>
    </row>
    <row r="52" spans="1:41" ht="13.5" customHeight="1" x14ac:dyDescent="0.2">
      <c r="A52" s="3"/>
      <c r="C52" s="2" t="s">
        <v>31</v>
      </c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5"/>
    </row>
    <row r="53" spans="1:41" ht="13.5" customHeight="1" x14ac:dyDescent="0.2">
      <c r="A53" s="3"/>
      <c r="D53" s="1" t="s">
        <v>27</v>
      </c>
      <c r="E53" s="21"/>
      <c r="F53" s="21">
        <v>224310</v>
      </c>
      <c r="G53" s="21">
        <v>272529</v>
      </c>
      <c r="H53" s="21"/>
      <c r="I53" s="21">
        <v>284782</v>
      </c>
      <c r="J53" s="21">
        <v>310333</v>
      </c>
      <c r="K53" s="21">
        <v>240626</v>
      </c>
      <c r="L53" s="21">
        <v>165010</v>
      </c>
      <c r="M53" s="21">
        <v>215340</v>
      </c>
      <c r="N53" s="21">
        <v>468362</v>
      </c>
      <c r="O53" s="21">
        <v>482993</v>
      </c>
      <c r="P53" s="21">
        <v>718353</v>
      </c>
      <c r="Q53" s="21">
        <v>639331</v>
      </c>
      <c r="R53" s="21">
        <f>389669+220000</f>
        <v>609669</v>
      </c>
      <c r="S53" s="21">
        <f>0+345909+257500</f>
        <v>603409</v>
      </c>
      <c r="T53" s="21">
        <f>0+293897+207400</f>
        <v>501297</v>
      </c>
      <c r="U53" s="21">
        <f>7500+300205+289800</f>
        <v>597505</v>
      </c>
      <c r="V53" s="21">
        <f>5000+7500+370823+82846</f>
        <v>466169</v>
      </c>
      <c r="W53" s="21">
        <f>0+0+2000+0+316669+96979</f>
        <v>415648</v>
      </c>
      <c r="X53" s="21">
        <f>0+0+0+1500+0+239841+0+60051</f>
        <v>301392</v>
      </c>
      <c r="Y53" s="21">
        <f>0+0+0+279+0+187627+0+40277</f>
        <v>228183</v>
      </c>
      <c r="Z53" s="21">
        <f>0+0+0+0+0+0+0+181266+0+79163</f>
        <v>260429</v>
      </c>
      <c r="AA53" s="21">
        <f>0+0+0+0+0+0+0+243220+0+105076</f>
        <v>348296</v>
      </c>
      <c r="AB53" s="21">
        <f>0+0+0+0+0+0+0+263268+0+114430</f>
        <v>377698</v>
      </c>
      <c r="AC53" s="21">
        <f>0+0+0+0+0+0+3048+215652+0+26580</f>
        <v>245280</v>
      </c>
      <c r="AD53" s="21">
        <f>0+0+0+0+0+0+0+129980+0+49183</f>
        <v>179163</v>
      </c>
      <c r="AE53" s="21">
        <f>0+0+0+0+0+0+0+226988+60878</f>
        <v>287866</v>
      </c>
      <c r="AF53" s="21">
        <f>248661+77263</f>
        <v>325924</v>
      </c>
      <c r="AG53" s="21">
        <f>61500+332660+117094</f>
        <v>511254</v>
      </c>
      <c r="AH53" s="21">
        <f>53400+368118+143984</f>
        <v>565502</v>
      </c>
      <c r="AI53" s="21">
        <f>45000+449323+96536</f>
        <v>590859</v>
      </c>
      <c r="AJ53" s="21">
        <f>45500+0+0+0+475357+0+670683</f>
        <v>1191540</v>
      </c>
      <c r="AK53" s="21">
        <f>71500+623090+792785</f>
        <v>1487375</v>
      </c>
      <c r="AL53" s="5"/>
      <c r="AN53" s="65"/>
    </row>
    <row r="54" spans="1:41" ht="13.5" customHeight="1" x14ac:dyDescent="0.2">
      <c r="A54" s="3"/>
      <c r="D54" s="1" t="s">
        <v>28</v>
      </c>
      <c r="E54" s="23"/>
      <c r="F54" s="24">
        <v>0</v>
      </c>
      <c r="G54" s="24">
        <v>0</v>
      </c>
      <c r="H54" s="24"/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f>0</f>
        <v>0</v>
      </c>
      <c r="S54" s="24">
        <f>0</f>
        <v>0</v>
      </c>
      <c r="T54" s="24">
        <f>0</f>
        <v>0</v>
      </c>
      <c r="U54" s="24">
        <f>0</f>
        <v>0</v>
      </c>
      <c r="V54" s="24">
        <f>192500</f>
        <v>192500</v>
      </c>
      <c r="W54" s="24">
        <f>0+160000+0+0</f>
        <v>160000</v>
      </c>
      <c r="X54" s="24">
        <f>0+200000+0+0</f>
        <v>200000</v>
      </c>
      <c r="Y54" s="24">
        <f>0+120000+0+0</f>
        <v>120000</v>
      </c>
      <c r="Z54" s="24">
        <f>0+100000+0+0</f>
        <v>100000</v>
      </c>
      <c r="AA54" s="24">
        <f>0+40000+0+0</f>
        <v>40000</v>
      </c>
      <c r="AB54" s="24">
        <f>0+40000+0+0</f>
        <v>40000</v>
      </c>
      <c r="AC54" s="24">
        <f>0+0+0+0</f>
        <v>0</v>
      </c>
      <c r="AD54" s="24">
        <f>0+0+0+0</f>
        <v>0</v>
      </c>
      <c r="AE54" s="24">
        <f>0+0+0+0</f>
        <v>0</v>
      </c>
      <c r="AF54" s="24">
        <f>0+0+0+0</f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34"/>
      <c r="AO54" s="35"/>
    </row>
    <row r="55" spans="1:41" ht="13.5" customHeight="1" x14ac:dyDescent="0.2">
      <c r="A55" s="3"/>
      <c r="E55" s="23"/>
      <c r="F55" s="21">
        <f t="shared" ref="F55:K55" si="96">SUM(F53:F54)</f>
        <v>224310</v>
      </c>
      <c r="G55" s="21">
        <f t="shared" si="96"/>
        <v>272529</v>
      </c>
      <c r="H55" s="21"/>
      <c r="I55" s="21">
        <f t="shared" si="96"/>
        <v>284782</v>
      </c>
      <c r="J55" s="21">
        <f t="shared" si="96"/>
        <v>310333</v>
      </c>
      <c r="K55" s="21">
        <f t="shared" si="96"/>
        <v>240626</v>
      </c>
      <c r="L55" s="21">
        <f t="shared" ref="L55:AA55" si="97">SUM(L53:L54)</f>
        <v>165010</v>
      </c>
      <c r="M55" s="21">
        <f t="shared" si="97"/>
        <v>215340</v>
      </c>
      <c r="N55" s="21">
        <f t="shared" si="97"/>
        <v>468362</v>
      </c>
      <c r="O55" s="21">
        <f t="shared" si="97"/>
        <v>482993</v>
      </c>
      <c r="P55" s="21">
        <f t="shared" si="97"/>
        <v>718353</v>
      </c>
      <c r="Q55" s="21">
        <f t="shared" si="97"/>
        <v>639331</v>
      </c>
      <c r="R55" s="21">
        <f t="shared" si="97"/>
        <v>609669</v>
      </c>
      <c r="S55" s="21">
        <f t="shared" si="97"/>
        <v>603409</v>
      </c>
      <c r="T55" s="21">
        <f t="shared" si="97"/>
        <v>501297</v>
      </c>
      <c r="U55" s="21">
        <f t="shared" si="97"/>
        <v>597505</v>
      </c>
      <c r="V55" s="21">
        <f t="shared" si="97"/>
        <v>658669</v>
      </c>
      <c r="W55" s="21">
        <f t="shared" si="97"/>
        <v>575648</v>
      </c>
      <c r="X55" s="21">
        <f t="shared" si="97"/>
        <v>501392</v>
      </c>
      <c r="Y55" s="21">
        <f t="shared" si="97"/>
        <v>348183</v>
      </c>
      <c r="Z55" s="21">
        <f t="shared" si="97"/>
        <v>360429</v>
      </c>
      <c r="AA55" s="21">
        <f t="shared" si="97"/>
        <v>388296</v>
      </c>
      <c r="AB55" s="21">
        <f t="shared" ref="AB55:AC55" si="98">SUM(AB53:AB54)</f>
        <v>417698</v>
      </c>
      <c r="AC55" s="21">
        <f t="shared" si="98"/>
        <v>245280</v>
      </c>
      <c r="AD55" s="21">
        <f t="shared" ref="AD55:AE55" si="99">SUM(AD53:AD54)</f>
        <v>179163</v>
      </c>
      <c r="AE55" s="21">
        <f t="shared" si="99"/>
        <v>287866</v>
      </c>
      <c r="AF55" s="21">
        <f t="shared" ref="AF55:AG55" si="100">SUM(AF53:AF54)</f>
        <v>325924</v>
      </c>
      <c r="AG55" s="21">
        <f t="shared" si="100"/>
        <v>511254</v>
      </c>
      <c r="AH55" s="21">
        <f t="shared" ref="AH55:AI55" si="101">SUM(AH53:AH54)</f>
        <v>565502</v>
      </c>
      <c r="AI55" s="21">
        <f t="shared" si="101"/>
        <v>590859</v>
      </c>
      <c r="AJ55" s="21">
        <f t="shared" ref="AJ55:AK55" si="102">SUM(AJ53:AJ54)</f>
        <v>1191540</v>
      </c>
      <c r="AK55" s="21">
        <f t="shared" si="102"/>
        <v>1487375</v>
      </c>
      <c r="AL55" s="5"/>
    </row>
    <row r="56" spans="1:41" ht="13.5" hidden="1" customHeight="1" x14ac:dyDescent="0.2">
      <c r="A56" s="3"/>
      <c r="D56" s="26"/>
      <c r="E56" s="27"/>
      <c r="F56" s="28">
        <f>0</f>
        <v>0</v>
      </c>
      <c r="G56" s="28">
        <f>0</f>
        <v>0</v>
      </c>
      <c r="H56" s="30"/>
      <c r="I56" s="28">
        <f>0</f>
        <v>0</v>
      </c>
      <c r="J56" s="28">
        <v>0</v>
      </c>
      <c r="K56" s="28">
        <f>0</f>
        <v>0</v>
      </c>
      <c r="L56" s="28">
        <f>0</f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5"/>
    </row>
    <row r="57" spans="1:41" ht="13.5" customHeight="1" x14ac:dyDescent="0.2">
      <c r="A57" s="3"/>
      <c r="D57" s="26"/>
      <c r="E57" s="27" t="s">
        <v>30</v>
      </c>
      <c r="F57" s="29">
        <f t="shared" ref="F57:AA57" si="103">SUM(F55:F56)</f>
        <v>224310</v>
      </c>
      <c r="G57" s="29">
        <f t="shared" si="103"/>
        <v>272529</v>
      </c>
      <c r="H57" s="29"/>
      <c r="I57" s="29">
        <f t="shared" si="103"/>
        <v>284782</v>
      </c>
      <c r="J57" s="29">
        <f t="shared" si="103"/>
        <v>310333</v>
      </c>
      <c r="K57" s="29">
        <f t="shared" si="103"/>
        <v>240626</v>
      </c>
      <c r="L57" s="29">
        <f t="shared" si="103"/>
        <v>165010</v>
      </c>
      <c r="M57" s="29">
        <f t="shared" si="103"/>
        <v>215340</v>
      </c>
      <c r="N57" s="29">
        <f t="shared" si="103"/>
        <v>468362</v>
      </c>
      <c r="O57" s="29">
        <f t="shared" si="103"/>
        <v>482993</v>
      </c>
      <c r="P57" s="29">
        <f t="shared" si="103"/>
        <v>718353</v>
      </c>
      <c r="Q57" s="29">
        <f t="shared" si="103"/>
        <v>639331</v>
      </c>
      <c r="R57" s="29">
        <f t="shared" si="103"/>
        <v>609669</v>
      </c>
      <c r="S57" s="29">
        <f t="shared" si="103"/>
        <v>603409</v>
      </c>
      <c r="T57" s="29">
        <f t="shared" si="103"/>
        <v>501297</v>
      </c>
      <c r="U57" s="29">
        <f t="shared" si="103"/>
        <v>597505</v>
      </c>
      <c r="V57" s="29">
        <f t="shared" si="103"/>
        <v>658669</v>
      </c>
      <c r="W57" s="29">
        <f t="shared" si="103"/>
        <v>575648</v>
      </c>
      <c r="X57" s="29">
        <f t="shared" si="103"/>
        <v>501392</v>
      </c>
      <c r="Y57" s="29">
        <f t="shared" si="103"/>
        <v>348183</v>
      </c>
      <c r="Z57" s="29">
        <f t="shared" si="103"/>
        <v>360429</v>
      </c>
      <c r="AA57" s="29">
        <f t="shared" si="103"/>
        <v>388296</v>
      </c>
      <c r="AB57" s="29">
        <f t="shared" ref="AB57:AC57" si="104">SUM(AB55:AB56)</f>
        <v>417698</v>
      </c>
      <c r="AC57" s="29">
        <f t="shared" si="104"/>
        <v>245280</v>
      </c>
      <c r="AD57" s="29">
        <f t="shared" ref="AD57:AE57" si="105">SUM(AD55:AD56)</f>
        <v>179163</v>
      </c>
      <c r="AE57" s="29">
        <f t="shared" si="105"/>
        <v>287866</v>
      </c>
      <c r="AF57" s="29">
        <f t="shared" ref="AF57:AG57" si="106">SUM(AF55:AF56)</f>
        <v>325924</v>
      </c>
      <c r="AG57" s="29">
        <f t="shared" si="106"/>
        <v>511254</v>
      </c>
      <c r="AH57" s="29">
        <f t="shared" ref="AH57:AI57" si="107">SUM(AH55:AH56)</f>
        <v>565502</v>
      </c>
      <c r="AI57" s="29">
        <f t="shared" si="107"/>
        <v>590859</v>
      </c>
      <c r="AJ57" s="29">
        <f t="shared" ref="AJ57:AK57" si="108">SUM(AJ55:AJ56)</f>
        <v>1191540</v>
      </c>
      <c r="AK57" s="29">
        <f t="shared" si="108"/>
        <v>1487375</v>
      </c>
      <c r="AL57" s="5"/>
    </row>
    <row r="58" spans="1:41" ht="13.5" customHeight="1" x14ac:dyDescent="0.2">
      <c r="A58" s="3"/>
      <c r="C58" s="2" t="s">
        <v>32</v>
      </c>
      <c r="D58" s="2"/>
      <c r="E58" s="23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5"/>
    </row>
    <row r="59" spans="1:41" ht="13.5" customHeight="1" x14ac:dyDescent="0.2">
      <c r="A59" s="3"/>
      <c r="D59" s="1" t="s">
        <v>27</v>
      </c>
      <c r="E59" s="21"/>
      <c r="F59" s="21">
        <v>11399647</v>
      </c>
      <c r="G59" s="21">
        <v>13415321</v>
      </c>
      <c r="H59" s="21"/>
      <c r="I59" s="21">
        <v>17375162</v>
      </c>
      <c r="J59" s="21">
        <v>17109040</v>
      </c>
      <c r="K59" s="21">
        <v>16507859</v>
      </c>
      <c r="L59" s="21">
        <v>17023649</v>
      </c>
      <c r="M59" s="21">
        <v>19111586</v>
      </c>
      <c r="N59" s="21">
        <v>21087836</v>
      </c>
      <c r="O59" s="21">
        <v>23078764</v>
      </c>
      <c r="P59" s="21">
        <v>23509833</v>
      </c>
      <c r="Q59" s="21">
        <v>27234198</v>
      </c>
      <c r="R59" s="21">
        <f>1075200+5659071+175182+21970503+227672</f>
        <v>29107628</v>
      </c>
      <c r="S59" s="21">
        <f>832908+5655861+234421+24230656+338653</f>
        <v>31292499</v>
      </c>
      <c r="T59" s="21">
        <f>895902+5335553+169304+26389291+336353</f>
        <v>33126403</v>
      </c>
      <c r="U59" s="21">
        <f>812748+4840456+88543+32638964+2548036</f>
        <v>40928747</v>
      </c>
      <c r="V59" s="21">
        <f>592526+5325490+182112+36685558+2470439</f>
        <v>45256125</v>
      </c>
      <c r="W59" s="21">
        <f>804371+5243863+165986+30730468+2708015</f>
        <v>39652703</v>
      </c>
      <c r="X59" s="21">
        <f>779023+5697921+97236+31145792+2691180</f>
        <v>40411152</v>
      </c>
      <c r="Y59" s="21">
        <f>759882+6242206+253624+35065162+2762984</f>
        <v>45083858</v>
      </c>
      <c r="Z59" s="21">
        <f>805104+6355252+135408+35917601+2719873</f>
        <v>45933238</v>
      </c>
      <c r="AA59" s="21">
        <f>888942+6588509+173767+36956826+2471525</f>
        <v>47079569</v>
      </c>
      <c r="AB59" s="21">
        <f>764115+7019662+449006+38670006+2418797</f>
        <v>49321586</v>
      </c>
      <c r="AC59" s="21">
        <f>794326+7476054+405124+39341178+2237523</f>
        <v>50254205</v>
      </c>
      <c r="AD59" s="21">
        <f>845984+7998999+561260+36872083+2424513</f>
        <v>48702839</v>
      </c>
      <c r="AE59" s="21">
        <f>903907+8060007+466771+35102089+2405243</f>
        <v>46938017</v>
      </c>
      <c r="AF59" s="21">
        <f>988942+8551348+347788+34669972+3086694</f>
        <v>47644744</v>
      </c>
      <c r="AG59" s="21">
        <f>1069194+9674374+429298+36125332+3643113</f>
        <v>50941311</v>
      </c>
      <c r="AH59" s="21">
        <f>935824+11132550+647265+33390634+4366473</f>
        <v>50472746</v>
      </c>
      <c r="AI59" s="21">
        <f>1430228+9989728+1076668+33119131+4381701</f>
        <v>49997456</v>
      </c>
      <c r="AJ59" s="21">
        <f>1519968+11385640+1638398+34090080+4741986</f>
        <v>53376072</v>
      </c>
      <c r="AK59" s="21">
        <f>1255973+10752308+1494876+36874951+4956694</f>
        <v>55334802</v>
      </c>
      <c r="AL59" s="5"/>
    </row>
    <row r="60" spans="1:41" ht="13.5" customHeight="1" x14ac:dyDescent="0.2">
      <c r="A60" s="3"/>
      <c r="D60" s="1" t="s">
        <v>28</v>
      </c>
      <c r="E60" s="23"/>
      <c r="F60" s="23">
        <v>284464</v>
      </c>
      <c r="G60" s="23">
        <v>409334</v>
      </c>
      <c r="H60" s="23"/>
      <c r="I60" s="23">
        <v>518504</v>
      </c>
      <c r="J60" s="23">
        <v>664590</v>
      </c>
      <c r="K60" s="23">
        <v>473285</v>
      </c>
      <c r="L60" s="23">
        <v>353924</v>
      </c>
      <c r="M60" s="23">
        <v>349820</v>
      </c>
      <c r="N60" s="23">
        <v>284235</v>
      </c>
      <c r="O60" s="23">
        <v>297305</v>
      </c>
      <c r="P60" s="23">
        <v>202078</v>
      </c>
      <c r="Q60" s="23">
        <v>426974</v>
      </c>
      <c r="R60" s="23">
        <f>434831</f>
        <v>434831</v>
      </c>
      <c r="S60" s="23">
        <f>535868+0</f>
        <v>535868</v>
      </c>
      <c r="T60" s="23">
        <f>487855+0</f>
        <v>487855</v>
      </c>
      <c r="U60" s="23">
        <f>163150</f>
        <v>163150</v>
      </c>
      <c r="V60" s="23">
        <f>57519</f>
        <v>57519</v>
      </c>
      <c r="W60" s="23">
        <f>70345</f>
        <v>70345</v>
      </c>
      <c r="X60" s="23">
        <f>0+140688</f>
        <v>140688</v>
      </c>
      <c r="Y60" s="23">
        <f>0+121448</f>
        <v>121448</v>
      </c>
      <c r="Z60" s="23">
        <f>0+86062</f>
        <v>86062</v>
      </c>
      <c r="AA60" s="23">
        <f>0+68076</f>
        <v>68076</v>
      </c>
      <c r="AB60" s="23">
        <f>0+88859</f>
        <v>88859</v>
      </c>
      <c r="AC60" s="23">
        <f>0+131135</f>
        <v>131135</v>
      </c>
      <c r="AD60" s="23">
        <f>0+136380</f>
        <v>136380</v>
      </c>
      <c r="AE60" s="23">
        <f>0+179383</f>
        <v>179383</v>
      </c>
      <c r="AF60" s="23">
        <v>160099</v>
      </c>
      <c r="AG60" s="23">
        <v>173430</v>
      </c>
      <c r="AH60" s="23">
        <v>152194</v>
      </c>
      <c r="AI60" s="23">
        <v>137384</v>
      </c>
      <c r="AJ60" s="23">
        <f>0+223706</f>
        <v>223706</v>
      </c>
      <c r="AK60" s="23">
        <v>144463</v>
      </c>
      <c r="AL60" s="34"/>
    </row>
    <row r="61" spans="1:41" ht="13.5" customHeight="1" x14ac:dyDescent="0.2">
      <c r="A61" s="3"/>
      <c r="D61" s="1" t="s">
        <v>29</v>
      </c>
      <c r="E61" s="23"/>
      <c r="F61" s="24">
        <v>15775645</v>
      </c>
      <c r="G61" s="24">
        <v>16891189</v>
      </c>
      <c r="H61" s="24"/>
      <c r="I61" s="24">
        <v>15600090</v>
      </c>
      <c r="J61" s="24">
        <v>16477999</v>
      </c>
      <c r="K61" s="24">
        <v>16407744</v>
      </c>
      <c r="L61" s="24">
        <v>18071400</v>
      </c>
      <c r="M61" s="24">
        <v>19199873</v>
      </c>
      <c r="N61" s="24">
        <v>20187044</v>
      </c>
      <c r="O61" s="24">
        <v>18440137</v>
      </c>
      <c r="P61" s="24">
        <v>16751953</v>
      </c>
      <c r="Q61" s="24">
        <v>24915903</v>
      </c>
      <c r="R61" s="24">
        <f>25644032</f>
        <v>25644032</v>
      </c>
      <c r="S61" s="24">
        <f>0+23432282</f>
        <v>23432282</v>
      </c>
      <c r="T61" s="24">
        <f>0+25318709</f>
        <v>25318709</v>
      </c>
      <c r="U61" s="24">
        <f>26974205</f>
        <v>26974205</v>
      </c>
      <c r="V61" s="24">
        <f>26824074</f>
        <v>26824074</v>
      </c>
      <c r="W61" s="24">
        <f>19345302</f>
        <v>19345302</v>
      </c>
      <c r="X61" s="24">
        <f>0+20334716</f>
        <v>20334716</v>
      </c>
      <c r="Y61" s="24">
        <f>0+22010395</f>
        <v>22010395</v>
      </c>
      <c r="Z61" s="24">
        <f>0+22339359</f>
        <v>22339359</v>
      </c>
      <c r="AA61" s="24">
        <f>22483722</f>
        <v>22483722</v>
      </c>
      <c r="AB61" s="24">
        <f>0+22943346</f>
        <v>22943346</v>
      </c>
      <c r="AC61" s="24">
        <f>0+42459494</f>
        <v>42459494</v>
      </c>
      <c r="AD61" s="24">
        <f>0+43544711</f>
        <v>43544711</v>
      </c>
      <c r="AE61" s="24">
        <f>0+43534725</f>
        <v>43534725</v>
      </c>
      <c r="AF61" s="24">
        <v>41715033</v>
      </c>
      <c r="AG61" s="24">
        <v>41245798</v>
      </c>
      <c r="AH61" s="24">
        <v>38513282</v>
      </c>
      <c r="AI61" s="24">
        <v>40381838</v>
      </c>
      <c r="AJ61" s="24">
        <f>0+42818160</f>
        <v>42818160</v>
      </c>
      <c r="AK61" s="24">
        <v>47295066</v>
      </c>
      <c r="AL61" s="34"/>
    </row>
    <row r="62" spans="1:41" ht="13.5" customHeight="1" x14ac:dyDescent="0.2">
      <c r="A62" s="3"/>
      <c r="E62" s="21"/>
      <c r="F62" s="21">
        <f>SUM(F59:F61)</f>
        <v>27459756</v>
      </c>
      <c r="G62" s="21">
        <f>SUM(G59:G61)</f>
        <v>30715844</v>
      </c>
      <c r="H62" s="21"/>
      <c r="I62" s="21">
        <f t="shared" ref="I62:AA62" si="109">SUM(I59:I61)</f>
        <v>33493756</v>
      </c>
      <c r="J62" s="21">
        <f t="shared" si="109"/>
        <v>34251629</v>
      </c>
      <c r="K62" s="21">
        <f t="shared" si="109"/>
        <v>33388888</v>
      </c>
      <c r="L62" s="21">
        <f t="shared" si="109"/>
        <v>35448973</v>
      </c>
      <c r="M62" s="21">
        <f t="shared" si="109"/>
        <v>38661279</v>
      </c>
      <c r="N62" s="21">
        <f t="shared" si="109"/>
        <v>41559115</v>
      </c>
      <c r="O62" s="21">
        <f t="shared" si="109"/>
        <v>41816206</v>
      </c>
      <c r="P62" s="21">
        <f t="shared" si="109"/>
        <v>40463864</v>
      </c>
      <c r="Q62" s="21">
        <f t="shared" si="109"/>
        <v>52577075</v>
      </c>
      <c r="R62" s="21">
        <f t="shared" si="109"/>
        <v>55186491</v>
      </c>
      <c r="S62" s="21">
        <f t="shared" si="109"/>
        <v>55260649</v>
      </c>
      <c r="T62" s="21">
        <f t="shared" si="109"/>
        <v>58932967</v>
      </c>
      <c r="U62" s="21">
        <f t="shared" si="109"/>
        <v>68066102</v>
      </c>
      <c r="V62" s="21">
        <f t="shared" si="109"/>
        <v>72137718</v>
      </c>
      <c r="W62" s="21">
        <f t="shared" si="109"/>
        <v>59068350</v>
      </c>
      <c r="X62" s="21">
        <f t="shared" si="109"/>
        <v>60886556</v>
      </c>
      <c r="Y62" s="21">
        <f t="shared" si="109"/>
        <v>67215701</v>
      </c>
      <c r="Z62" s="21">
        <f t="shared" si="109"/>
        <v>68358659</v>
      </c>
      <c r="AA62" s="21">
        <f t="shared" si="109"/>
        <v>69631367</v>
      </c>
      <c r="AB62" s="21">
        <f t="shared" ref="AB62:AC62" si="110">SUM(AB59:AB61)</f>
        <v>72353791</v>
      </c>
      <c r="AC62" s="21">
        <f t="shared" si="110"/>
        <v>92844834</v>
      </c>
      <c r="AD62" s="21">
        <f t="shared" ref="AD62:AE62" si="111">SUM(AD59:AD61)</f>
        <v>92383930</v>
      </c>
      <c r="AE62" s="21">
        <f t="shared" si="111"/>
        <v>90652125</v>
      </c>
      <c r="AF62" s="21">
        <f t="shared" ref="AF62:AG62" si="112">SUM(AF59:AF61)</f>
        <v>89519876</v>
      </c>
      <c r="AG62" s="21">
        <f t="shared" si="112"/>
        <v>92360539</v>
      </c>
      <c r="AH62" s="21">
        <f t="shared" ref="AH62:AI62" si="113">SUM(AH59:AH61)</f>
        <v>89138222</v>
      </c>
      <c r="AI62" s="21">
        <f t="shared" si="113"/>
        <v>90516678</v>
      </c>
      <c r="AJ62" s="21">
        <f t="shared" ref="AJ62:AK62" si="114">SUM(AJ59:AJ61)</f>
        <v>96417938</v>
      </c>
      <c r="AK62" s="21">
        <f t="shared" si="114"/>
        <v>102774331</v>
      </c>
      <c r="AL62" s="5"/>
    </row>
    <row r="63" spans="1:41" ht="13.5" hidden="1" customHeight="1" x14ac:dyDescent="0.2">
      <c r="A63" s="3"/>
      <c r="D63" s="26"/>
      <c r="E63" s="27"/>
      <c r="F63" s="28">
        <f>(F50+F56)*-1</f>
        <v>259630</v>
      </c>
      <c r="G63" s="28">
        <f>(G50+G56)*-1</f>
        <v>43334</v>
      </c>
      <c r="H63" s="28"/>
      <c r="I63" s="28">
        <f t="shared" ref="I63:AA63" si="115">(I50+I56)*-1</f>
        <v>220464</v>
      </c>
      <c r="J63" s="28">
        <f t="shared" si="115"/>
        <v>263058</v>
      </c>
      <c r="K63" s="28">
        <f t="shared" si="115"/>
        <v>281511</v>
      </c>
      <c r="L63" s="28">
        <f t="shared" si="115"/>
        <v>262717</v>
      </c>
      <c r="M63" s="28">
        <f t="shared" si="115"/>
        <v>294508</v>
      </c>
      <c r="N63" s="28">
        <f t="shared" si="115"/>
        <v>298668</v>
      </c>
      <c r="O63" s="28">
        <f t="shared" si="115"/>
        <v>337637</v>
      </c>
      <c r="P63" s="28">
        <f t="shared" si="115"/>
        <v>222157</v>
      </c>
      <c r="Q63" s="28">
        <f t="shared" si="115"/>
        <v>258426</v>
      </c>
      <c r="R63" s="28">
        <f t="shared" si="115"/>
        <v>290213</v>
      </c>
      <c r="S63" s="28">
        <f t="shared" si="115"/>
        <v>313763</v>
      </c>
      <c r="T63" s="28">
        <f t="shared" si="115"/>
        <v>263596</v>
      </c>
      <c r="U63" s="28">
        <f t="shared" si="115"/>
        <v>189461</v>
      </c>
      <c r="V63" s="28">
        <f t="shared" si="115"/>
        <v>121738</v>
      </c>
      <c r="W63" s="28">
        <f t="shared" si="115"/>
        <v>110333</v>
      </c>
      <c r="X63" s="28">
        <f t="shared" si="115"/>
        <v>161484</v>
      </c>
      <c r="Y63" s="28">
        <f t="shared" si="115"/>
        <v>239863</v>
      </c>
      <c r="Z63" s="28">
        <f t="shared" si="115"/>
        <v>182301</v>
      </c>
      <c r="AA63" s="28">
        <f t="shared" si="115"/>
        <v>206722</v>
      </c>
      <c r="AB63" s="28">
        <f t="shared" ref="AB63:AC63" si="116">(AB50+AB56)*-1</f>
        <v>156911</v>
      </c>
      <c r="AC63" s="28">
        <f t="shared" si="116"/>
        <v>87308</v>
      </c>
      <c r="AD63" s="28">
        <f t="shared" ref="AD63:AE63" si="117">(AD50+AD56)*-1</f>
        <v>68252</v>
      </c>
      <c r="AE63" s="28">
        <f t="shared" si="117"/>
        <v>78016</v>
      </c>
      <c r="AF63" s="28">
        <f t="shared" ref="AF63:AG63" si="118">(AF50+AF56)*-1</f>
        <v>55644</v>
      </c>
      <c r="AG63" s="28">
        <f t="shared" si="118"/>
        <v>57346</v>
      </c>
      <c r="AH63" s="28">
        <f t="shared" ref="AH63:AI63" si="119">(AH50+AH56)*-1</f>
        <v>40023</v>
      </c>
      <c r="AI63" s="28">
        <f t="shared" si="119"/>
        <v>5041</v>
      </c>
      <c r="AJ63" s="28">
        <f t="shared" ref="AJ63:AK63" si="120">(AJ50+AJ56)*-1</f>
        <v>42778</v>
      </c>
      <c r="AK63" s="28">
        <f t="shared" si="120"/>
        <v>25753</v>
      </c>
      <c r="AL63" s="5"/>
    </row>
    <row r="64" spans="1:41" ht="13.5" customHeight="1" x14ac:dyDescent="0.2">
      <c r="A64" s="3"/>
      <c r="D64" s="26"/>
      <c r="E64" s="27" t="s">
        <v>33</v>
      </c>
      <c r="F64" s="29">
        <f t="shared" ref="F64:L64" si="121">SUM(F62:F63)</f>
        <v>27719386</v>
      </c>
      <c r="G64" s="29">
        <f t="shared" si="121"/>
        <v>30759178</v>
      </c>
      <c r="H64" s="29"/>
      <c r="I64" s="29">
        <f t="shared" si="121"/>
        <v>33714220</v>
      </c>
      <c r="J64" s="29">
        <f t="shared" si="121"/>
        <v>34514687</v>
      </c>
      <c r="K64" s="29">
        <f t="shared" si="121"/>
        <v>33670399</v>
      </c>
      <c r="L64" s="29">
        <f t="shared" si="121"/>
        <v>35711690</v>
      </c>
      <c r="M64" s="29">
        <f t="shared" ref="M64:AA64" si="122">SUM(M62:M63)</f>
        <v>38955787</v>
      </c>
      <c r="N64" s="29">
        <f t="shared" si="122"/>
        <v>41857783</v>
      </c>
      <c r="O64" s="29">
        <f t="shared" si="122"/>
        <v>42153843</v>
      </c>
      <c r="P64" s="29">
        <f t="shared" si="122"/>
        <v>40686021</v>
      </c>
      <c r="Q64" s="29">
        <f t="shared" si="122"/>
        <v>52835501</v>
      </c>
      <c r="R64" s="29">
        <f t="shared" si="122"/>
        <v>55476704</v>
      </c>
      <c r="S64" s="29">
        <f t="shared" si="122"/>
        <v>55574412</v>
      </c>
      <c r="T64" s="29">
        <f t="shared" si="122"/>
        <v>59196563</v>
      </c>
      <c r="U64" s="29">
        <f t="shared" si="122"/>
        <v>68255563</v>
      </c>
      <c r="V64" s="29">
        <f t="shared" si="122"/>
        <v>72259456</v>
      </c>
      <c r="W64" s="29">
        <f t="shared" si="122"/>
        <v>59178683</v>
      </c>
      <c r="X64" s="29">
        <f t="shared" si="122"/>
        <v>61048040</v>
      </c>
      <c r="Y64" s="29">
        <f t="shared" si="122"/>
        <v>67455564</v>
      </c>
      <c r="Z64" s="29">
        <f t="shared" si="122"/>
        <v>68540960</v>
      </c>
      <c r="AA64" s="29">
        <f t="shared" si="122"/>
        <v>69838089</v>
      </c>
      <c r="AB64" s="29">
        <f t="shared" ref="AB64:AC64" si="123">SUM(AB62:AB63)</f>
        <v>72510702</v>
      </c>
      <c r="AC64" s="29">
        <f t="shared" si="123"/>
        <v>92932142</v>
      </c>
      <c r="AD64" s="29">
        <f t="shared" ref="AD64:AE64" si="124">SUM(AD62:AD63)</f>
        <v>92452182</v>
      </c>
      <c r="AE64" s="29">
        <f t="shared" si="124"/>
        <v>90730141</v>
      </c>
      <c r="AF64" s="29">
        <f t="shared" ref="AF64:AG64" si="125">SUM(AF62:AF63)</f>
        <v>89575520</v>
      </c>
      <c r="AG64" s="29">
        <f t="shared" si="125"/>
        <v>92417885</v>
      </c>
      <c r="AH64" s="29">
        <f t="shared" ref="AH64:AI64" si="126">SUM(AH62:AH63)</f>
        <v>89178245</v>
      </c>
      <c r="AI64" s="29">
        <f t="shared" si="126"/>
        <v>90521719</v>
      </c>
      <c r="AJ64" s="29">
        <f t="shared" ref="AJ64:AK64" si="127">SUM(AJ62:AJ63)</f>
        <v>96460716</v>
      </c>
      <c r="AK64" s="29">
        <f t="shared" si="127"/>
        <v>102800084</v>
      </c>
      <c r="AL64" s="5"/>
    </row>
    <row r="65" spans="1:40" ht="13.5" customHeight="1" x14ac:dyDescent="0.2">
      <c r="A65" s="3"/>
      <c r="C65" s="2" t="s">
        <v>34</v>
      </c>
      <c r="D65" s="2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5"/>
    </row>
    <row r="66" spans="1:40" ht="13.5" customHeight="1" x14ac:dyDescent="0.2">
      <c r="A66" s="3"/>
      <c r="D66" s="1" t="s">
        <v>27</v>
      </c>
      <c r="E66" s="21"/>
      <c r="F66" s="21">
        <v>2095662</v>
      </c>
      <c r="G66" s="21">
        <v>1649943</v>
      </c>
      <c r="H66" s="21"/>
      <c r="I66" s="21">
        <v>1929571</v>
      </c>
      <c r="J66" s="21">
        <v>2065270</v>
      </c>
      <c r="K66" s="21">
        <v>1982945</v>
      </c>
      <c r="L66" s="21">
        <v>2144821</v>
      </c>
      <c r="M66" s="21">
        <v>2043257</v>
      </c>
      <c r="N66" s="21">
        <v>2212251</v>
      </c>
      <c r="O66" s="21">
        <v>4071180</v>
      </c>
      <c r="P66" s="21">
        <v>4475662</v>
      </c>
      <c r="Q66" s="21">
        <v>2325608</v>
      </c>
      <c r="R66" s="21">
        <f>1981304</f>
        <v>1981304</v>
      </c>
      <c r="S66" s="21">
        <f>2511343</f>
        <v>2511343</v>
      </c>
      <c r="T66" s="21">
        <f>2639759</f>
        <v>2639759</v>
      </c>
      <c r="U66" s="21">
        <f>1580389</f>
        <v>1580389</v>
      </c>
      <c r="V66" s="21">
        <f>17350+1182693</f>
        <v>1200043</v>
      </c>
      <c r="W66" s="21">
        <f>35662+1151091</f>
        <v>1186753</v>
      </c>
      <c r="X66" s="21">
        <f>22430+1379484</f>
        <v>1401914</v>
      </c>
      <c r="Y66" s="21">
        <f>5080+1620537</f>
        <v>1625617</v>
      </c>
      <c r="Z66" s="21">
        <f>2830+1583320</f>
        <v>1586150</v>
      </c>
      <c r="AA66" s="21">
        <f>2300+1644557</f>
        <v>1646857</v>
      </c>
      <c r="AB66" s="21">
        <f>4400+1900481</f>
        <v>1904881</v>
      </c>
      <c r="AC66" s="21">
        <f>3100+2080669</f>
        <v>2083769</v>
      </c>
      <c r="AD66" s="21">
        <f>6400+3513500</f>
        <v>3519900</v>
      </c>
      <c r="AE66" s="21">
        <f>2880+3140779</f>
        <v>3143659</v>
      </c>
      <c r="AF66" s="21">
        <v>4330</v>
      </c>
      <c r="AG66" s="21">
        <f>4450+2450729</f>
        <v>2455179</v>
      </c>
      <c r="AH66" s="21">
        <f>5400+2222053</f>
        <v>2227453</v>
      </c>
      <c r="AI66" s="21">
        <f>3011+2058175</f>
        <v>2061186</v>
      </c>
      <c r="AJ66" s="21">
        <f>3061+2304742</f>
        <v>2307803</v>
      </c>
      <c r="AK66" s="21">
        <f>3209+2253518</f>
        <v>2256727</v>
      </c>
      <c r="AL66" s="5"/>
    </row>
    <row r="67" spans="1:40" ht="13.5" customHeight="1" x14ac:dyDescent="0.2">
      <c r="A67" s="3"/>
      <c r="D67" s="1" t="s">
        <v>28</v>
      </c>
      <c r="E67" s="23"/>
      <c r="F67" s="31" t="s">
        <v>35</v>
      </c>
      <c r="G67" s="31" t="s">
        <v>35</v>
      </c>
      <c r="H67" s="31" t="s">
        <v>35</v>
      </c>
      <c r="I67" s="31" t="s">
        <v>35</v>
      </c>
      <c r="J67" s="31" t="s">
        <v>35</v>
      </c>
      <c r="K67" s="31" t="s">
        <v>35</v>
      </c>
      <c r="L67" s="31" t="s">
        <v>35</v>
      </c>
      <c r="M67" s="31" t="s">
        <v>35</v>
      </c>
      <c r="N67" s="31" t="s">
        <v>35</v>
      </c>
      <c r="O67" s="31" t="s">
        <v>35</v>
      </c>
      <c r="P67" s="31" t="s">
        <v>35</v>
      </c>
      <c r="Q67" s="24">
        <v>792975</v>
      </c>
      <c r="R67" s="24">
        <f>854870</f>
        <v>854870</v>
      </c>
      <c r="S67" s="24">
        <f>1103652</f>
        <v>1103652</v>
      </c>
      <c r="T67" s="24">
        <f>790279</f>
        <v>790279</v>
      </c>
      <c r="U67" s="24">
        <f>308236</f>
        <v>308236</v>
      </c>
      <c r="V67" s="24">
        <f>435169</f>
        <v>435169</v>
      </c>
      <c r="W67" s="24">
        <f>263071</f>
        <v>263071</v>
      </c>
      <c r="X67" s="24">
        <f>316631+200</f>
        <v>316831</v>
      </c>
      <c r="Y67" s="24">
        <f>306952</f>
        <v>306952</v>
      </c>
      <c r="Z67" s="24">
        <f>774957+0</f>
        <v>774957</v>
      </c>
      <c r="AA67" s="24">
        <f>836424+0</f>
        <v>836424</v>
      </c>
      <c r="AB67" s="24">
        <f>695576+0</f>
        <v>695576</v>
      </c>
      <c r="AC67" s="24">
        <f>648934+0</f>
        <v>648934</v>
      </c>
      <c r="AD67" s="24">
        <f>475525+0</f>
        <v>475525</v>
      </c>
      <c r="AE67" s="24">
        <f>688541+0</f>
        <v>688541</v>
      </c>
      <c r="AF67" s="24">
        <f>2844627+1329129</f>
        <v>4173756</v>
      </c>
      <c r="AG67" s="24">
        <f>1359980</f>
        <v>1359980</v>
      </c>
      <c r="AH67" s="24">
        <v>1292421</v>
      </c>
      <c r="AI67" s="24">
        <v>1330016</v>
      </c>
      <c r="AJ67" s="24">
        <v>1542912</v>
      </c>
      <c r="AK67" s="24">
        <v>1774526</v>
      </c>
      <c r="AL67" s="34"/>
    </row>
    <row r="68" spans="1:40" ht="13.5" customHeight="1" x14ac:dyDescent="0.2">
      <c r="A68" s="3"/>
      <c r="E68" s="21"/>
      <c r="F68" s="21">
        <f t="shared" ref="F68:AA68" si="128">SUM(F66:F67)</f>
        <v>2095662</v>
      </c>
      <c r="G68" s="21">
        <f t="shared" si="128"/>
        <v>1649943</v>
      </c>
      <c r="H68" s="21"/>
      <c r="I68" s="21">
        <f t="shared" si="128"/>
        <v>1929571</v>
      </c>
      <c r="J68" s="21">
        <f t="shared" si="128"/>
        <v>2065270</v>
      </c>
      <c r="K68" s="21">
        <f t="shared" si="128"/>
        <v>1982945</v>
      </c>
      <c r="L68" s="21">
        <f t="shared" si="128"/>
        <v>2144821</v>
      </c>
      <c r="M68" s="21">
        <f t="shared" ref="M68:O68" si="129">M66</f>
        <v>2043257</v>
      </c>
      <c r="N68" s="21">
        <f t="shared" si="129"/>
        <v>2212251</v>
      </c>
      <c r="O68" s="21">
        <f t="shared" si="129"/>
        <v>4071180</v>
      </c>
      <c r="P68" s="21">
        <f>P66</f>
        <v>4475662</v>
      </c>
      <c r="Q68" s="21">
        <f t="shared" si="128"/>
        <v>3118583</v>
      </c>
      <c r="R68" s="21">
        <f t="shared" si="128"/>
        <v>2836174</v>
      </c>
      <c r="S68" s="21">
        <f t="shared" si="128"/>
        <v>3614995</v>
      </c>
      <c r="T68" s="21">
        <f t="shared" si="128"/>
        <v>3430038</v>
      </c>
      <c r="U68" s="21">
        <f t="shared" si="128"/>
        <v>1888625</v>
      </c>
      <c r="V68" s="21">
        <f t="shared" si="128"/>
        <v>1635212</v>
      </c>
      <c r="W68" s="21">
        <f t="shared" si="128"/>
        <v>1449824</v>
      </c>
      <c r="X68" s="21">
        <f t="shared" si="128"/>
        <v>1718745</v>
      </c>
      <c r="Y68" s="21">
        <f t="shared" si="128"/>
        <v>1932569</v>
      </c>
      <c r="Z68" s="21">
        <f t="shared" si="128"/>
        <v>2361107</v>
      </c>
      <c r="AA68" s="21">
        <f t="shared" si="128"/>
        <v>2483281</v>
      </c>
      <c r="AB68" s="21">
        <f t="shared" ref="AB68:AC68" si="130">SUM(AB66:AB67)</f>
        <v>2600457</v>
      </c>
      <c r="AC68" s="21">
        <f t="shared" si="130"/>
        <v>2732703</v>
      </c>
      <c r="AD68" s="21">
        <f t="shared" ref="AD68:AE68" si="131">SUM(AD66:AD67)</f>
        <v>3995425</v>
      </c>
      <c r="AE68" s="21">
        <f t="shared" si="131"/>
        <v>3832200</v>
      </c>
      <c r="AF68" s="21">
        <f t="shared" ref="AF68:AG68" si="132">SUM(AF66:AF67)</f>
        <v>4178086</v>
      </c>
      <c r="AG68" s="21">
        <f t="shared" si="132"/>
        <v>3815159</v>
      </c>
      <c r="AH68" s="21">
        <f t="shared" ref="AH68:AI68" si="133">SUM(AH66:AH67)</f>
        <v>3519874</v>
      </c>
      <c r="AI68" s="21">
        <f t="shared" si="133"/>
        <v>3391202</v>
      </c>
      <c r="AJ68" s="21">
        <f t="shared" ref="AJ68:AK68" si="134">SUM(AJ66:AJ67)</f>
        <v>3850715</v>
      </c>
      <c r="AK68" s="21">
        <f t="shared" si="134"/>
        <v>4031253</v>
      </c>
      <c r="AL68" s="5"/>
    </row>
    <row r="69" spans="1:40" ht="13.5" customHeight="1" x14ac:dyDescent="0.2">
      <c r="A69" s="3"/>
      <c r="C69" s="2" t="s">
        <v>36</v>
      </c>
      <c r="D69" s="2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5"/>
    </row>
    <row r="70" spans="1:40" ht="13.5" customHeight="1" x14ac:dyDescent="0.2">
      <c r="A70" s="3"/>
      <c r="D70" s="1" t="s">
        <v>27</v>
      </c>
      <c r="E70" s="21"/>
      <c r="F70" s="21">
        <f>F46+F53+F59+F66</f>
        <v>13799778</v>
      </c>
      <c r="G70" s="21">
        <f>G46+G53+G59+G66</f>
        <v>15381127</v>
      </c>
      <c r="H70" s="21"/>
      <c r="I70" s="21">
        <f t="shared" ref="I70:AA71" si="135">I46+I53+I59+I66</f>
        <v>19970050</v>
      </c>
      <c r="J70" s="21">
        <f t="shared" si="135"/>
        <v>19940453</v>
      </c>
      <c r="K70" s="21">
        <f t="shared" si="135"/>
        <v>19278747</v>
      </c>
      <c r="L70" s="21">
        <f t="shared" si="135"/>
        <v>19869961</v>
      </c>
      <c r="M70" s="21">
        <f t="shared" si="135"/>
        <v>21976382</v>
      </c>
      <c r="N70" s="21">
        <f t="shared" si="135"/>
        <v>24213978</v>
      </c>
      <c r="O70" s="21">
        <f t="shared" si="135"/>
        <v>28184343</v>
      </c>
      <c r="P70" s="21">
        <f t="shared" si="135"/>
        <v>29138715</v>
      </c>
      <c r="Q70" s="21">
        <f t="shared" si="135"/>
        <v>30783756</v>
      </c>
      <c r="R70" s="21">
        <f t="shared" si="135"/>
        <v>32285553</v>
      </c>
      <c r="S70" s="21">
        <f t="shared" si="135"/>
        <v>35670745</v>
      </c>
      <c r="T70" s="21">
        <f t="shared" si="135"/>
        <v>39040570</v>
      </c>
      <c r="U70" s="21">
        <f t="shared" si="135"/>
        <v>46074916</v>
      </c>
      <c r="V70" s="21">
        <f t="shared" si="135"/>
        <v>50393437</v>
      </c>
      <c r="W70" s="21">
        <f t="shared" si="135"/>
        <v>44879857</v>
      </c>
      <c r="X70" s="21">
        <f t="shared" si="135"/>
        <v>45341255</v>
      </c>
      <c r="Y70" s="21">
        <f t="shared" si="135"/>
        <v>50395441</v>
      </c>
      <c r="Z70" s="21">
        <f t="shared" si="135"/>
        <v>50861214</v>
      </c>
      <c r="AA70" s="21">
        <f t="shared" si="135"/>
        <v>51809336</v>
      </c>
      <c r="AB70" s="21">
        <f t="shared" ref="AB70:AC70" si="136">AB46+AB53+AB59+AB66</f>
        <v>55131162</v>
      </c>
      <c r="AC70" s="21">
        <f t="shared" si="136"/>
        <v>56432439</v>
      </c>
      <c r="AD70" s="21">
        <f t="shared" ref="AD70:AE70" si="137">AD46+AD53+AD59+AD66</f>
        <v>56067455</v>
      </c>
      <c r="AE70" s="21">
        <f t="shared" si="137"/>
        <v>53659376</v>
      </c>
      <c r="AF70" s="21">
        <f t="shared" ref="AF70:AG70" si="138">AF46+AF53+AF59+AF66</f>
        <v>51417431</v>
      </c>
      <c r="AG70" s="21">
        <f t="shared" si="138"/>
        <v>57695120</v>
      </c>
      <c r="AH70" s="21">
        <f t="shared" ref="AH70:AI70" si="139">AH46+AH53+AH59+AH66</f>
        <v>55714142</v>
      </c>
      <c r="AI70" s="21">
        <f t="shared" si="139"/>
        <v>58343733</v>
      </c>
      <c r="AJ70" s="21">
        <f t="shared" ref="AJ70:AK70" si="140">AJ46+AJ53+AJ59+AJ66</f>
        <v>61703821</v>
      </c>
      <c r="AK70" s="21">
        <f t="shared" si="140"/>
        <v>62460606</v>
      </c>
      <c r="AL70" s="5"/>
    </row>
    <row r="71" spans="1:40" ht="13.5" customHeight="1" x14ac:dyDescent="0.2">
      <c r="A71" s="3"/>
      <c r="D71" s="1" t="s">
        <v>28</v>
      </c>
      <c r="E71" s="23"/>
      <c r="F71" s="23">
        <f>F47+F54+F60</f>
        <v>17504770</v>
      </c>
      <c r="G71" s="23">
        <f>G47+G54+G60</f>
        <v>21487185</v>
      </c>
      <c r="H71" s="23"/>
      <c r="I71" s="23">
        <f t="shared" ref="I71:N71" si="141">I47+I54+I60</f>
        <v>27784974</v>
      </c>
      <c r="J71" s="23">
        <f t="shared" si="141"/>
        <v>30033993</v>
      </c>
      <c r="K71" s="23">
        <f t="shared" si="141"/>
        <v>31017188</v>
      </c>
      <c r="L71" s="23">
        <f t="shared" si="141"/>
        <v>31496880</v>
      </c>
      <c r="M71" s="23">
        <f t="shared" si="141"/>
        <v>31791425</v>
      </c>
      <c r="N71" s="23">
        <f t="shared" si="141"/>
        <v>33036725</v>
      </c>
      <c r="O71" s="23">
        <f>O47+O54+O60</f>
        <v>34506217</v>
      </c>
      <c r="P71" s="23">
        <f>P47+P54+P60</f>
        <v>39131133</v>
      </c>
      <c r="Q71" s="23">
        <f>Q47+Q54+Q60+Q67</f>
        <v>41544181</v>
      </c>
      <c r="R71" s="23">
        <f>R47+R54+R60+R67</f>
        <v>42596037</v>
      </c>
      <c r="S71" s="23">
        <f>S47+S54+S60+S67</f>
        <v>44048300</v>
      </c>
      <c r="T71" s="23">
        <f>T47+T54+T60+T67</f>
        <v>46628471</v>
      </c>
      <c r="U71" s="23">
        <f t="shared" si="135"/>
        <v>50874205</v>
      </c>
      <c r="V71" s="23">
        <f t="shared" si="135"/>
        <v>52784939</v>
      </c>
      <c r="W71" s="23">
        <f t="shared" si="135"/>
        <v>58016226</v>
      </c>
      <c r="X71" s="23">
        <f t="shared" si="135"/>
        <v>61297370</v>
      </c>
      <c r="Y71" s="23">
        <f t="shared" si="135"/>
        <v>65205818</v>
      </c>
      <c r="Z71" s="23">
        <f t="shared" si="135"/>
        <v>64659841</v>
      </c>
      <c r="AA71" s="23">
        <f t="shared" si="135"/>
        <v>64477046</v>
      </c>
      <c r="AB71" s="23">
        <f t="shared" ref="AB71:AC71" si="142">AB47+AB54+AB60+AB67</f>
        <v>62544617</v>
      </c>
      <c r="AC71" s="23">
        <f t="shared" si="142"/>
        <v>58719666</v>
      </c>
      <c r="AD71" s="23">
        <f t="shared" ref="AD71:AE71" si="143">AD47+AD54+AD60+AD67</f>
        <v>58276184</v>
      </c>
      <c r="AE71" s="23">
        <f t="shared" si="143"/>
        <v>61005730</v>
      </c>
      <c r="AF71" s="23">
        <f t="shared" ref="AF71:AG71" si="144">AF47+AF54+AF60+AF67</f>
        <v>66119329</v>
      </c>
      <c r="AG71" s="23">
        <f t="shared" si="144"/>
        <v>64483398</v>
      </c>
      <c r="AH71" s="23">
        <f t="shared" ref="AH71:AI71" si="145">AH47+AH54+AH60+AH67</f>
        <v>70714932</v>
      </c>
      <c r="AI71" s="23">
        <f t="shared" si="145"/>
        <v>72127446</v>
      </c>
      <c r="AJ71" s="23">
        <f t="shared" ref="AJ71:AK71" si="146">AJ47+AJ54+AJ60+AJ67</f>
        <v>71234552</v>
      </c>
      <c r="AK71" s="23">
        <f t="shared" si="146"/>
        <v>72269454</v>
      </c>
      <c r="AL71" s="34"/>
    </row>
    <row r="72" spans="1:40" ht="13.5" customHeight="1" x14ac:dyDescent="0.2">
      <c r="A72" s="3"/>
      <c r="D72" s="1" t="s">
        <v>29</v>
      </c>
      <c r="E72" s="23"/>
      <c r="F72" s="24">
        <f>F48+F61</f>
        <v>15834052</v>
      </c>
      <c r="G72" s="24">
        <f>G48+G61</f>
        <v>16962191</v>
      </c>
      <c r="H72" s="24"/>
      <c r="I72" s="24">
        <f t="shared" ref="I72:AA72" si="147">I48+I61</f>
        <v>15640568</v>
      </c>
      <c r="J72" s="24">
        <f t="shared" si="147"/>
        <v>16511652</v>
      </c>
      <c r="K72" s="24">
        <f t="shared" si="147"/>
        <v>16462892</v>
      </c>
      <c r="L72" s="24">
        <f t="shared" si="147"/>
        <v>18088351</v>
      </c>
      <c r="M72" s="24">
        <f t="shared" si="147"/>
        <v>19232301</v>
      </c>
      <c r="N72" s="24">
        <f t="shared" si="147"/>
        <v>20260996</v>
      </c>
      <c r="O72" s="24">
        <f t="shared" si="147"/>
        <v>18516907</v>
      </c>
      <c r="P72" s="24">
        <f t="shared" si="147"/>
        <v>16851959</v>
      </c>
      <c r="Q72" s="24">
        <f t="shared" si="147"/>
        <v>25075942</v>
      </c>
      <c r="R72" s="24">
        <f t="shared" si="147"/>
        <v>25796563</v>
      </c>
      <c r="S72" s="24">
        <f t="shared" si="147"/>
        <v>23609653</v>
      </c>
      <c r="T72" s="24">
        <f t="shared" si="147"/>
        <v>25536164</v>
      </c>
      <c r="U72" s="24">
        <f t="shared" si="147"/>
        <v>27207294</v>
      </c>
      <c r="V72" s="24">
        <f t="shared" si="147"/>
        <v>27078350</v>
      </c>
      <c r="W72" s="24">
        <f t="shared" si="147"/>
        <v>19610807</v>
      </c>
      <c r="X72" s="24">
        <f t="shared" si="147"/>
        <v>20636061</v>
      </c>
      <c r="Y72" s="24">
        <f t="shared" si="147"/>
        <v>22330482</v>
      </c>
      <c r="Z72" s="24">
        <f t="shared" si="147"/>
        <v>22643086</v>
      </c>
      <c r="AA72" s="24">
        <f t="shared" si="147"/>
        <v>22811403</v>
      </c>
      <c r="AB72" s="24">
        <f t="shared" ref="AB72" si="148">AB48+AB61</f>
        <v>23214145</v>
      </c>
      <c r="AC72" s="24">
        <f t="shared" ref="AC72:AH72" si="149">AC48+AC61</f>
        <v>42749224</v>
      </c>
      <c r="AD72" s="24">
        <f t="shared" si="149"/>
        <v>43907458</v>
      </c>
      <c r="AE72" s="24">
        <f t="shared" si="149"/>
        <v>43959464</v>
      </c>
      <c r="AF72" s="24">
        <f t="shared" si="149"/>
        <v>42160418</v>
      </c>
      <c r="AG72" s="24">
        <f t="shared" si="149"/>
        <v>41735848</v>
      </c>
      <c r="AH72" s="24">
        <f t="shared" si="149"/>
        <v>38897487</v>
      </c>
      <c r="AI72" s="24">
        <f t="shared" ref="AI72:AJ72" si="150">AI48+AI61</f>
        <v>40801018</v>
      </c>
      <c r="AJ72" s="24">
        <f t="shared" si="150"/>
        <v>43137281</v>
      </c>
      <c r="AK72" s="24">
        <f t="shared" ref="AK72" si="151">AK48+AK61</f>
        <v>47455562</v>
      </c>
      <c r="AL72" s="34"/>
    </row>
    <row r="73" spans="1:40" ht="13.5" customHeight="1" x14ac:dyDescent="0.2">
      <c r="A73" s="3"/>
      <c r="E73" s="21"/>
      <c r="F73" s="21">
        <f t="shared" ref="F73:L73" si="152">SUM(F70:F72)</f>
        <v>47138600</v>
      </c>
      <c r="G73" s="21">
        <f t="shared" si="152"/>
        <v>53830503</v>
      </c>
      <c r="H73" s="21">
        <v>60126883</v>
      </c>
      <c r="I73" s="21">
        <f t="shared" si="152"/>
        <v>63395592</v>
      </c>
      <c r="J73" s="21">
        <f t="shared" si="152"/>
        <v>66486098</v>
      </c>
      <c r="K73" s="21">
        <f t="shared" si="152"/>
        <v>66758827</v>
      </c>
      <c r="L73" s="21">
        <f t="shared" si="152"/>
        <v>69455192</v>
      </c>
      <c r="M73" s="21">
        <f t="shared" ref="M73:AA73" si="153">SUM(M70:M72)</f>
        <v>73000108</v>
      </c>
      <c r="N73" s="21">
        <f t="shared" si="153"/>
        <v>77511699</v>
      </c>
      <c r="O73" s="21">
        <f t="shared" si="153"/>
        <v>81207467</v>
      </c>
      <c r="P73" s="21">
        <f t="shared" si="153"/>
        <v>85121807</v>
      </c>
      <c r="Q73" s="21">
        <f t="shared" si="153"/>
        <v>97403879</v>
      </c>
      <c r="R73" s="21">
        <f t="shared" si="153"/>
        <v>100678153</v>
      </c>
      <c r="S73" s="21">
        <f t="shared" si="153"/>
        <v>103328698</v>
      </c>
      <c r="T73" s="21">
        <f t="shared" si="153"/>
        <v>111205205</v>
      </c>
      <c r="U73" s="21">
        <f t="shared" si="153"/>
        <v>124156415</v>
      </c>
      <c r="V73" s="21">
        <f t="shared" si="153"/>
        <v>130256726</v>
      </c>
      <c r="W73" s="21">
        <f t="shared" si="153"/>
        <v>122506890</v>
      </c>
      <c r="X73" s="21">
        <f t="shared" si="153"/>
        <v>127274686</v>
      </c>
      <c r="Y73" s="21">
        <f t="shared" si="153"/>
        <v>137931741</v>
      </c>
      <c r="Z73" s="21">
        <f t="shared" si="153"/>
        <v>138164141</v>
      </c>
      <c r="AA73" s="21">
        <f t="shared" si="153"/>
        <v>139097785</v>
      </c>
      <c r="AB73" s="21">
        <f t="shared" ref="AB73:AC73" si="154">SUM(AB70:AB72)</f>
        <v>140889924</v>
      </c>
      <c r="AC73" s="21">
        <f t="shared" si="154"/>
        <v>157901329</v>
      </c>
      <c r="AD73" s="21">
        <f t="shared" ref="AD73:AE73" si="155">SUM(AD70:AD72)</f>
        <v>158251097</v>
      </c>
      <c r="AE73" s="21">
        <f t="shared" si="155"/>
        <v>158624570</v>
      </c>
      <c r="AF73" s="21">
        <f t="shared" ref="AF73:AG73" si="156">SUM(AF70:AF72)</f>
        <v>159697178</v>
      </c>
      <c r="AG73" s="21">
        <f t="shared" si="156"/>
        <v>163914366</v>
      </c>
      <c r="AH73" s="21">
        <f t="shared" ref="AH73:AI73" si="157">SUM(AH70:AH72)</f>
        <v>165326561</v>
      </c>
      <c r="AI73" s="21">
        <f t="shared" si="157"/>
        <v>171272197</v>
      </c>
      <c r="AJ73" s="21">
        <f t="shared" ref="AJ73:AK73" si="158">SUM(AJ70:AJ72)</f>
        <v>176075654</v>
      </c>
      <c r="AK73" s="21">
        <f t="shared" si="158"/>
        <v>182185622</v>
      </c>
      <c r="AL73" s="5"/>
    </row>
    <row r="74" spans="1:40" ht="13.5" customHeight="1" x14ac:dyDescent="0.2">
      <c r="A74" s="3"/>
      <c r="C74" s="2" t="s">
        <v>37</v>
      </c>
      <c r="D74" s="2"/>
      <c r="L74" s="21"/>
      <c r="AL74" s="5"/>
    </row>
    <row r="75" spans="1:40" ht="13.5" customHeight="1" x14ac:dyDescent="0.2">
      <c r="A75" s="3"/>
      <c r="D75" s="1" t="s">
        <v>38</v>
      </c>
      <c r="F75" s="32">
        <v>1976</v>
      </c>
      <c r="G75" s="32">
        <v>2101</v>
      </c>
      <c r="H75" s="32"/>
      <c r="I75" s="32">
        <v>2512</v>
      </c>
      <c r="J75" s="32">
        <v>2513</v>
      </c>
      <c r="K75" s="32">
        <v>2313</v>
      </c>
      <c r="L75" s="32">
        <v>2304</v>
      </c>
      <c r="M75" s="32">
        <v>2277</v>
      </c>
      <c r="N75" s="32">
        <v>2306</v>
      </c>
      <c r="O75" s="32">
        <v>2404</v>
      </c>
      <c r="P75" s="32">
        <v>2560</v>
      </c>
      <c r="Q75" s="32">
        <v>2574</v>
      </c>
      <c r="R75" s="32">
        <v>2501</v>
      </c>
      <c r="S75" s="32">
        <v>2541</v>
      </c>
      <c r="T75" s="32">
        <v>2650</v>
      </c>
      <c r="U75" s="32">
        <v>3066</v>
      </c>
      <c r="V75" s="32">
        <v>2917</v>
      </c>
      <c r="W75" s="32">
        <v>3259</v>
      </c>
      <c r="X75" s="32">
        <f>3288</f>
        <v>3288</v>
      </c>
      <c r="Y75" s="32">
        <v>3373</v>
      </c>
      <c r="Z75" s="32">
        <v>913</v>
      </c>
      <c r="AA75" s="32">
        <v>938</v>
      </c>
      <c r="AB75" s="32">
        <v>822</v>
      </c>
      <c r="AC75" s="32">
        <v>583</v>
      </c>
      <c r="AD75" s="32">
        <v>528</v>
      </c>
      <c r="AE75" s="32">
        <v>419</v>
      </c>
      <c r="AF75" s="32">
        <v>443</v>
      </c>
      <c r="AG75" s="32">
        <v>477</v>
      </c>
      <c r="AH75" s="32">
        <v>453</v>
      </c>
      <c r="AI75" s="32">
        <v>443</v>
      </c>
      <c r="AJ75" s="32">
        <v>454</v>
      </c>
      <c r="AK75" s="32">
        <v>378</v>
      </c>
      <c r="AL75" s="5"/>
      <c r="AN75" s="32"/>
    </row>
    <row r="76" spans="1:40" ht="13.5" customHeight="1" x14ac:dyDescent="0.2">
      <c r="A76" s="15"/>
      <c r="D76" s="1" t="s">
        <v>39</v>
      </c>
      <c r="F76" s="33">
        <v>3195</v>
      </c>
      <c r="G76" s="33">
        <v>2974</v>
      </c>
      <c r="H76" s="33"/>
      <c r="I76" s="33">
        <v>3292</v>
      </c>
      <c r="J76" s="33">
        <v>3580</v>
      </c>
      <c r="K76" s="33">
        <v>2807</v>
      </c>
      <c r="L76" s="33">
        <v>2550</v>
      </c>
      <c r="M76" s="33">
        <v>2755</v>
      </c>
      <c r="N76" s="33">
        <v>3020</v>
      </c>
      <c r="O76" s="33">
        <v>3663</v>
      </c>
      <c r="P76" s="33">
        <v>3448</v>
      </c>
      <c r="Q76" s="33">
        <v>3419</v>
      </c>
      <c r="R76" s="33">
        <v>3254</v>
      </c>
      <c r="S76" s="33">
        <v>3456</v>
      </c>
      <c r="T76" s="33">
        <v>3613</v>
      </c>
      <c r="U76" s="33">
        <v>3898</v>
      </c>
      <c r="V76" s="33">
        <v>3490</v>
      </c>
      <c r="W76" s="33">
        <v>3562</v>
      </c>
      <c r="X76" s="33">
        <v>3630</v>
      </c>
      <c r="Y76" s="33">
        <v>3694</v>
      </c>
      <c r="Z76" s="33">
        <v>6086</v>
      </c>
      <c r="AA76" s="33">
        <v>5933</v>
      </c>
      <c r="AB76" s="33">
        <v>6116</v>
      </c>
      <c r="AC76" s="33">
        <v>6148</v>
      </c>
      <c r="AD76" s="33">
        <v>6238</v>
      </c>
      <c r="AE76" s="33">
        <v>6101</v>
      </c>
      <c r="AF76" s="33">
        <v>6387</v>
      </c>
      <c r="AG76" s="33">
        <v>7070</v>
      </c>
      <c r="AH76" s="33">
        <v>6846</v>
      </c>
      <c r="AI76" s="33">
        <v>6186</v>
      </c>
      <c r="AJ76" s="33">
        <v>6007</v>
      </c>
      <c r="AK76" s="33">
        <v>6324</v>
      </c>
      <c r="AL76" s="5"/>
    </row>
    <row r="77" spans="1:40" ht="13.5" customHeight="1" x14ac:dyDescent="0.2">
      <c r="A77" s="15"/>
      <c r="F77" s="32">
        <f t="shared" ref="F77:AA77" si="159">SUM(F75:F76)</f>
        <v>5171</v>
      </c>
      <c r="G77" s="32">
        <f t="shared" si="159"/>
        <v>5075</v>
      </c>
      <c r="H77" s="32"/>
      <c r="I77" s="32">
        <f t="shared" si="159"/>
        <v>5804</v>
      </c>
      <c r="J77" s="32">
        <f t="shared" si="159"/>
        <v>6093</v>
      </c>
      <c r="K77" s="32">
        <f t="shared" si="159"/>
        <v>5120</v>
      </c>
      <c r="L77" s="32">
        <f t="shared" si="159"/>
        <v>4854</v>
      </c>
      <c r="M77" s="32">
        <f t="shared" si="159"/>
        <v>5032</v>
      </c>
      <c r="N77" s="32">
        <f t="shared" si="159"/>
        <v>5326</v>
      </c>
      <c r="O77" s="32">
        <f t="shared" si="159"/>
        <v>6067</v>
      </c>
      <c r="P77" s="32">
        <f t="shared" si="159"/>
        <v>6008</v>
      </c>
      <c r="Q77" s="32">
        <f t="shared" si="159"/>
        <v>5993</v>
      </c>
      <c r="R77" s="32">
        <f t="shared" si="159"/>
        <v>5755</v>
      </c>
      <c r="S77" s="32">
        <f t="shared" si="159"/>
        <v>5997</v>
      </c>
      <c r="T77" s="32">
        <f t="shared" si="159"/>
        <v>6263</v>
      </c>
      <c r="U77" s="32">
        <f t="shared" si="159"/>
        <v>6964</v>
      </c>
      <c r="V77" s="32">
        <f t="shared" si="159"/>
        <v>6407</v>
      </c>
      <c r="W77" s="32">
        <f t="shared" si="159"/>
        <v>6821</v>
      </c>
      <c r="X77" s="32">
        <f t="shared" si="159"/>
        <v>6918</v>
      </c>
      <c r="Y77" s="32">
        <f t="shared" si="159"/>
        <v>7067</v>
      </c>
      <c r="Z77" s="32">
        <f t="shared" si="159"/>
        <v>6999</v>
      </c>
      <c r="AA77" s="32">
        <f t="shared" si="159"/>
        <v>6871</v>
      </c>
      <c r="AB77" s="32">
        <f t="shared" ref="AB77:AC77" si="160">SUM(AB75:AB76)</f>
        <v>6938</v>
      </c>
      <c r="AC77" s="32">
        <f t="shared" si="160"/>
        <v>6731</v>
      </c>
      <c r="AD77" s="32">
        <f t="shared" ref="AD77:AE77" si="161">SUM(AD75:AD76)</f>
        <v>6766</v>
      </c>
      <c r="AE77" s="32">
        <f t="shared" si="161"/>
        <v>6520</v>
      </c>
      <c r="AF77" s="32">
        <f t="shared" ref="AF77:AG77" si="162">SUM(AF75:AF76)</f>
        <v>6830</v>
      </c>
      <c r="AG77" s="32">
        <f t="shared" si="162"/>
        <v>7547</v>
      </c>
      <c r="AH77" s="32">
        <f t="shared" ref="AH77:AI77" si="163">SUM(AH75:AH76)</f>
        <v>7299</v>
      </c>
      <c r="AI77" s="32">
        <f t="shared" si="163"/>
        <v>6629</v>
      </c>
      <c r="AJ77" s="32">
        <f t="shared" ref="AJ77:AK77" si="164">SUM(AJ75:AJ76)</f>
        <v>6461</v>
      </c>
      <c r="AK77" s="32">
        <f t="shared" si="164"/>
        <v>6702</v>
      </c>
      <c r="AL77" s="5"/>
    </row>
    <row r="78" spans="1:40" ht="13.5" customHeight="1" x14ac:dyDescent="0.2">
      <c r="A78" s="15"/>
      <c r="AL78" s="17"/>
    </row>
    <row r="79" spans="1:40" ht="13.5" customHeight="1" x14ac:dyDescent="0.2">
      <c r="A79" s="15"/>
      <c r="AL79" s="17"/>
    </row>
    <row r="80" spans="1:40" ht="13.5" customHeight="1" x14ac:dyDescent="0.2">
      <c r="A80" s="15"/>
      <c r="F80" s="36" t="s">
        <v>3</v>
      </c>
      <c r="G80" s="36" t="s">
        <v>4</v>
      </c>
      <c r="H80" s="36" t="s">
        <v>5</v>
      </c>
      <c r="I80" s="36" t="s">
        <v>6</v>
      </c>
      <c r="J80" s="36" t="s">
        <v>7</v>
      </c>
      <c r="K80" s="36" t="s">
        <v>8</v>
      </c>
      <c r="L80" s="36" t="s">
        <v>9</v>
      </c>
      <c r="M80" s="36" t="s">
        <v>10</v>
      </c>
      <c r="N80" s="36" t="s">
        <v>11</v>
      </c>
      <c r="O80" s="36" t="s">
        <v>12</v>
      </c>
      <c r="P80" s="36" t="s">
        <v>13</v>
      </c>
      <c r="Q80" s="36" t="s">
        <v>14</v>
      </c>
      <c r="R80" s="36" t="s">
        <v>15</v>
      </c>
      <c r="S80" s="36" t="s">
        <v>16</v>
      </c>
      <c r="T80" s="36" t="s">
        <v>17</v>
      </c>
      <c r="U80" s="36" t="s">
        <v>18</v>
      </c>
      <c r="V80" s="36" t="s">
        <v>19</v>
      </c>
      <c r="W80" s="36" t="s">
        <v>20</v>
      </c>
      <c r="X80" s="36" t="s">
        <v>21</v>
      </c>
      <c r="Y80" s="36" t="s">
        <v>22</v>
      </c>
      <c r="Z80" s="36" t="s">
        <v>23</v>
      </c>
      <c r="AA80" s="36" t="s">
        <v>24</v>
      </c>
      <c r="AB80" s="36" t="s">
        <v>51</v>
      </c>
      <c r="AC80" s="36" t="s">
        <v>52</v>
      </c>
      <c r="AD80" s="36" t="s">
        <v>53</v>
      </c>
      <c r="AE80" s="36" t="s">
        <v>54</v>
      </c>
      <c r="AF80" s="36" t="s">
        <v>55</v>
      </c>
      <c r="AG80" s="36" t="s">
        <v>56</v>
      </c>
      <c r="AH80" s="36" t="s">
        <v>57</v>
      </c>
      <c r="AI80" s="36" t="s">
        <v>58</v>
      </c>
      <c r="AJ80" s="36" t="s">
        <v>59</v>
      </c>
      <c r="AK80" s="36" t="s">
        <v>60</v>
      </c>
      <c r="AL80" s="17"/>
    </row>
    <row r="81" spans="1:38" ht="13.5" customHeight="1" x14ac:dyDescent="0.2">
      <c r="A81" s="15"/>
      <c r="AL81" s="17"/>
    </row>
    <row r="82" spans="1:38" ht="13.5" customHeight="1" x14ac:dyDescent="0.2">
      <c r="A82" s="15"/>
      <c r="B82" s="18" t="s">
        <v>41</v>
      </c>
      <c r="C82" s="19"/>
      <c r="D82" s="19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5"/>
    </row>
    <row r="83" spans="1:38" ht="13.5" customHeight="1" x14ac:dyDescent="0.2">
      <c r="A83" s="15"/>
      <c r="C83" s="2" t="s">
        <v>26</v>
      </c>
      <c r="D83" s="2"/>
      <c r="AL83" s="5"/>
    </row>
    <row r="84" spans="1:38" ht="13.5" customHeight="1" x14ac:dyDescent="0.2">
      <c r="A84" s="15"/>
      <c r="D84" s="1" t="s">
        <v>27</v>
      </c>
      <c r="E84" s="21"/>
      <c r="F84" s="21">
        <f t="shared" ref="F84:G86" si="165">F11+F46</f>
        <v>7813077</v>
      </c>
      <c r="G84" s="21">
        <f t="shared" si="165"/>
        <v>6543291</v>
      </c>
      <c r="H84" s="21"/>
      <c r="I84" s="21">
        <f t="shared" ref="I84:AA86" si="166">I11+I46</f>
        <v>6897816</v>
      </c>
      <c r="J84" s="21">
        <f t="shared" si="166"/>
        <v>6950875</v>
      </c>
      <c r="K84" s="21">
        <f t="shared" si="166"/>
        <v>7688137</v>
      </c>
      <c r="L84" s="21">
        <f t="shared" si="166"/>
        <v>8270753</v>
      </c>
      <c r="M84" s="21">
        <f t="shared" si="166"/>
        <v>7860949</v>
      </c>
      <c r="N84" s="21">
        <f t="shared" si="166"/>
        <v>8625968</v>
      </c>
      <c r="O84" s="21">
        <f t="shared" si="166"/>
        <v>9805758</v>
      </c>
      <c r="P84" s="21">
        <f t="shared" si="166"/>
        <v>11033601</v>
      </c>
      <c r="Q84" s="21">
        <f t="shared" si="166"/>
        <v>12001834</v>
      </c>
      <c r="R84" s="21">
        <f t="shared" si="166"/>
        <v>12046965</v>
      </c>
      <c r="S84" s="21">
        <f t="shared" si="166"/>
        <v>12622822</v>
      </c>
      <c r="T84" s="21">
        <f t="shared" si="166"/>
        <v>15524735</v>
      </c>
      <c r="U84" s="21">
        <f t="shared" si="166"/>
        <v>17346579</v>
      </c>
      <c r="V84" s="21">
        <f t="shared" si="166"/>
        <v>20241958</v>
      </c>
      <c r="W84" s="21">
        <f t="shared" si="166"/>
        <v>27233610</v>
      </c>
      <c r="X84" s="21">
        <f t="shared" si="166"/>
        <v>30440084</v>
      </c>
      <c r="Y84" s="21">
        <f t="shared" si="166"/>
        <v>30082880</v>
      </c>
      <c r="Z84" s="21">
        <f t="shared" si="166"/>
        <v>29504510</v>
      </c>
      <c r="AA84" s="21">
        <f t="shared" si="166"/>
        <v>28970436</v>
      </c>
      <c r="AB84" s="21">
        <f t="shared" ref="AB84:AC84" si="167">AB11+AB46</f>
        <v>34190905</v>
      </c>
      <c r="AC84" s="21">
        <f t="shared" si="167"/>
        <v>31689409</v>
      </c>
      <c r="AD84" s="21">
        <f t="shared" ref="AD84:AE84" si="168">AD11+AD46</f>
        <v>28954856</v>
      </c>
      <c r="AE84" s="21">
        <f t="shared" si="168"/>
        <v>28445124</v>
      </c>
      <c r="AF84" s="21">
        <f t="shared" ref="AF84:AG84" si="169">AF11+AF46</f>
        <v>29695364</v>
      </c>
      <c r="AG84" s="21">
        <f t="shared" si="169"/>
        <v>38671462</v>
      </c>
      <c r="AH84" s="21">
        <f t="shared" ref="AH84:AI84" si="170">AH11+AH46</f>
        <v>35949118</v>
      </c>
      <c r="AI84" s="21">
        <f t="shared" si="170"/>
        <v>55022569</v>
      </c>
      <c r="AJ84" s="21">
        <f t="shared" ref="AJ84:AK84" si="171">AJ11+AJ46</f>
        <v>35471464</v>
      </c>
      <c r="AK84" s="21">
        <f t="shared" si="171"/>
        <v>36331062</v>
      </c>
      <c r="AL84" s="5"/>
    </row>
    <row r="85" spans="1:38" ht="13.5" customHeight="1" x14ac:dyDescent="0.2">
      <c r="A85" s="15"/>
      <c r="D85" s="1" t="s">
        <v>28</v>
      </c>
      <c r="E85" s="23"/>
      <c r="F85" s="23">
        <f t="shared" si="165"/>
        <v>35692543</v>
      </c>
      <c r="G85" s="23">
        <f t="shared" si="165"/>
        <v>47683581</v>
      </c>
      <c r="H85" s="23"/>
      <c r="I85" s="23">
        <f t="shared" si="166"/>
        <v>61240148</v>
      </c>
      <c r="J85" s="23">
        <f t="shared" si="166"/>
        <v>67434236</v>
      </c>
      <c r="K85" s="23">
        <f t="shared" si="166"/>
        <v>70607387</v>
      </c>
      <c r="L85" s="23">
        <f t="shared" si="166"/>
        <v>74940109</v>
      </c>
      <c r="M85" s="23">
        <f t="shared" si="166"/>
        <v>76857524</v>
      </c>
      <c r="N85" s="23">
        <f t="shared" si="166"/>
        <v>79434535</v>
      </c>
      <c r="O85" s="23">
        <f t="shared" si="166"/>
        <v>83706460</v>
      </c>
      <c r="P85" s="23">
        <f t="shared" si="166"/>
        <v>97057240</v>
      </c>
      <c r="Q85" s="23">
        <f t="shared" si="166"/>
        <v>106382198</v>
      </c>
      <c r="R85" s="23">
        <f t="shared" si="166"/>
        <v>118716681</v>
      </c>
      <c r="S85" s="23">
        <f t="shared" si="166"/>
        <v>125312387</v>
      </c>
      <c r="T85" s="23">
        <f t="shared" si="166"/>
        <v>126448465</v>
      </c>
      <c r="U85" s="23">
        <f t="shared" si="166"/>
        <v>136588914</v>
      </c>
      <c r="V85" s="23">
        <f t="shared" si="166"/>
        <v>156577398</v>
      </c>
      <c r="W85" s="23">
        <f t="shared" si="166"/>
        <v>178406434</v>
      </c>
      <c r="X85" s="23">
        <f t="shared" si="166"/>
        <v>191805497</v>
      </c>
      <c r="Y85" s="23">
        <f t="shared" si="166"/>
        <v>204051543</v>
      </c>
      <c r="Z85" s="23">
        <f t="shared" si="166"/>
        <v>200160249</v>
      </c>
      <c r="AA85" s="23">
        <f t="shared" si="166"/>
        <v>195830523</v>
      </c>
      <c r="AB85" s="23">
        <f t="shared" ref="AB85:AC85" si="172">AB12+AB47</f>
        <v>196433633</v>
      </c>
      <c r="AC85" s="23">
        <f t="shared" si="172"/>
        <v>190487464</v>
      </c>
      <c r="AD85" s="23">
        <f t="shared" ref="AD85:AE85" si="173">AD12+AD47</f>
        <v>185586204</v>
      </c>
      <c r="AE85" s="23">
        <f t="shared" si="173"/>
        <v>174834619</v>
      </c>
      <c r="AF85" s="23">
        <f t="shared" ref="AF85:AG85" si="174">AF12+AF47</f>
        <v>163481279</v>
      </c>
      <c r="AG85" s="23">
        <f t="shared" si="174"/>
        <v>165390705</v>
      </c>
      <c r="AH85" s="23">
        <f t="shared" ref="AH85:AI85" si="175">AH12+AH47</f>
        <v>166802898</v>
      </c>
      <c r="AI85" s="23">
        <f t="shared" si="175"/>
        <v>163222403</v>
      </c>
      <c r="AJ85" s="23">
        <f t="shared" ref="AJ85:AK85" si="176">AJ12+AJ47</f>
        <v>163351493</v>
      </c>
      <c r="AK85" s="23">
        <f t="shared" si="176"/>
        <v>172239125</v>
      </c>
      <c r="AL85" s="5"/>
    </row>
    <row r="86" spans="1:38" ht="13.5" customHeight="1" x14ac:dyDescent="0.2">
      <c r="A86" s="15"/>
      <c r="D86" s="1" t="s">
        <v>29</v>
      </c>
      <c r="E86" s="23"/>
      <c r="F86" s="24">
        <f t="shared" si="165"/>
        <v>1155140</v>
      </c>
      <c r="G86" s="24">
        <f t="shared" si="165"/>
        <v>1083396</v>
      </c>
      <c r="H86" s="24"/>
      <c r="I86" s="24">
        <f t="shared" si="166"/>
        <v>1151624</v>
      </c>
      <c r="J86" s="24">
        <f t="shared" si="166"/>
        <v>1100480</v>
      </c>
      <c r="K86" s="24">
        <f t="shared" si="166"/>
        <v>1564982</v>
      </c>
      <c r="L86" s="24">
        <f t="shared" si="166"/>
        <v>1438895</v>
      </c>
      <c r="M86" s="24">
        <f t="shared" si="166"/>
        <v>1169219</v>
      </c>
      <c r="N86" s="24">
        <f t="shared" si="166"/>
        <v>1793206</v>
      </c>
      <c r="O86" s="24">
        <f t="shared" si="166"/>
        <v>1288781</v>
      </c>
      <c r="P86" s="24">
        <f t="shared" si="166"/>
        <v>1732276</v>
      </c>
      <c r="Q86" s="24">
        <f t="shared" si="166"/>
        <v>2191026</v>
      </c>
      <c r="R86" s="24">
        <f t="shared" si="166"/>
        <v>1646478</v>
      </c>
      <c r="S86" s="24">
        <f t="shared" si="166"/>
        <v>1416895</v>
      </c>
      <c r="T86" s="24">
        <f t="shared" si="166"/>
        <v>1683471</v>
      </c>
      <c r="U86" s="24">
        <f t="shared" si="166"/>
        <v>1169251</v>
      </c>
      <c r="V86" s="24">
        <f t="shared" si="166"/>
        <v>1748865</v>
      </c>
      <c r="W86" s="24">
        <f t="shared" si="166"/>
        <v>1615833</v>
      </c>
      <c r="X86" s="24">
        <f t="shared" si="166"/>
        <v>1623939</v>
      </c>
      <c r="Y86" s="24">
        <f t="shared" si="166"/>
        <v>1807968</v>
      </c>
      <c r="Z86" s="24">
        <f t="shared" si="166"/>
        <v>1434892</v>
      </c>
      <c r="AA86" s="24">
        <f t="shared" si="166"/>
        <v>1588323</v>
      </c>
      <c r="AB86" s="24">
        <f t="shared" ref="AB86:AC86" si="177">AB13+AB48</f>
        <v>1527163</v>
      </c>
      <c r="AC86" s="24">
        <f t="shared" si="177"/>
        <v>1452198</v>
      </c>
      <c r="AD86" s="24">
        <f t="shared" ref="AD86:AE86" si="178">AD13+AD48</f>
        <v>1414507</v>
      </c>
      <c r="AE86" s="24">
        <f t="shared" si="178"/>
        <v>1372674</v>
      </c>
      <c r="AF86" s="24">
        <f t="shared" ref="AF86:AG86" si="179">AF13+AF48</f>
        <v>1331690</v>
      </c>
      <c r="AG86" s="24">
        <f t="shared" si="179"/>
        <v>1292484</v>
      </c>
      <c r="AH86" s="24">
        <f t="shared" ref="AH86:AI86" si="180">AH13+AH48</f>
        <v>1159980</v>
      </c>
      <c r="AI86" s="24">
        <f t="shared" si="180"/>
        <v>1154584.5</v>
      </c>
      <c r="AJ86" s="24">
        <f t="shared" ref="AJ86:AK86" si="181">AJ13+AJ48</f>
        <v>1122632</v>
      </c>
      <c r="AK86" s="24">
        <f t="shared" si="181"/>
        <v>1326713</v>
      </c>
      <c r="AL86" s="5"/>
    </row>
    <row r="87" spans="1:38" ht="13.5" customHeight="1" x14ac:dyDescent="0.2">
      <c r="A87" s="15"/>
      <c r="F87" s="21">
        <f>SUM(F84:F86)</f>
        <v>44660760</v>
      </c>
      <c r="G87" s="21">
        <f>SUM(G84:G86)</f>
        <v>55310268</v>
      </c>
      <c r="I87" s="21">
        <f t="shared" ref="I87:AA87" si="182">SUM(I84:I86)</f>
        <v>69289588</v>
      </c>
      <c r="J87" s="21">
        <f t="shared" si="182"/>
        <v>75485591</v>
      </c>
      <c r="K87" s="21">
        <f t="shared" si="182"/>
        <v>79860506</v>
      </c>
      <c r="L87" s="21">
        <f t="shared" si="182"/>
        <v>84649757</v>
      </c>
      <c r="M87" s="21">
        <f t="shared" si="182"/>
        <v>85887692</v>
      </c>
      <c r="N87" s="21">
        <f t="shared" si="182"/>
        <v>89853709</v>
      </c>
      <c r="O87" s="21">
        <f t="shared" si="182"/>
        <v>94800999</v>
      </c>
      <c r="P87" s="21">
        <f t="shared" si="182"/>
        <v>109823117</v>
      </c>
      <c r="Q87" s="21">
        <f t="shared" si="182"/>
        <v>120575058</v>
      </c>
      <c r="R87" s="21">
        <f t="shared" si="182"/>
        <v>132410124</v>
      </c>
      <c r="S87" s="21">
        <f t="shared" si="182"/>
        <v>139352104</v>
      </c>
      <c r="T87" s="21">
        <f t="shared" si="182"/>
        <v>143656671</v>
      </c>
      <c r="U87" s="21">
        <f t="shared" si="182"/>
        <v>155104744</v>
      </c>
      <c r="V87" s="21">
        <f t="shared" si="182"/>
        <v>178568221</v>
      </c>
      <c r="W87" s="21">
        <f t="shared" si="182"/>
        <v>207255877</v>
      </c>
      <c r="X87" s="21">
        <f t="shared" si="182"/>
        <v>223869520</v>
      </c>
      <c r="Y87" s="21">
        <f t="shared" si="182"/>
        <v>235942391</v>
      </c>
      <c r="Z87" s="21">
        <f t="shared" si="182"/>
        <v>231099651</v>
      </c>
      <c r="AA87" s="21">
        <f t="shared" si="182"/>
        <v>226389282</v>
      </c>
      <c r="AB87" s="21">
        <f t="shared" ref="AB87:AC87" si="183">SUM(AB84:AB86)</f>
        <v>232151701</v>
      </c>
      <c r="AC87" s="21">
        <f t="shared" si="183"/>
        <v>223629071</v>
      </c>
      <c r="AD87" s="21">
        <f t="shared" ref="AD87:AE87" si="184">SUM(AD84:AD86)</f>
        <v>215955567</v>
      </c>
      <c r="AE87" s="21">
        <f t="shared" si="184"/>
        <v>204652417</v>
      </c>
      <c r="AF87" s="21">
        <f t="shared" ref="AF87:AG87" si="185">SUM(AF84:AF86)</f>
        <v>194508333</v>
      </c>
      <c r="AG87" s="21">
        <f t="shared" si="185"/>
        <v>205354651</v>
      </c>
      <c r="AH87" s="21">
        <f t="shared" ref="AH87:AI87" si="186">SUM(AH84:AH86)</f>
        <v>203911996</v>
      </c>
      <c r="AI87" s="21">
        <f t="shared" si="186"/>
        <v>219399556.5</v>
      </c>
      <c r="AJ87" s="21">
        <f t="shared" ref="AJ87:AK87" si="187">SUM(AJ84:AJ86)</f>
        <v>199945589</v>
      </c>
      <c r="AK87" s="21">
        <f t="shared" si="187"/>
        <v>209896900</v>
      </c>
      <c r="AL87" s="5"/>
    </row>
    <row r="88" spans="1:38" ht="13.5" hidden="1" customHeight="1" x14ac:dyDescent="0.2">
      <c r="A88" s="15"/>
      <c r="D88" s="26"/>
      <c r="E88" s="27"/>
      <c r="F88" s="28">
        <f>F15+F50</f>
        <v>-809579</v>
      </c>
      <c r="G88" s="28">
        <f>G15+G50</f>
        <v>-653695</v>
      </c>
      <c r="H88" s="30"/>
      <c r="I88" s="28">
        <f t="shared" ref="I88:AA88" si="188">I15+I50</f>
        <v>-878054</v>
      </c>
      <c r="J88" s="28">
        <f t="shared" si="188"/>
        <v>-838069</v>
      </c>
      <c r="K88" s="28">
        <f t="shared" si="188"/>
        <v>-1045084</v>
      </c>
      <c r="L88" s="28">
        <f t="shared" si="188"/>
        <v>-934419</v>
      </c>
      <c r="M88" s="28">
        <f t="shared" si="188"/>
        <v>-923007</v>
      </c>
      <c r="N88" s="28">
        <f t="shared" si="188"/>
        <v>-925553</v>
      </c>
      <c r="O88" s="28">
        <f t="shared" si="188"/>
        <v>-990138</v>
      </c>
      <c r="P88" s="28">
        <f t="shared" si="188"/>
        <v>-1087240</v>
      </c>
      <c r="Q88" s="28">
        <f t="shared" si="188"/>
        <v>-1640080</v>
      </c>
      <c r="R88" s="28">
        <f t="shared" si="188"/>
        <v>-1469753</v>
      </c>
      <c r="S88" s="28">
        <f t="shared" si="188"/>
        <v>-1402669</v>
      </c>
      <c r="T88" s="28">
        <f t="shared" si="188"/>
        <v>-1370202</v>
      </c>
      <c r="U88" s="28">
        <f t="shared" si="188"/>
        <v>-776267</v>
      </c>
      <c r="V88" s="28">
        <f t="shared" si="188"/>
        <v>-1094404</v>
      </c>
      <c r="W88" s="28">
        <f t="shared" si="188"/>
        <v>-825728</v>
      </c>
      <c r="X88" s="28">
        <f t="shared" si="188"/>
        <v>-983482</v>
      </c>
      <c r="Y88" s="28">
        <f t="shared" si="188"/>
        <v>-1612524</v>
      </c>
      <c r="Z88" s="28">
        <f t="shared" si="188"/>
        <v>-996078</v>
      </c>
      <c r="AA88" s="28">
        <f t="shared" si="188"/>
        <v>-1160714</v>
      </c>
      <c r="AB88" s="28">
        <f t="shared" ref="AB88:AC88" si="189">AB15+AB50</f>
        <v>-866791</v>
      </c>
      <c r="AC88" s="28">
        <f t="shared" si="189"/>
        <v>-719537</v>
      </c>
      <c r="AD88" s="28">
        <f t="shared" ref="AD88:AE88" si="190">AD15+AD50</f>
        <v>-831894</v>
      </c>
      <c r="AE88" s="28">
        <f t="shared" si="190"/>
        <v>-896445</v>
      </c>
      <c r="AF88" s="28">
        <f t="shared" ref="AF88:AG88" si="191">AF15+AF50</f>
        <v>-441668</v>
      </c>
      <c r="AG88" s="28">
        <f t="shared" si="191"/>
        <v>-437769</v>
      </c>
      <c r="AH88" s="28">
        <f t="shared" ref="AH88:AI88" si="192">AH15+AH50</f>
        <v>-426739</v>
      </c>
      <c r="AI88" s="28">
        <f t="shared" si="192"/>
        <v>-353533</v>
      </c>
      <c r="AJ88" s="28">
        <f t="shared" ref="AJ88:AK88" si="193">AJ15+AJ50</f>
        <v>-150489</v>
      </c>
      <c r="AK88" s="28">
        <f t="shared" si="193"/>
        <v>-585891</v>
      </c>
      <c r="AL88" s="5"/>
    </row>
    <row r="89" spans="1:38" ht="13.5" customHeight="1" x14ac:dyDescent="0.2">
      <c r="A89" s="15"/>
      <c r="D89" s="26"/>
      <c r="E89" s="27" t="s">
        <v>30</v>
      </c>
      <c r="F89" s="29">
        <f>SUM(F87:F88)</f>
        <v>43851181</v>
      </c>
      <c r="G89" s="29">
        <f>SUM(G87:G88)</f>
        <v>54656573</v>
      </c>
      <c r="H89" s="26"/>
      <c r="I89" s="29">
        <f t="shared" ref="I89:AA89" si="194">SUM(I87:I88)</f>
        <v>68411534</v>
      </c>
      <c r="J89" s="29">
        <f t="shared" si="194"/>
        <v>74647522</v>
      </c>
      <c r="K89" s="29">
        <f t="shared" si="194"/>
        <v>78815422</v>
      </c>
      <c r="L89" s="29">
        <f t="shared" si="194"/>
        <v>83715338</v>
      </c>
      <c r="M89" s="29">
        <f t="shared" si="194"/>
        <v>84964685</v>
      </c>
      <c r="N89" s="29">
        <f t="shared" si="194"/>
        <v>88928156</v>
      </c>
      <c r="O89" s="29">
        <f t="shared" si="194"/>
        <v>93810861</v>
      </c>
      <c r="P89" s="29">
        <f t="shared" si="194"/>
        <v>108735877</v>
      </c>
      <c r="Q89" s="29">
        <f t="shared" si="194"/>
        <v>118934978</v>
      </c>
      <c r="R89" s="29">
        <f t="shared" si="194"/>
        <v>130940371</v>
      </c>
      <c r="S89" s="29">
        <f t="shared" si="194"/>
        <v>137949435</v>
      </c>
      <c r="T89" s="29">
        <f t="shared" si="194"/>
        <v>142286469</v>
      </c>
      <c r="U89" s="29">
        <f t="shared" si="194"/>
        <v>154328477</v>
      </c>
      <c r="V89" s="29">
        <f t="shared" si="194"/>
        <v>177473817</v>
      </c>
      <c r="W89" s="29">
        <f t="shared" si="194"/>
        <v>206430149</v>
      </c>
      <c r="X89" s="29">
        <f t="shared" si="194"/>
        <v>222886038</v>
      </c>
      <c r="Y89" s="29">
        <f t="shared" si="194"/>
        <v>234329867</v>
      </c>
      <c r="Z89" s="29">
        <f t="shared" si="194"/>
        <v>230103573</v>
      </c>
      <c r="AA89" s="29">
        <f t="shared" si="194"/>
        <v>225228568</v>
      </c>
      <c r="AB89" s="29">
        <f t="shared" ref="AB89:AC89" si="195">SUM(AB87:AB88)</f>
        <v>231284910</v>
      </c>
      <c r="AC89" s="29">
        <f t="shared" si="195"/>
        <v>222909534</v>
      </c>
      <c r="AD89" s="29">
        <f t="shared" ref="AD89:AE89" si="196">SUM(AD87:AD88)</f>
        <v>215123673</v>
      </c>
      <c r="AE89" s="29">
        <f t="shared" si="196"/>
        <v>203755972</v>
      </c>
      <c r="AF89" s="29">
        <f t="shared" ref="AF89:AG89" si="197">SUM(AF87:AF88)</f>
        <v>194066665</v>
      </c>
      <c r="AG89" s="29">
        <f t="shared" si="197"/>
        <v>204916882</v>
      </c>
      <c r="AH89" s="29">
        <f t="shared" ref="AH89:AI89" si="198">SUM(AH87:AH88)</f>
        <v>203485257</v>
      </c>
      <c r="AI89" s="29">
        <f t="shared" si="198"/>
        <v>219046023.5</v>
      </c>
      <c r="AJ89" s="29">
        <f t="shared" ref="AJ89:AK89" si="199">SUM(AJ87:AJ88)</f>
        <v>199795100</v>
      </c>
      <c r="AK89" s="29">
        <f t="shared" si="199"/>
        <v>209311009</v>
      </c>
      <c r="AL89" s="5"/>
    </row>
    <row r="90" spans="1:38" ht="13.5" customHeight="1" x14ac:dyDescent="0.2">
      <c r="A90" s="15"/>
      <c r="C90" s="2" t="s">
        <v>31</v>
      </c>
      <c r="AL90" s="5"/>
    </row>
    <row r="91" spans="1:38" ht="13.5" customHeight="1" x14ac:dyDescent="0.2">
      <c r="A91" s="15"/>
      <c r="D91" s="1" t="s">
        <v>27</v>
      </c>
      <c r="E91" s="21"/>
      <c r="F91" s="21">
        <f>F18+F53</f>
        <v>10071896</v>
      </c>
      <c r="G91" s="21">
        <f>G18+G53</f>
        <v>4581238</v>
      </c>
      <c r="H91" s="21"/>
      <c r="I91" s="21">
        <f t="shared" ref="I91:AA92" si="200">I18+I53</f>
        <v>5002419</v>
      </c>
      <c r="J91" s="21">
        <f t="shared" si="200"/>
        <v>5397221</v>
      </c>
      <c r="K91" s="21">
        <f t="shared" si="200"/>
        <v>5746035</v>
      </c>
      <c r="L91" s="21">
        <f t="shared" si="200"/>
        <v>6771222</v>
      </c>
      <c r="M91" s="21">
        <f t="shared" si="200"/>
        <v>7854887</v>
      </c>
      <c r="N91" s="21">
        <f t="shared" si="200"/>
        <v>9542994</v>
      </c>
      <c r="O91" s="21">
        <f t="shared" si="200"/>
        <v>10201463</v>
      </c>
      <c r="P91" s="21">
        <f t="shared" si="200"/>
        <v>9639262</v>
      </c>
      <c r="Q91" s="21">
        <f t="shared" si="200"/>
        <v>9328478</v>
      </c>
      <c r="R91" s="21">
        <f t="shared" si="200"/>
        <v>8512990</v>
      </c>
      <c r="S91" s="21">
        <f t="shared" si="200"/>
        <v>8731053</v>
      </c>
      <c r="T91" s="21">
        <f t="shared" si="200"/>
        <v>8835624</v>
      </c>
      <c r="U91" s="21">
        <f t="shared" si="200"/>
        <v>12657088</v>
      </c>
      <c r="V91" s="21">
        <f t="shared" si="200"/>
        <v>13465708</v>
      </c>
      <c r="W91" s="21">
        <f t="shared" si="200"/>
        <v>12090696</v>
      </c>
      <c r="X91" s="21">
        <f t="shared" si="200"/>
        <v>9116158</v>
      </c>
      <c r="Y91" s="21">
        <f t="shared" si="200"/>
        <v>9278099</v>
      </c>
      <c r="Z91" s="21">
        <f t="shared" si="200"/>
        <v>10178012</v>
      </c>
      <c r="AA91" s="21">
        <f t="shared" si="200"/>
        <v>10469558</v>
      </c>
      <c r="AB91" s="21">
        <f t="shared" ref="AB91:AC91" si="201">AB18+AB53</f>
        <v>13531709</v>
      </c>
      <c r="AC91" s="21">
        <f t="shared" si="201"/>
        <v>14433647</v>
      </c>
      <c r="AD91" s="21">
        <f t="shared" ref="AD91:AE91" si="202">AD18+AD53</f>
        <v>14645077</v>
      </c>
      <c r="AE91" s="21">
        <f t="shared" si="202"/>
        <v>13025599</v>
      </c>
      <c r="AF91" s="21">
        <f t="shared" ref="AF91:AG91" si="203">AF18+AF53</f>
        <v>14261741</v>
      </c>
      <c r="AG91" s="21">
        <f t="shared" si="203"/>
        <v>15946898</v>
      </c>
      <c r="AH91" s="21">
        <f t="shared" ref="AH91:AI91" si="204">AH18+AH53</f>
        <v>14702282</v>
      </c>
      <c r="AI91" s="21">
        <f t="shared" si="204"/>
        <v>18148006</v>
      </c>
      <c r="AJ91" s="21">
        <f t="shared" ref="AJ91:AK91" si="205">AJ18+AJ53</f>
        <v>19717371</v>
      </c>
      <c r="AK91" s="21">
        <f t="shared" si="205"/>
        <v>19939263</v>
      </c>
      <c r="AL91" s="5"/>
    </row>
    <row r="92" spans="1:38" ht="13.5" customHeight="1" x14ac:dyDescent="0.2">
      <c r="A92" s="15"/>
      <c r="D92" s="1" t="s">
        <v>28</v>
      </c>
      <c r="E92" s="23"/>
      <c r="F92" s="24">
        <f>F19+F54</f>
        <v>0</v>
      </c>
      <c r="G92" s="24">
        <f>G19+G54</f>
        <v>0</v>
      </c>
      <c r="H92" s="24"/>
      <c r="I92" s="24">
        <f t="shared" si="200"/>
        <v>0</v>
      </c>
      <c r="J92" s="24">
        <f t="shared" si="200"/>
        <v>0</v>
      </c>
      <c r="K92" s="24">
        <f t="shared" si="200"/>
        <v>0</v>
      </c>
      <c r="L92" s="24">
        <f t="shared" si="200"/>
        <v>0</v>
      </c>
      <c r="M92" s="24">
        <f t="shared" si="200"/>
        <v>590062</v>
      </c>
      <c r="N92" s="24">
        <f t="shared" si="200"/>
        <v>431198</v>
      </c>
      <c r="O92" s="24">
        <f t="shared" si="200"/>
        <v>207334</v>
      </c>
      <c r="P92" s="24">
        <f t="shared" si="200"/>
        <v>125662</v>
      </c>
      <c r="Q92" s="24">
        <f t="shared" si="200"/>
        <v>68864</v>
      </c>
      <c r="R92" s="24">
        <f t="shared" si="200"/>
        <v>11916</v>
      </c>
      <c r="S92" s="24">
        <f t="shared" si="200"/>
        <v>0</v>
      </c>
      <c r="T92" s="24">
        <f t="shared" si="200"/>
        <v>0</v>
      </c>
      <c r="U92" s="24">
        <f t="shared" si="200"/>
        <v>0</v>
      </c>
      <c r="V92" s="24">
        <f t="shared" si="200"/>
        <v>192500</v>
      </c>
      <c r="W92" s="24">
        <f t="shared" si="200"/>
        <v>165001</v>
      </c>
      <c r="X92" s="24">
        <f t="shared" si="200"/>
        <v>200000</v>
      </c>
      <c r="Y92" s="24">
        <f t="shared" si="200"/>
        <v>120000</v>
      </c>
      <c r="Z92" s="24">
        <f t="shared" si="200"/>
        <v>100000</v>
      </c>
      <c r="AA92" s="24">
        <f t="shared" si="200"/>
        <v>40000</v>
      </c>
      <c r="AB92" s="24">
        <f t="shared" ref="AB92:AC92" si="206">AB19+AB54</f>
        <v>40000</v>
      </c>
      <c r="AC92" s="24">
        <f t="shared" si="206"/>
        <v>0</v>
      </c>
      <c r="AD92" s="24">
        <f t="shared" ref="AD92:AE92" si="207">AD19+AD54</f>
        <v>0</v>
      </c>
      <c r="AE92" s="24">
        <f t="shared" si="207"/>
        <v>0</v>
      </c>
      <c r="AF92" s="24">
        <f t="shared" ref="AF92:AG92" si="208">AF19+AF54</f>
        <v>0</v>
      </c>
      <c r="AG92" s="24">
        <f t="shared" si="208"/>
        <v>0</v>
      </c>
      <c r="AH92" s="24">
        <f t="shared" ref="AH92:AI92" si="209">AH19+AH54</f>
        <v>0</v>
      </c>
      <c r="AI92" s="24">
        <f t="shared" si="209"/>
        <v>0</v>
      </c>
      <c r="AJ92" s="24">
        <f t="shared" ref="AJ92:AK92" si="210">AJ19+AJ54</f>
        <v>0</v>
      </c>
      <c r="AK92" s="24">
        <f t="shared" si="210"/>
        <v>0</v>
      </c>
      <c r="AL92" s="5"/>
    </row>
    <row r="93" spans="1:38" ht="13.5" customHeight="1" x14ac:dyDescent="0.2">
      <c r="A93" s="15"/>
      <c r="E93" s="23"/>
      <c r="F93" s="21">
        <f>SUM(F90:F92)</f>
        <v>10071896</v>
      </c>
      <c r="G93" s="21">
        <f>SUM(G90:G92)</f>
        <v>4581238</v>
      </c>
      <c r="I93" s="21">
        <f t="shared" ref="I93:AA93" si="211">SUM(I90:I92)</f>
        <v>5002419</v>
      </c>
      <c r="J93" s="21">
        <f t="shared" si="211"/>
        <v>5397221</v>
      </c>
      <c r="K93" s="21">
        <f t="shared" si="211"/>
        <v>5746035</v>
      </c>
      <c r="L93" s="21">
        <f t="shared" si="211"/>
        <v>6771222</v>
      </c>
      <c r="M93" s="21">
        <f t="shared" si="211"/>
        <v>8444949</v>
      </c>
      <c r="N93" s="21">
        <f t="shared" si="211"/>
        <v>9974192</v>
      </c>
      <c r="O93" s="21">
        <f t="shared" si="211"/>
        <v>10408797</v>
      </c>
      <c r="P93" s="21">
        <f t="shared" si="211"/>
        <v>9764924</v>
      </c>
      <c r="Q93" s="21">
        <f t="shared" si="211"/>
        <v>9397342</v>
      </c>
      <c r="R93" s="21">
        <f t="shared" si="211"/>
        <v>8524906</v>
      </c>
      <c r="S93" s="21">
        <f t="shared" si="211"/>
        <v>8731053</v>
      </c>
      <c r="T93" s="21">
        <f t="shared" si="211"/>
        <v>8835624</v>
      </c>
      <c r="U93" s="21">
        <f t="shared" si="211"/>
        <v>12657088</v>
      </c>
      <c r="V93" s="21">
        <f t="shared" si="211"/>
        <v>13658208</v>
      </c>
      <c r="W93" s="21">
        <f t="shared" si="211"/>
        <v>12255697</v>
      </c>
      <c r="X93" s="21">
        <f t="shared" si="211"/>
        <v>9316158</v>
      </c>
      <c r="Y93" s="21">
        <f t="shared" si="211"/>
        <v>9398099</v>
      </c>
      <c r="Z93" s="21">
        <f t="shared" si="211"/>
        <v>10278012</v>
      </c>
      <c r="AA93" s="21">
        <f t="shared" si="211"/>
        <v>10509558</v>
      </c>
      <c r="AB93" s="21">
        <f t="shared" ref="AB93:AC93" si="212">SUM(AB90:AB92)</f>
        <v>13571709</v>
      </c>
      <c r="AC93" s="21">
        <f t="shared" si="212"/>
        <v>14433647</v>
      </c>
      <c r="AD93" s="21">
        <f t="shared" ref="AD93:AE93" si="213">SUM(AD90:AD92)</f>
        <v>14645077</v>
      </c>
      <c r="AE93" s="21">
        <f t="shared" si="213"/>
        <v>13025599</v>
      </c>
      <c r="AF93" s="21">
        <f t="shared" ref="AF93:AG93" si="214">SUM(AF90:AF92)</f>
        <v>14261741</v>
      </c>
      <c r="AG93" s="21">
        <f t="shared" si="214"/>
        <v>15946898</v>
      </c>
      <c r="AH93" s="21">
        <f t="shared" ref="AH93:AI93" si="215">SUM(AH90:AH92)</f>
        <v>14702282</v>
      </c>
      <c r="AI93" s="21">
        <f t="shared" si="215"/>
        <v>18148006</v>
      </c>
      <c r="AJ93" s="21">
        <f t="shared" ref="AJ93:AK93" si="216">SUM(AJ90:AJ92)</f>
        <v>19717371</v>
      </c>
      <c r="AK93" s="21">
        <f t="shared" si="216"/>
        <v>19939263</v>
      </c>
      <c r="AL93" s="5"/>
    </row>
    <row r="94" spans="1:38" ht="13.5" hidden="1" customHeight="1" x14ac:dyDescent="0.2">
      <c r="A94" s="15"/>
      <c r="D94" s="26"/>
      <c r="E94" s="27"/>
      <c r="F94" s="28">
        <f>F21+F56</f>
        <v>-27500</v>
      </c>
      <c r="G94" s="28">
        <f>G21+G56</f>
        <v>-27000</v>
      </c>
      <c r="H94" s="30"/>
      <c r="I94" s="28">
        <f t="shared" ref="I94:AA94" si="217">I21+I56</f>
        <v>-30500</v>
      </c>
      <c r="J94" s="28">
        <f t="shared" si="217"/>
        <v>-26500</v>
      </c>
      <c r="K94" s="28">
        <f t="shared" si="217"/>
        <v>-24500</v>
      </c>
      <c r="L94" s="28">
        <f t="shared" si="217"/>
        <v>-33000</v>
      </c>
      <c r="M94" s="28">
        <f t="shared" si="217"/>
        <v>-39000</v>
      </c>
      <c r="N94" s="28">
        <f t="shared" si="217"/>
        <v>-32500</v>
      </c>
      <c r="O94" s="28">
        <f t="shared" si="217"/>
        <v>-32000</v>
      </c>
      <c r="P94" s="28">
        <f t="shared" si="217"/>
        <v>-40000</v>
      </c>
      <c r="Q94" s="28">
        <f t="shared" si="217"/>
        <v>-51000</v>
      </c>
      <c r="R94" s="28">
        <f t="shared" si="217"/>
        <v>-50250</v>
      </c>
      <c r="S94" s="28">
        <f t="shared" si="217"/>
        <v>-47000</v>
      </c>
      <c r="T94" s="28">
        <f t="shared" si="217"/>
        <v>-43000</v>
      </c>
      <c r="U94" s="28">
        <f t="shared" si="217"/>
        <v>-49500</v>
      </c>
      <c r="V94" s="28">
        <f t="shared" si="217"/>
        <v>-33500</v>
      </c>
      <c r="W94" s="28">
        <f t="shared" si="217"/>
        <v>-7000</v>
      </c>
      <c r="X94" s="28">
        <f t="shared" si="217"/>
        <v>-2000</v>
      </c>
      <c r="Y94" s="28">
        <f t="shared" si="217"/>
        <v>0</v>
      </c>
      <c r="Z94" s="28">
        <f t="shared" si="217"/>
        <v>0</v>
      </c>
      <c r="AA94" s="28">
        <f t="shared" si="217"/>
        <v>0</v>
      </c>
      <c r="AB94" s="28">
        <f t="shared" ref="AB94:AC94" si="218">AB21+AB56</f>
        <v>0</v>
      </c>
      <c r="AC94" s="28">
        <f t="shared" si="218"/>
        <v>0</v>
      </c>
      <c r="AD94" s="28">
        <f t="shared" ref="AD94:AE94" si="219">AD21+AD56</f>
        <v>0</v>
      </c>
      <c r="AE94" s="28">
        <f t="shared" si="219"/>
        <v>0</v>
      </c>
      <c r="AF94" s="28">
        <f t="shared" ref="AF94:AG94" si="220">AF21+AF56</f>
        <v>0</v>
      </c>
      <c r="AG94" s="28">
        <f t="shared" si="220"/>
        <v>0</v>
      </c>
      <c r="AH94" s="28">
        <f t="shared" ref="AH94:AI94" si="221">AH21+AH56</f>
        <v>0</v>
      </c>
      <c r="AI94" s="28">
        <f t="shared" si="221"/>
        <v>0</v>
      </c>
      <c r="AJ94" s="28">
        <f t="shared" ref="AJ94:AK94" si="222">AJ21+AJ56</f>
        <v>0</v>
      </c>
      <c r="AK94" s="28">
        <f t="shared" si="222"/>
        <v>0</v>
      </c>
      <c r="AL94" s="5"/>
    </row>
    <row r="95" spans="1:38" ht="13.5" customHeight="1" x14ac:dyDescent="0.2">
      <c r="A95" s="15"/>
      <c r="D95" s="26"/>
      <c r="E95" s="27" t="s">
        <v>30</v>
      </c>
      <c r="F95" s="29">
        <f>SUM(F93:F94)</f>
        <v>10044396</v>
      </c>
      <c r="G95" s="29">
        <f>SUM(G93:G94)</f>
        <v>4554238</v>
      </c>
      <c r="H95" s="26"/>
      <c r="I95" s="29">
        <f t="shared" ref="I95:AA95" si="223">SUM(I93:I94)</f>
        <v>4971919</v>
      </c>
      <c r="J95" s="29">
        <f t="shared" si="223"/>
        <v>5370721</v>
      </c>
      <c r="K95" s="29">
        <f t="shared" si="223"/>
        <v>5721535</v>
      </c>
      <c r="L95" s="29">
        <f t="shared" si="223"/>
        <v>6738222</v>
      </c>
      <c r="M95" s="29">
        <f t="shared" si="223"/>
        <v>8405949</v>
      </c>
      <c r="N95" s="29">
        <f t="shared" si="223"/>
        <v>9941692</v>
      </c>
      <c r="O95" s="29">
        <f t="shared" si="223"/>
        <v>10376797</v>
      </c>
      <c r="P95" s="29">
        <f t="shared" si="223"/>
        <v>9724924</v>
      </c>
      <c r="Q95" s="29">
        <f t="shared" si="223"/>
        <v>9346342</v>
      </c>
      <c r="R95" s="29">
        <f t="shared" si="223"/>
        <v>8474656</v>
      </c>
      <c r="S95" s="29">
        <f t="shared" si="223"/>
        <v>8684053</v>
      </c>
      <c r="T95" s="29">
        <f t="shared" si="223"/>
        <v>8792624</v>
      </c>
      <c r="U95" s="29">
        <f t="shared" si="223"/>
        <v>12607588</v>
      </c>
      <c r="V95" s="29">
        <f t="shared" si="223"/>
        <v>13624708</v>
      </c>
      <c r="W95" s="29">
        <f t="shared" si="223"/>
        <v>12248697</v>
      </c>
      <c r="X95" s="29">
        <f t="shared" si="223"/>
        <v>9314158</v>
      </c>
      <c r="Y95" s="29">
        <f t="shared" si="223"/>
        <v>9398099</v>
      </c>
      <c r="Z95" s="29">
        <f t="shared" si="223"/>
        <v>10278012</v>
      </c>
      <c r="AA95" s="29">
        <f t="shared" si="223"/>
        <v>10509558</v>
      </c>
      <c r="AB95" s="29">
        <f t="shared" ref="AB95:AC95" si="224">SUM(AB93:AB94)</f>
        <v>13571709</v>
      </c>
      <c r="AC95" s="29">
        <f t="shared" si="224"/>
        <v>14433647</v>
      </c>
      <c r="AD95" s="29">
        <f t="shared" ref="AD95:AE95" si="225">SUM(AD93:AD94)</f>
        <v>14645077</v>
      </c>
      <c r="AE95" s="29">
        <f t="shared" si="225"/>
        <v>13025599</v>
      </c>
      <c r="AF95" s="29">
        <f t="shared" ref="AF95:AG95" si="226">SUM(AF93:AF94)</f>
        <v>14261741</v>
      </c>
      <c r="AG95" s="29">
        <f t="shared" si="226"/>
        <v>15946898</v>
      </c>
      <c r="AH95" s="29">
        <f t="shared" ref="AH95:AI95" si="227">SUM(AH93:AH94)</f>
        <v>14702282</v>
      </c>
      <c r="AI95" s="29">
        <f t="shared" si="227"/>
        <v>18148006</v>
      </c>
      <c r="AJ95" s="29">
        <f t="shared" ref="AJ95:AK95" si="228">SUM(AJ93:AJ94)</f>
        <v>19717371</v>
      </c>
      <c r="AK95" s="29">
        <f t="shared" si="228"/>
        <v>19939263</v>
      </c>
      <c r="AL95" s="5"/>
    </row>
    <row r="96" spans="1:38" ht="13.5" customHeight="1" x14ac:dyDescent="0.2">
      <c r="A96" s="15"/>
      <c r="C96" s="2" t="s">
        <v>32</v>
      </c>
      <c r="D96" s="2"/>
      <c r="E96" s="23"/>
      <c r="AL96" s="5"/>
    </row>
    <row r="97" spans="1:38" ht="13.5" customHeight="1" x14ac:dyDescent="0.2">
      <c r="A97" s="15"/>
      <c r="D97" s="1" t="s">
        <v>27</v>
      </c>
      <c r="E97" s="21"/>
      <c r="F97" s="21">
        <f t="shared" ref="F97:G99" si="229">F24+F59</f>
        <v>15624611</v>
      </c>
      <c r="G97" s="21">
        <f t="shared" si="229"/>
        <v>24581859</v>
      </c>
      <c r="H97" s="21"/>
      <c r="I97" s="21">
        <f t="shared" ref="I97:AA99" si="230">I24+I59</f>
        <v>35256719</v>
      </c>
      <c r="J97" s="21">
        <f t="shared" si="230"/>
        <v>40947291</v>
      </c>
      <c r="K97" s="21">
        <f t="shared" si="230"/>
        <v>44411053</v>
      </c>
      <c r="L97" s="21">
        <f t="shared" si="230"/>
        <v>47212266</v>
      </c>
      <c r="M97" s="21">
        <f t="shared" si="230"/>
        <v>48586838</v>
      </c>
      <c r="N97" s="21">
        <f t="shared" si="230"/>
        <v>51385112</v>
      </c>
      <c r="O97" s="21">
        <f t="shared" si="230"/>
        <v>53840633</v>
      </c>
      <c r="P97" s="21">
        <f t="shared" si="230"/>
        <v>55483054</v>
      </c>
      <c r="Q97" s="21">
        <f t="shared" si="230"/>
        <v>63173201</v>
      </c>
      <c r="R97" s="21">
        <f t="shared" si="230"/>
        <v>68989272</v>
      </c>
      <c r="S97" s="21">
        <f t="shared" si="230"/>
        <v>74359190</v>
      </c>
      <c r="T97" s="21">
        <f t="shared" si="230"/>
        <v>79846032</v>
      </c>
      <c r="U97" s="21">
        <f t="shared" si="230"/>
        <v>87537511</v>
      </c>
      <c r="V97" s="21">
        <f t="shared" si="230"/>
        <v>97323267</v>
      </c>
      <c r="W97" s="21">
        <f t="shared" si="230"/>
        <v>92924291</v>
      </c>
      <c r="X97" s="21">
        <f t="shared" si="230"/>
        <v>97351916</v>
      </c>
      <c r="Y97" s="21">
        <f t="shared" si="230"/>
        <v>109931428</v>
      </c>
      <c r="Z97" s="21">
        <f t="shared" si="230"/>
        <v>117129229</v>
      </c>
      <c r="AA97" s="21">
        <f t="shared" si="230"/>
        <v>121011162</v>
      </c>
      <c r="AB97" s="21">
        <f t="shared" ref="AB97:AC97" si="231">AB24+AB59</f>
        <v>130024430</v>
      </c>
      <c r="AC97" s="21">
        <f t="shared" si="231"/>
        <v>140438814</v>
      </c>
      <c r="AD97" s="21">
        <f t="shared" ref="AD97:AE97" si="232">AD24+AD59</f>
        <v>136699229</v>
      </c>
      <c r="AE97" s="21">
        <f t="shared" si="232"/>
        <v>137756376</v>
      </c>
      <c r="AF97" s="21">
        <f t="shared" ref="AF97:AG97" si="233">AF24+AF59</f>
        <v>142545277</v>
      </c>
      <c r="AG97" s="21">
        <f t="shared" si="233"/>
        <v>168036075</v>
      </c>
      <c r="AH97" s="21">
        <f t="shared" ref="AH97:AI97" si="234">AH24+AH59</f>
        <v>186404864</v>
      </c>
      <c r="AI97" s="21">
        <f t="shared" si="234"/>
        <v>192562746</v>
      </c>
      <c r="AJ97" s="21">
        <f t="shared" ref="AJ97:AK97" si="235">AJ24+AJ59</f>
        <v>207339484</v>
      </c>
      <c r="AK97" s="21">
        <f t="shared" si="235"/>
        <v>233672493</v>
      </c>
      <c r="AL97" s="5"/>
    </row>
    <row r="98" spans="1:38" ht="13.5" customHeight="1" x14ac:dyDescent="0.2">
      <c r="A98" s="15"/>
      <c r="D98" s="1" t="s">
        <v>28</v>
      </c>
      <c r="E98" s="23"/>
      <c r="F98" s="23">
        <f t="shared" si="229"/>
        <v>841630</v>
      </c>
      <c r="G98" s="23">
        <f t="shared" si="229"/>
        <v>833645</v>
      </c>
      <c r="H98" s="23"/>
      <c r="I98" s="23">
        <f t="shared" si="230"/>
        <v>1251310</v>
      </c>
      <c r="J98" s="23">
        <f t="shared" si="230"/>
        <v>1588326</v>
      </c>
      <c r="K98" s="23">
        <f t="shared" si="230"/>
        <v>1459359</v>
      </c>
      <c r="L98" s="23">
        <f t="shared" si="230"/>
        <v>952451</v>
      </c>
      <c r="M98" s="23">
        <f t="shared" si="230"/>
        <v>648148</v>
      </c>
      <c r="N98" s="23">
        <f t="shared" si="230"/>
        <v>731776</v>
      </c>
      <c r="O98" s="23">
        <f t="shared" si="230"/>
        <v>726540</v>
      </c>
      <c r="P98" s="23">
        <f t="shared" si="230"/>
        <v>871105</v>
      </c>
      <c r="Q98" s="23">
        <f t="shared" si="230"/>
        <v>1443077</v>
      </c>
      <c r="R98" s="23">
        <f t="shared" si="230"/>
        <v>2225223</v>
      </c>
      <c r="S98" s="23">
        <f t="shared" si="230"/>
        <v>2668657</v>
      </c>
      <c r="T98" s="23">
        <f t="shared" si="230"/>
        <v>2207100</v>
      </c>
      <c r="U98" s="23">
        <f t="shared" si="230"/>
        <v>1620507</v>
      </c>
      <c r="V98" s="23">
        <f t="shared" si="230"/>
        <v>985583</v>
      </c>
      <c r="W98" s="23">
        <f t="shared" si="230"/>
        <v>827433</v>
      </c>
      <c r="X98" s="23">
        <f t="shared" si="230"/>
        <v>1054109</v>
      </c>
      <c r="Y98" s="23">
        <f t="shared" si="230"/>
        <v>470060</v>
      </c>
      <c r="Z98" s="23">
        <f t="shared" si="230"/>
        <v>265216</v>
      </c>
      <c r="AA98" s="23">
        <f t="shared" si="230"/>
        <v>345552</v>
      </c>
      <c r="AB98" s="23">
        <f t="shared" ref="AB98:AC98" si="236">AB25+AB60</f>
        <v>314100</v>
      </c>
      <c r="AC98" s="23">
        <f t="shared" si="236"/>
        <v>333828</v>
      </c>
      <c r="AD98" s="23">
        <f t="shared" ref="AD98:AE98" si="237">AD25+AD60</f>
        <v>367101</v>
      </c>
      <c r="AE98" s="23">
        <f t="shared" si="237"/>
        <v>438750</v>
      </c>
      <c r="AF98" s="23">
        <f t="shared" ref="AF98:AG98" si="238">AF25+AF60</f>
        <v>574431</v>
      </c>
      <c r="AG98" s="23">
        <f t="shared" si="238"/>
        <v>396570</v>
      </c>
      <c r="AH98" s="23">
        <f t="shared" ref="AH98:AI98" si="239">AH25+AH60</f>
        <v>267751</v>
      </c>
      <c r="AI98" s="23">
        <f t="shared" si="239"/>
        <v>271357</v>
      </c>
      <c r="AJ98" s="23">
        <f t="shared" ref="AJ98:AK98" si="240">AJ25+AJ60</f>
        <v>339405</v>
      </c>
      <c r="AK98" s="23">
        <f t="shared" si="240"/>
        <v>255549</v>
      </c>
      <c r="AL98" s="5"/>
    </row>
    <row r="99" spans="1:38" ht="13.5" customHeight="1" x14ac:dyDescent="0.2">
      <c r="A99" s="15"/>
      <c r="D99" s="1" t="s">
        <v>29</v>
      </c>
      <c r="E99" s="23"/>
      <c r="F99" s="24">
        <f t="shared" si="229"/>
        <v>21986267</v>
      </c>
      <c r="G99" s="24">
        <f t="shared" si="229"/>
        <v>23129340</v>
      </c>
      <c r="H99" s="24"/>
      <c r="I99" s="24">
        <f t="shared" si="230"/>
        <v>20657329</v>
      </c>
      <c r="J99" s="24">
        <f t="shared" si="230"/>
        <v>22225129</v>
      </c>
      <c r="K99" s="24">
        <f t="shared" si="230"/>
        <v>23362531</v>
      </c>
      <c r="L99" s="24">
        <f t="shared" si="230"/>
        <v>25144396</v>
      </c>
      <c r="M99" s="24">
        <f t="shared" si="230"/>
        <v>26421437</v>
      </c>
      <c r="N99" s="24">
        <f t="shared" si="230"/>
        <v>27212044</v>
      </c>
      <c r="O99" s="24">
        <f t="shared" si="230"/>
        <v>25008442</v>
      </c>
      <c r="P99" s="24">
        <f t="shared" si="230"/>
        <v>23055004</v>
      </c>
      <c r="Q99" s="24">
        <f t="shared" si="230"/>
        <v>33156928</v>
      </c>
      <c r="R99" s="24">
        <f t="shared" si="230"/>
        <v>35063279</v>
      </c>
      <c r="S99" s="24">
        <f t="shared" si="230"/>
        <v>33196886</v>
      </c>
      <c r="T99" s="24">
        <f t="shared" si="230"/>
        <v>35454905</v>
      </c>
      <c r="U99" s="24">
        <f t="shared" si="230"/>
        <v>37773708</v>
      </c>
      <c r="V99" s="24">
        <f t="shared" si="230"/>
        <v>44706790</v>
      </c>
      <c r="W99" s="24">
        <f t="shared" si="230"/>
        <v>48363257</v>
      </c>
      <c r="X99" s="24">
        <f t="shared" si="230"/>
        <v>50836790</v>
      </c>
      <c r="Y99" s="24">
        <f t="shared" si="230"/>
        <v>55025987</v>
      </c>
      <c r="Z99" s="24">
        <f t="shared" si="230"/>
        <v>55848398</v>
      </c>
      <c r="AA99" s="24">
        <f t="shared" si="230"/>
        <v>56209305</v>
      </c>
      <c r="AB99" s="24">
        <f t="shared" ref="AB99:AC99" si="241">AB26+AB61</f>
        <v>57358366</v>
      </c>
      <c r="AC99" s="24">
        <f t="shared" si="241"/>
        <v>58971520</v>
      </c>
      <c r="AD99" s="24">
        <f t="shared" ref="AD99:AE99" si="242">AD26+AD61</f>
        <v>57363417</v>
      </c>
      <c r="AE99" s="24">
        <f t="shared" si="242"/>
        <v>56357359</v>
      </c>
      <c r="AF99" s="24">
        <f t="shared" ref="AF99:AG99" si="243">AF26+AF61</f>
        <v>53592278</v>
      </c>
      <c r="AG99" s="24">
        <f t="shared" si="243"/>
        <v>53020759</v>
      </c>
      <c r="AH99" s="24">
        <f t="shared" ref="AH99:AI99" si="244">AH26+AH61</f>
        <v>49190940</v>
      </c>
      <c r="AI99" s="24">
        <f t="shared" si="244"/>
        <v>53321071</v>
      </c>
      <c r="AJ99" s="24">
        <f t="shared" ref="AJ99:AK99" si="245">AJ26+AJ61</f>
        <v>57890878</v>
      </c>
      <c r="AK99" s="24">
        <f t="shared" si="245"/>
        <v>65717694</v>
      </c>
      <c r="AL99" s="5"/>
    </row>
    <row r="100" spans="1:38" ht="13.5" customHeight="1" x14ac:dyDescent="0.2">
      <c r="A100" s="15"/>
      <c r="E100" s="21"/>
      <c r="F100" s="21">
        <f>SUM(F97:F99)</f>
        <v>38452508</v>
      </c>
      <c r="G100" s="21">
        <f>SUM(G97:G99)</f>
        <v>48544844</v>
      </c>
      <c r="H100" s="21"/>
      <c r="I100" s="21">
        <f t="shared" ref="I100:AA100" si="246">SUM(I97:I99)</f>
        <v>57165358</v>
      </c>
      <c r="J100" s="21">
        <f t="shared" si="246"/>
        <v>64760746</v>
      </c>
      <c r="K100" s="21">
        <f t="shared" si="246"/>
        <v>69232943</v>
      </c>
      <c r="L100" s="21">
        <f t="shared" si="246"/>
        <v>73309113</v>
      </c>
      <c r="M100" s="21">
        <f t="shared" si="246"/>
        <v>75656423</v>
      </c>
      <c r="N100" s="21">
        <f t="shared" si="246"/>
        <v>79328932</v>
      </c>
      <c r="O100" s="21">
        <f t="shared" si="246"/>
        <v>79575615</v>
      </c>
      <c r="P100" s="21">
        <f t="shared" si="246"/>
        <v>79409163</v>
      </c>
      <c r="Q100" s="21">
        <f t="shared" si="246"/>
        <v>97773206</v>
      </c>
      <c r="R100" s="21">
        <f t="shared" si="246"/>
        <v>106277774</v>
      </c>
      <c r="S100" s="21">
        <f t="shared" si="246"/>
        <v>110224733</v>
      </c>
      <c r="T100" s="21">
        <f t="shared" si="246"/>
        <v>117508037</v>
      </c>
      <c r="U100" s="21">
        <f t="shared" si="246"/>
        <v>126931726</v>
      </c>
      <c r="V100" s="21">
        <f t="shared" si="246"/>
        <v>143015640</v>
      </c>
      <c r="W100" s="21">
        <f t="shared" si="246"/>
        <v>142114981</v>
      </c>
      <c r="X100" s="21">
        <f t="shared" si="246"/>
        <v>149242815</v>
      </c>
      <c r="Y100" s="21">
        <f t="shared" si="246"/>
        <v>165427475</v>
      </c>
      <c r="Z100" s="21">
        <f t="shared" si="246"/>
        <v>173242843</v>
      </c>
      <c r="AA100" s="21">
        <f t="shared" si="246"/>
        <v>177566019</v>
      </c>
      <c r="AB100" s="21">
        <f t="shared" ref="AB100:AC100" si="247">SUM(AB97:AB99)</f>
        <v>187696896</v>
      </c>
      <c r="AC100" s="21">
        <f t="shared" si="247"/>
        <v>199744162</v>
      </c>
      <c r="AD100" s="21">
        <f t="shared" ref="AD100:AE100" si="248">SUM(AD97:AD99)</f>
        <v>194429747</v>
      </c>
      <c r="AE100" s="21">
        <f t="shared" si="248"/>
        <v>194552485</v>
      </c>
      <c r="AF100" s="21">
        <f t="shared" ref="AF100:AG100" si="249">SUM(AF97:AF99)</f>
        <v>196711986</v>
      </c>
      <c r="AG100" s="21">
        <f t="shared" si="249"/>
        <v>221453404</v>
      </c>
      <c r="AH100" s="21">
        <f t="shared" ref="AH100:AI100" si="250">SUM(AH97:AH99)</f>
        <v>235863555</v>
      </c>
      <c r="AI100" s="21">
        <f t="shared" si="250"/>
        <v>246155174</v>
      </c>
      <c r="AJ100" s="21">
        <f t="shared" ref="AJ100:AK100" si="251">SUM(AJ97:AJ99)</f>
        <v>265569767</v>
      </c>
      <c r="AK100" s="21">
        <f t="shared" si="251"/>
        <v>299645736</v>
      </c>
      <c r="AL100" s="5"/>
    </row>
    <row r="101" spans="1:38" ht="13.5" hidden="1" customHeight="1" x14ac:dyDescent="0.2">
      <c r="A101" s="15"/>
      <c r="D101" s="26"/>
      <c r="E101" s="27"/>
      <c r="F101" s="28">
        <f>F28+F63</f>
        <v>837079</v>
      </c>
      <c r="G101" s="28">
        <f>G28+G63</f>
        <v>680695</v>
      </c>
      <c r="H101" s="30"/>
      <c r="I101" s="28">
        <f t="shared" ref="I101:AA101" si="252">I28+I63</f>
        <v>908554</v>
      </c>
      <c r="J101" s="28">
        <f t="shared" si="252"/>
        <v>864569</v>
      </c>
      <c r="K101" s="28">
        <f t="shared" si="252"/>
        <v>1069584</v>
      </c>
      <c r="L101" s="28">
        <f t="shared" si="252"/>
        <v>967419</v>
      </c>
      <c r="M101" s="28">
        <f t="shared" si="252"/>
        <v>962007</v>
      </c>
      <c r="N101" s="28">
        <f t="shared" si="252"/>
        <v>958053</v>
      </c>
      <c r="O101" s="28">
        <f t="shared" si="252"/>
        <v>1022138</v>
      </c>
      <c r="P101" s="28">
        <f t="shared" si="252"/>
        <v>1127240</v>
      </c>
      <c r="Q101" s="28">
        <f t="shared" si="252"/>
        <v>1691080</v>
      </c>
      <c r="R101" s="28">
        <f t="shared" si="252"/>
        <v>1520003</v>
      </c>
      <c r="S101" s="28">
        <f t="shared" si="252"/>
        <v>1449669</v>
      </c>
      <c r="T101" s="28">
        <f t="shared" si="252"/>
        <v>1413202</v>
      </c>
      <c r="U101" s="28">
        <f t="shared" si="252"/>
        <v>825767</v>
      </c>
      <c r="V101" s="28">
        <f t="shared" si="252"/>
        <v>1127904</v>
      </c>
      <c r="W101" s="28">
        <f t="shared" si="252"/>
        <v>832728</v>
      </c>
      <c r="X101" s="28">
        <f t="shared" si="252"/>
        <v>985482</v>
      </c>
      <c r="Y101" s="28">
        <f t="shared" si="252"/>
        <v>1612524</v>
      </c>
      <c r="Z101" s="28">
        <f t="shared" si="252"/>
        <v>996078</v>
      </c>
      <c r="AA101" s="28">
        <f t="shared" si="252"/>
        <v>1160714</v>
      </c>
      <c r="AB101" s="28">
        <f t="shared" ref="AB101:AC101" si="253">AB28+AB63</f>
        <v>866791</v>
      </c>
      <c r="AC101" s="28">
        <f t="shared" si="253"/>
        <v>719537</v>
      </c>
      <c r="AD101" s="28">
        <f t="shared" ref="AD101:AE101" si="254">AD28+AD63</f>
        <v>831894</v>
      </c>
      <c r="AE101" s="28">
        <f t="shared" si="254"/>
        <v>896445</v>
      </c>
      <c r="AF101" s="28">
        <f t="shared" ref="AF101:AG101" si="255">AF28+AF63</f>
        <v>441668</v>
      </c>
      <c r="AG101" s="28">
        <f t="shared" si="255"/>
        <v>437769</v>
      </c>
      <c r="AH101" s="28">
        <f t="shared" ref="AH101:AI101" si="256">AH28+AH63</f>
        <v>426739</v>
      </c>
      <c r="AI101" s="28">
        <f t="shared" si="256"/>
        <v>353533</v>
      </c>
      <c r="AJ101" s="28">
        <f t="shared" ref="AJ101:AK101" si="257">AJ28+AJ63</f>
        <v>150489</v>
      </c>
      <c r="AK101" s="28">
        <f t="shared" si="257"/>
        <v>585891</v>
      </c>
      <c r="AL101" s="5"/>
    </row>
    <row r="102" spans="1:38" ht="13.5" customHeight="1" x14ac:dyDescent="0.2">
      <c r="A102" s="15"/>
      <c r="D102" s="26"/>
      <c r="E102" s="27" t="s">
        <v>33</v>
      </c>
      <c r="F102" s="29">
        <f>SUM(F100:F101)</f>
        <v>39289587</v>
      </c>
      <c r="G102" s="29">
        <f>SUM(G100:G101)</f>
        <v>49225539</v>
      </c>
      <c r="H102" s="37"/>
      <c r="I102" s="29">
        <f t="shared" ref="I102:AA102" si="258">SUM(I100:I101)</f>
        <v>58073912</v>
      </c>
      <c r="J102" s="29">
        <f t="shared" si="258"/>
        <v>65625315</v>
      </c>
      <c r="K102" s="29">
        <f t="shared" si="258"/>
        <v>70302527</v>
      </c>
      <c r="L102" s="29">
        <f t="shared" si="258"/>
        <v>74276532</v>
      </c>
      <c r="M102" s="29">
        <f t="shared" si="258"/>
        <v>76618430</v>
      </c>
      <c r="N102" s="29">
        <f t="shared" si="258"/>
        <v>80286985</v>
      </c>
      <c r="O102" s="29">
        <f t="shared" si="258"/>
        <v>80597753</v>
      </c>
      <c r="P102" s="29">
        <f t="shared" si="258"/>
        <v>80536403</v>
      </c>
      <c r="Q102" s="29">
        <f t="shared" si="258"/>
        <v>99464286</v>
      </c>
      <c r="R102" s="29">
        <f t="shared" si="258"/>
        <v>107797777</v>
      </c>
      <c r="S102" s="29">
        <f t="shared" si="258"/>
        <v>111674402</v>
      </c>
      <c r="T102" s="29">
        <f t="shared" si="258"/>
        <v>118921239</v>
      </c>
      <c r="U102" s="29">
        <f t="shared" si="258"/>
        <v>127757493</v>
      </c>
      <c r="V102" s="29">
        <f t="shared" si="258"/>
        <v>144143544</v>
      </c>
      <c r="W102" s="29">
        <f t="shared" si="258"/>
        <v>142947709</v>
      </c>
      <c r="X102" s="29">
        <f t="shared" si="258"/>
        <v>150228297</v>
      </c>
      <c r="Y102" s="29">
        <f t="shared" si="258"/>
        <v>167039999</v>
      </c>
      <c r="Z102" s="29">
        <f t="shared" si="258"/>
        <v>174238921</v>
      </c>
      <c r="AA102" s="29">
        <f t="shared" si="258"/>
        <v>178726733</v>
      </c>
      <c r="AB102" s="29">
        <f t="shared" ref="AB102:AC102" si="259">SUM(AB100:AB101)</f>
        <v>188563687</v>
      </c>
      <c r="AC102" s="29">
        <f t="shared" si="259"/>
        <v>200463699</v>
      </c>
      <c r="AD102" s="29">
        <f t="shared" ref="AD102:AE102" si="260">SUM(AD100:AD101)</f>
        <v>195261641</v>
      </c>
      <c r="AE102" s="29">
        <f t="shared" si="260"/>
        <v>195448930</v>
      </c>
      <c r="AF102" s="29">
        <f t="shared" ref="AF102:AG102" si="261">SUM(AF100:AF101)</f>
        <v>197153654</v>
      </c>
      <c r="AG102" s="29">
        <f t="shared" si="261"/>
        <v>221891173</v>
      </c>
      <c r="AH102" s="29">
        <f t="shared" ref="AH102:AI102" si="262">SUM(AH100:AH101)</f>
        <v>236290294</v>
      </c>
      <c r="AI102" s="29">
        <f t="shared" si="262"/>
        <v>246508707</v>
      </c>
      <c r="AJ102" s="29">
        <f t="shared" ref="AJ102:AK102" si="263">SUM(AJ100:AJ101)</f>
        <v>265720256</v>
      </c>
      <c r="AK102" s="29">
        <f t="shared" si="263"/>
        <v>300231627</v>
      </c>
      <c r="AL102" s="5"/>
    </row>
    <row r="103" spans="1:38" ht="13.5" customHeight="1" x14ac:dyDescent="0.2">
      <c r="A103" s="15"/>
      <c r="C103" s="2" t="s">
        <v>34</v>
      </c>
      <c r="D103" s="2"/>
      <c r="AL103" s="5"/>
    </row>
    <row r="104" spans="1:38" ht="13.5" customHeight="1" x14ac:dyDescent="0.2">
      <c r="A104" s="15"/>
      <c r="D104" s="1" t="s">
        <v>27</v>
      </c>
      <c r="E104" s="21"/>
      <c r="F104" s="21">
        <f>F31+F66</f>
        <v>4808966</v>
      </c>
      <c r="G104" s="21">
        <f>G31+G66</f>
        <v>4451999</v>
      </c>
      <c r="H104" s="21"/>
      <c r="I104" s="21">
        <f t="shared" ref="I104:AA105" si="264">I31+I66</f>
        <v>5596999</v>
      </c>
      <c r="J104" s="21">
        <f t="shared" si="264"/>
        <v>5876631</v>
      </c>
      <c r="K104" s="21">
        <f t="shared" si="264"/>
        <v>6315767</v>
      </c>
      <c r="L104" s="21">
        <f t="shared" si="264"/>
        <v>7348148</v>
      </c>
      <c r="M104" s="21">
        <f t="shared" si="264"/>
        <v>7870032</v>
      </c>
      <c r="N104" s="21">
        <f t="shared" si="264"/>
        <v>9151863</v>
      </c>
      <c r="O104" s="21">
        <f t="shared" si="264"/>
        <v>12530063</v>
      </c>
      <c r="P104" s="21">
        <f t="shared" si="264"/>
        <v>15012388</v>
      </c>
      <c r="Q104" s="21">
        <f t="shared" si="264"/>
        <v>9271886</v>
      </c>
      <c r="R104" s="21">
        <f t="shared" si="264"/>
        <v>9008159</v>
      </c>
      <c r="S104" s="21">
        <f t="shared" si="264"/>
        <v>9971964</v>
      </c>
      <c r="T104" s="21">
        <f t="shared" si="264"/>
        <v>10601211</v>
      </c>
      <c r="U104" s="21">
        <f t="shared" si="264"/>
        <v>8968238</v>
      </c>
      <c r="V104" s="21">
        <f t="shared" si="264"/>
        <v>9712833</v>
      </c>
      <c r="W104" s="21">
        <f t="shared" si="264"/>
        <v>9474336</v>
      </c>
      <c r="X104" s="21">
        <f t="shared" si="264"/>
        <v>9569351</v>
      </c>
      <c r="Y104" s="21">
        <f t="shared" si="264"/>
        <v>10315616</v>
      </c>
      <c r="Z104" s="21">
        <f t="shared" si="264"/>
        <v>12081974</v>
      </c>
      <c r="AA104" s="21">
        <f t="shared" si="264"/>
        <v>12117434</v>
      </c>
      <c r="AB104" s="21">
        <f t="shared" ref="AB104:AC104" si="265">AB31+AB66</f>
        <v>14586424</v>
      </c>
      <c r="AC104" s="21">
        <f t="shared" si="265"/>
        <v>14836752</v>
      </c>
      <c r="AD104" s="21">
        <f t="shared" ref="AD104:AE104" si="266">AD31+AD66</f>
        <v>16529200</v>
      </c>
      <c r="AE104" s="21">
        <f t="shared" si="266"/>
        <v>14219454</v>
      </c>
      <c r="AF104" s="21">
        <f t="shared" ref="AF104:AG104" si="267">AF31+AF66</f>
        <v>10898239</v>
      </c>
      <c r="AG104" s="21">
        <f t="shared" si="267"/>
        <v>14375362</v>
      </c>
      <c r="AH104" s="21">
        <f t="shared" ref="AH104:AI104" si="268">AH31+AH66</f>
        <v>14373172</v>
      </c>
      <c r="AI104" s="21">
        <f t="shared" si="268"/>
        <v>14602090</v>
      </c>
      <c r="AJ104" s="21">
        <f t="shared" ref="AJ104:AK104" si="269">AJ31+AJ66</f>
        <v>15859188</v>
      </c>
      <c r="AK104" s="21">
        <f t="shared" si="269"/>
        <v>16305931</v>
      </c>
      <c r="AL104" s="5"/>
    </row>
    <row r="105" spans="1:38" ht="13.5" customHeight="1" x14ac:dyDescent="0.2">
      <c r="A105" s="15"/>
      <c r="D105" s="1" t="s">
        <v>28</v>
      </c>
      <c r="E105" s="23"/>
      <c r="F105" s="31" t="s">
        <v>35</v>
      </c>
      <c r="G105" s="31" t="s">
        <v>35</v>
      </c>
      <c r="H105" s="31" t="s">
        <v>35</v>
      </c>
      <c r="I105" s="31" t="s">
        <v>35</v>
      </c>
      <c r="J105" s="31" t="s">
        <v>35</v>
      </c>
      <c r="K105" s="31" t="s">
        <v>35</v>
      </c>
      <c r="L105" s="31" t="s">
        <v>35</v>
      </c>
      <c r="M105" s="31" t="s">
        <v>35</v>
      </c>
      <c r="N105" s="31" t="s">
        <v>35</v>
      </c>
      <c r="O105" s="31" t="s">
        <v>35</v>
      </c>
      <c r="P105" s="31" t="s">
        <v>35</v>
      </c>
      <c r="Q105" s="24">
        <f t="shared" si="264"/>
        <v>6632608</v>
      </c>
      <c r="R105" s="24">
        <f t="shared" si="264"/>
        <v>8966176</v>
      </c>
      <c r="S105" s="24">
        <f t="shared" si="264"/>
        <v>12017692</v>
      </c>
      <c r="T105" s="24">
        <f t="shared" si="264"/>
        <v>14745198</v>
      </c>
      <c r="U105" s="24">
        <f t="shared" si="264"/>
        <v>13424423</v>
      </c>
      <c r="V105" s="24">
        <f t="shared" si="264"/>
        <v>12818377</v>
      </c>
      <c r="W105" s="24">
        <f t="shared" si="264"/>
        <v>9758090</v>
      </c>
      <c r="X105" s="24">
        <f t="shared" si="264"/>
        <v>9949917</v>
      </c>
      <c r="Y105" s="24">
        <f t="shared" si="264"/>
        <v>11043248</v>
      </c>
      <c r="Z105" s="24">
        <f t="shared" si="264"/>
        <v>14337598</v>
      </c>
      <c r="AA105" s="24">
        <f t="shared" si="264"/>
        <v>18276908</v>
      </c>
      <c r="AB105" s="24">
        <f t="shared" ref="AB105:AC105" si="270">AB32+AB67</f>
        <v>19833509</v>
      </c>
      <c r="AC105" s="24">
        <f t="shared" si="270"/>
        <v>23637523</v>
      </c>
      <c r="AD105" s="24">
        <f t="shared" ref="AD105:AE105" si="271">AD32+AD67</f>
        <v>23093764</v>
      </c>
      <c r="AE105" s="24">
        <f t="shared" si="271"/>
        <v>21723990</v>
      </c>
      <c r="AF105" s="24">
        <f t="shared" ref="AF105:AG105" si="272">AF32+AF67</f>
        <v>25597249</v>
      </c>
      <c r="AG105" s="24">
        <f t="shared" si="272"/>
        <v>25134502</v>
      </c>
      <c r="AH105" s="24">
        <f t="shared" ref="AH105:AI105" si="273">AH32+AH67</f>
        <v>26079136</v>
      </c>
      <c r="AI105" s="24">
        <f t="shared" si="273"/>
        <v>31040086</v>
      </c>
      <c r="AJ105" s="24">
        <f t="shared" ref="AJ105:AK105" si="274">AJ32+AJ67</f>
        <v>34860399</v>
      </c>
      <c r="AK105" s="24">
        <f t="shared" si="274"/>
        <v>37768790</v>
      </c>
      <c r="AL105" s="5"/>
    </row>
    <row r="106" spans="1:38" ht="13.5" customHeight="1" x14ac:dyDescent="0.2">
      <c r="A106" s="15"/>
      <c r="F106" s="21">
        <f>SUM(F103:F105)</f>
        <v>4808966</v>
      </c>
      <c r="G106" s="21">
        <f>SUM(G103:G105)</f>
        <v>4451999</v>
      </c>
      <c r="I106" s="21">
        <f t="shared" ref="I106:AA106" si="275">SUM(I103:I105)</f>
        <v>5596999</v>
      </c>
      <c r="J106" s="21">
        <f t="shared" si="275"/>
        <v>5876631</v>
      </c>
      <c r="K106" s="21">
        <f t="shared" si="275"/>
        <v>6315767</v>
      </c>
      <c r="L106" s="21">
        <f t="shared" si="275"/>
        <v>7348148</v>
      </c>
      <c r="M106" s="21">
        <f t="shared" ref="M106:O106" si="276">M104</f>
        <v>7870032</v>
      </c>
      <c r="N106" s="21">
        <f t="shared" si="276"/>
        <v>9151863</v>
      </c>
      <c r="O106" s="21">
        <f t="shared" si="276"/>
        <v>12530063</v>
      </c>
      <c r="P106" s="21">
        <f>P104</f>
        <v>15012388</v>
      </c>
      <c r="Q106" s="21">
        <f t="shared" si="275"/>
        <v>15904494</v>
      </c>
      <c r="R106" s="21">
        <f t="shared" si="275"/>
        <v>17974335</v>
      </c>
      <c r="S106" s="21">
        <f t="shared" si="275"/>
        <v>21989656</v>
      </c>
      <c r="T106" s="21">
        <f t="shared" si="275"/>
        <v>25346409</v>
      </c>
      <c r="U106" s="21">
        <f t="shared" si="275"/>
        <v>22392661</v>
      </c>
      <c r="V106" s="21">
        <f t="shared" si="275"/>
        <v>22531210</v>
      </c>
      <c r="W106" s="21">
        <f t="shared" si="275"/>
        <v>19232426</v>
      </c>
      <c r="X106" s="21">
        <f t="shared" si="275"/>
        <v>19519268</v>
      </c>
      <c r="Y106" s="21">
        <f t="shared" si="275"/>
        <v>21358864</v>
      </c>
      <c r="Z106" s="21">
        <f t="shared" si="275"/>
        <v>26419572</v>
      </c>
      <c r="AA106" s="21">
        <f t="shared" si="275"/>
        <v>30394342</v>
      </c>
      <c r="AB106" s="21">
        <f t="shared" ref="AB106:AC106" si="277">SUM(AB103:AB105)</f>
        <v>34419933</v>
      </c>
      <c r="AC106" s="21">
        <f t="shared" si="277"/>
        <v>38474275</v>
      </c>
      <c r="AD106" s="21">
        <f t="shared" ref="AD106:AE106" si="278">SUM(AD103:AD105)</f>
        <v>39622964</v>
      </c>
      <c r="AE106" s="21">
        <f t="shared" si="278"/>
        <v>35943444</v>
      </c>
      <c r="AF106" s="21">
        <f t="shared" ref="AF106:AG106" si="279">SUM(AF103:AF105)</f>
        <v>36495488</v>
      </c>
      <c r="AG106" s="21">
        <f t="shared" si="279"/>
        <v>39509864</v>
      </c>
      <c r="AH106" s="21">
        <f t="shared" ref="AH106:AI106" si="280">SUM(AH103:AH105)</f>
        <v>40452308</v>
      </c>
      <c r="AI106" s="21">
        <f t="shared" si="280"/>
        <v>45642176</v>
      </c>
      <c r="AJ106" s="21">
        <f t="shared" ref="AJ106:AK106" si="281">SUM(AJ103:AJ105)</f>
        <v>50719587</v>
      </c>
      <c r="AK106" s="21">
        <f t="shared" si="281"/>
        <v>54074721</v>
      </c>
      <c r="AL106" s="5"/>
    </row>
    <row r="107" spans="1:38" ht="13.5" customHeight="1" x14ac:dyDescent="0.2">
      <c r="A107" s="15"/>
      <c r="C107" s="2" t="s">
        <v>36</v>
      </c>
      <c r="D107" s="2"/>
      <c r="AL107" s="5"/>
    </row>
    <row r="108" spans="1:38" ht="13.5" customHeight="1" x14ac:dyDescent="0.2">
      <c r="A108" s="3"/>
      <c r="D108" s="1" t="s">
        <v>27</v>
      </c>
      <c r="E108" s="21"/>
      <c r="F108" s="21">
        <f>F84+F91+F97+F104</f>
        <v>38318550</v>
      </c>
      <c r="G108" s="21">
        <f>G84+G91+G97+G104</f>
        <v>40158387</v>
      </c>
      <c r="H108" s="21"/>
      <c r="I108" s="21">
        <f t="shared" ref="I108:AA109" si="282">I84+I91+I97+I104</f>
        <v>52753953</v>
      </c>
      <c r="J108" s="21">
        <f t="shared" si="282"/>
        <v>59172018</v>
      </c>
      <c r="K108" s="21">
        <f t="shared" si="282"/>
        <v>64160992</v>
      </c>
      <c r="L108" s="21">
        <f t="shared" si="282"/>
        <v>69602389</v>
      </c>
      <c r="M108" s="21">
        <f t="shared" si="282"/>
        <v>72172706</v>
      </c>
      <c r="N108" s="21">
        <f t="shared" si="282"/>
        <v>78705937</v>
      </c>
      <c r="O108" s="21">
        <f t="shared" si="282"/>
        <v>86377917</v>
      </c>
      <c r="P108" s="21">
        <f t="shared" si="282"/>
        <v>91168305</v>
      </c>
      <c r="Q108" s="21">
        <f t="shared" si="282"/>
        <v>93775399</v>
      </c>
      <c r="R108" s="21">
        <f t="shared" si="282"/>
        <v>98557386</v>
      </c>
      <c r="S108" s="21">
        <f t="shared" si="282"/>
        <v>105685029</v>
      </c>
      <c r="T108" s="21">
        <f t="shared" si="282"/>
        <v>114807602</v>
      </c>
      <c r="U108" s="21">
        <f t="shared" si="282"/>
        <v>126509416</v>
      </c>
      <c r="V108" s="21">
        <f t="shared" si="282"/>
        <v>140743766</v>
      </c>
      <c r="W108" s="21">
        <f t="shared" si="282"/>
        <v>141722933</v>
      </c>
      <c r="X108" s="21">
        <f t="shared" si="282"/>
        <v>146477509</v>
      </c>
      <c r="Y108" s="21">
        <f t="shared" si="282"/>
        <v>159608023</v>
      </c>
      <c r="Z108" s="21">
        <f t="shared" si="282"/>
        <v>168893725</v>
      </c>
      <c r="AA108" s="21">
        <f t="shared" si="282"/>
        <v>172568590</v>
      </c>
      <c r="AB108" s="21">
        <f t="shared" ref="AB108:AC108" si="283">AB84+AB91+AB97+AB104</f>
        <v>192333468</v>
      </c>
      <c r="AC108" s="21">
        <f t="shared" si="283"/>
        <v>201398622</v>
      </c>
      <c r="AD108" s="21">
        <f t="shared" ref="AD108:AE108" si="284">AD84+AD91+AD97+AD104</f>
        <v>196828362</v>
      </c>
      <c r="AE108" s="21">
        <f t="shared" si="284"/>
        <v>193446553</v>
      </c>
      <c r="AF108" s="21">
        <f t="shared" ref="AF108:AG108" si="285">AF84+AF91+AF97+AF104</f>
        <v>197400621</v>
      </c>
      <c r="AG108" s="21">
        <f t="shared" si="285"/>
        <v>237029797</v>
      </c>
      <c r="AH108" s="21">
        <f t="shared" ref="AH108:AI108" si="286">AH84+AH91+AH97+AH104</f>
        <v>251429436</v>
      </c>
      <c r="AI108" s="21">
        <f t="shared" si="286"/>
        <v>280335411</v>
      </c>
      <c r="AJ108" s="21">
        <f t="shared" ref="AJ108:AK108" si="287">AJ84+AJ91+AJ97+AJ104</f>
        <v>278387507</v>
      </c>
      <c r="AK108" s="21">
        <f t="shared" si="287"/>
        <v>306248749</v>
      </c>
      <c r="AL108" s="5"/>
    </row>
    <row r="109" spans="1:38" ht="13.5" customHeight="1" x14ac:dyDescent="0.2">
      <c r="A109" s="3"/>
      <c r="D109" s="1" t="s">
        <v>28</v>
      </c>
      <c r="E109" s="23"/>
      <c r="F109" s="23">
        <f>F85+F92+F98</f>
        <v>36534173</v>
      </c>
      <c r="G109" s="23">
        <f>G85+G92+G98</f>
        <v>48517226</v>
      </c>
      <c r="H109" s="23"/>
      <c r="I109" s="23">
        <f t="shared" ref="I109:N109" si="288">I85+I92+I98</f>
        <v>62491458</v>
      </c>
      <c r="J109" s="23">
        <f t="shared" si="288"/>
        <v>69022562</v>
      </c>
      <c r="K109" s="23">
        <f t="shared" si="288"/>
        <v>72066746</v>
      </c>
      <c r="L109" s="23">
        <f t="shared" si="288"/>
        <v>75892560</v>
      </c>
      <c r="M109" s="23">
        <f t="shared" si="288"/>
        <v>78095734</v>
      </c>
      <c r="N109" s="23">
        <f t="shared" si="288"/>
        <v>80597509</v>
      </c>
      <c r="O109" s="23">
        <f>O85+O92+O98</f>
        <v>84640334</v>
      </c>
      <c r="P109" s="23">
        <f>P85+P92+P98</f>
        <v>98054007</v>
      </c>
      <c r="Q109" s="23">
        <f>Q85+Q92+Q98+Q105</f>
        <v>114526747</v>
      </c>
      <c r="R109" s="23">
        <f>R85+R92+R98+R105</f>
        <v>129919996</v>
      </c>
      <c r="S109" s="23">
        <f>S85+S92+S98+S105</f>
        <v>139998736</v>
      </c>
      <c r="T109" s="23">
        <f>T85+T92+T98+T105</f>
        <v>143400763</v>
      </c>
      <c r="U109" s="23">
        <f t="shared" si="282"/>
        <v>151633844</v>
      </c>
      <c r="V109" s="23">
        <f t="shared" si="282"/>
        <v>170573858</v>
      </c>
      <c r="W109" s="23">
        <f t="shared" si="282"/>
        <v>189156958</v>
      </c>
      <c r="X109" s="23">
        <f t="shared" si="282"/>
        <v>203009523</v>
      </c>
      <c r="Y109" s="23">
        <f t="shared" si="282"/>
        <v>215684851</v>
      </c>
      <c r="Z109" s="23">
        <f t="shared" si="282"/>
        <v>214863063</v>
      </c>
      <c r="AA109" s="23">
        <f t="shared" si="282"/>
        <v>214492983</v>
      </c>
      <c r="AB109" s="23">
        <f t="shared" ref="AB109:AC109" si="289">AB85+AB92+AB98+AB105</f>
        <v>216621242</v>
      </c>
      <c r="AC109" s="23">
        <f t="shared" si="289"/>
        <v>214458815</v>
      </c>
      <c r="AD109" s="23">
        <f t="shared" ref="AD109:AE109" si="290">AD85+AD92+AD98+AD105</f>
        <v>209047069</v>
      </c>
      <c r="AE109" s="23">
        <f t="shared" si="290"/>
        <v>196997359</v>
      </c>
      <c r="AF109" s="23">
        <f t="shared" ref="AF109:AG109" si="291">AF85+AF92+AF98+AF105</f>
        <v>189652959</v>
      </c>
      <c r="AG109" s="23">
        <f t="shared" si="291"/>
        <v>190921777</v>
      </c>
      <c r="AH109" s="23">
        <f t="shared" ref="AH109:AI109" si="292">AH85+AH92+AH98+AH105</f>
        <v>193149785</v>
      </c>
      <c r="AI109" s="23">
        <f t="shared" si="292"/>
        <v>194533846</v>
      </c>
      <c r="AJ109" s="23">
        <f t="shared" ref="AJ109:AK109" si="293">AJ85+AJ92+AJ98+AJ105</f>
        <v>198551297</v>
      </c>
      <c r="AK109" s="23">
        <f t="shared" si="293"/>
        <v>210263464</v>
      </c>
      <c r="AL109" s="5"/>
    </row>
    <row r="110" spans="1:38" ht="13.5" customHeight="1" x14ac:dyDescent="0.2">
      <c r="A110" s="3"/>
      <c r="D110" s="1" t="s">
        <v>29</v>
      </c>
      <c r="E110" s="23"/>
      <c r="F110" s="24">
        <f>F86+F99</f>
        <v>23141407</v>
      </c>
      <c r="G110" s="24">
        <f>G86+G99</f>
        <v>24212736</v>
      </c>
      <c r="H110" s="24"/>
      <c r="I110" s="24">
        <f t="shared" ref="I110:AA110" si="294">I86+I99</f>
        <v>21808953</v>
      </c>
      <c r="J110" s="24">
        <f t="shared" si="294"/>
        <v>23325609</v>
      </c>
      <c r="K110" s="24">
        <f t="shared" si="294"/>
        <v>24927513</v>
      </c>
      <c r="L110" s="24">
        <f t="shared" si="294"/>
        <v>26583291</v>
      </c>
      <c r="M110" s="24">
        <f t="shared" si="294"/>
        <v>27590656</v>
      </c>
      <c r="N110" s="24">
        <f t="shared" si="294"/>
        <v>29005250</v>
      </c>
      <c r="O110" s="24">
        <f t="shared" si="294"/>
        <v>26297223</v>
      </c>
      <c r="P110" s="24">
        <f t="shared" si="294"/>
        <v>24787280</v>
      </c>
      <c r="Q110" s="24">
        <f t="shared" si="294"/>
        <v>35347954</v>
      </c>
      <c r="R110" s="24">
        <f t="shared" si="294"/>
        <v>36709757</v>
      </c>
      <c r="S110" s="24">
        <f t="shared" si="294"/>
        <v>34613781</v>
      </c>
      <c r="T110" s="24">
        <f t="shared" si="294"/>
        <v>37138376</v>
      </c>
      <c r="U110" s="24">
        <f t="shared" si="294"/>
        <v>38942959</v>
      </c>
      <c r="V110" s="24">
        <f t="shared" si="294"/>
        <v>46455655</v>
      </c>
      <c r="W110" s="24">
        <f t="shared" si="294"/>
        <v>49979090</v>
      </c>
      <c r="X110" s="24">
        <f t="shared" si="294"/>
        <v>52460729</v>
      </c>
      <c r="Y110" s="24">
        <f t="shared" si="294"/>
        <v>56833955</v>
      </c>
      <c r="Z110" s="24">
        <f t="shared" si="294"/>
        <v>57283290</v>
      </c>
      <c r="AA110" s="24">
        <f t="shared" si="294"/>
        <v>57797628</v>
      </c>
      <c r="AB110" s="24">
        <f t="shared" ref="AB110:AC110" si="295">AB86+AB99</f>
        <v>58885529</v>
      </c>
      <c r="AC110" s="24">
        <f t="shared" si="295"/>
        <v>60423718</v>
      </c>
      <c r="AD110" s="24">
        <f t="shared" ref="AD110:AE110" si="296">AD86+AD99</f>
        <v>58777924</v>
      </c>
      <c r="AE110" s="24">
        <f t="shared" si="296"/>
        <v>57730033</v>
      </c>
      <c r="AF110" s="24">
        <f t="shared" ref="AF110:AG110" si="297">AF86+AF99</f>
        <v>54923968</v>
      </c>
      <c r="AG110" s="24">
        <f t="shared" si="297"/>
        <v>54313243</v>
      </c>
      <c r="AH110" s="24">
        <f t="shared" ref="AH110:AI110" si="298">AH86+AH99</f>
        <v>50350920</v>
      </c>
      <c r="AI110" s="24">
        <f t="shared" si="298"/>
        <v>54475655.5</v>
      </c>
      <c r="AJ110" s="24">
        <f t="shared" ref="AJ110:AK110" si="299">AJ86+AJ99</f>
        <v>59013510</v>
      </c>
      <c r="AK110" s="24">
        <f t="shared" si="299"/>
        <v>67044407</v>
      </c>
      <c r="AL110" s="5"/>
    </row>
    <row r="111" spans="1:38" ht="13.5" customHeight="1" x14ac:dyDescent="0.2">
      <c r="A111" s="3"/>
      <c r="E111" s="21"/>
      <c r="F111" s="21">
        <f>SUM(F108:F110)</f>
        <v>97994130</v>
      </c>
      <c r="G111" s="21">
        <f>SUM(G108:G110)</f>
        <v>112888349</v>
      </c>
      <c r="H111" s="21">
        <f>H38+H73</f>
        <v>124252535</v>
      </c>
      <c r="I111" s="21">
        <f t="shared" ref="I111:AA111" si="300">SUM(I108:I110)</f>
        <v>137054364</v>
      </c>
      <c r="J111" s="21">
        <f t="shared" si="300"/>
        <v>151520189</v>
      </c>
      <c r="K111" s="21">
        <f t="shared" si="300"/>
        <v>161155251</v>
      </c>
      <c r="L111" s="21">
        <f t="shared" si="300"/>
        <v>172078240</v>
      </c>
      <c r="M111" s="21">
        <f t="shared" si="300"/>
        <v>177859096</v>
      </c>
      <c r="N111" s="21">
        <f t="shared" si="300"/>
        <v>188308696</v>
      </c>
      <c r="O111" s="21">
        <f t="shared" si="300"/>
        <v>197315474</v>
      </c>
      <c r="P111" s="21">
        <f t="shared" si="300"/>
        <v>214009592</v>
      </c>
      <c r="Q111" s="21">
        <f t="shared" si="300"/>
        <v>243650100</v>
      </c>
      <c r="R111" s="21">
        <f t="shared" si="300"/>
        <v>265187139</v>
      </c>
      <c r="S111" s="21">
        <f t="shared" si="300"/>
        <v>280297546</v>
      </c>
      <c r="T111" s="21">
        <f t="shared" si="300"/>
        <v>295346741</v>
      </c>
      <c r="U111" s="21">
        <f t="shared" si="300"/>
        <v>317086219</v>
      </c>
      <c r="V111" s="21">
        <f t="shared" si="300"/>
        <v>357773279</v>
      </c>
      <c r="W111" s="21">
        <f t="shared" si="300"/>
        <v>380858981</v>
      </c>
      <c r="X111" s="21">
        <f t="shared" si="300"/>
        <v>401947761</v>
      </c>
      <c r="Y111" s="21">
        <f t="shared" si="300"/>
        <v>432126829</v>
      </c>
      <c r="Z111" s="21">
        <f t="shared" si="300"/>
        <v>441040078</v>
      </c>
      <c r="AA111" s="21">
        <f t="shared" si="300"/>
        <v>444859201</v>
      </c>
      <c r="AB111" s="21">
        <f t="shared" ref="AB111:AC111" si="301">SUM(AB108:AB110)</f>
        <v>467840239</v>
      </c>
      <c r="AC111" s="21">
        <f t="shared" si="301"/>
        <v>476281155</v>
      </c>
      <c r="AD111" s="21">
        <f t="shared" ref="AD111:AE111" si="302">SUM(AD108:AD110)</f>
        <v>464653355</v>
      </c>
      <c r="AE111" s="21">
        <f t="shared" si="302"/>
        <v>448173945</v>
      </c>
      <c r="AF111" s="21">
        <f t="shared" ref="AF111:AG111" si="303">SUM(AF108:AF110)</f>
        <v>441977548</v>
      </c>
      <c r="AG111" s="21">
        <f t="shared" si="303"/>
        <v>482264817</v>
      </c>
      <c r="AH111" s="21">
        <f t="shared" ref="AH111:AI111" si="304">SUM(AH108:AH110)</f>
        <v>494930141</v>
      </c>
      <c r="AI111" s="21">
        <f t="shared" si="304"/>
        <v>529344912.5</v>
      </c>
      <c r="AJ111" s="21">
        <f t="shared" ref="AJ111:AK111" si="305">SUM(AJ108:AJ110)</f>
        <v>535952314</v>
      </c>
      <c r="AK111" s="21">
        <f t="shared" si="305"/>
        <v>583556620</v>
      </c>
      <c r="AL111" s="5"/>
    </row>
    <row r="112" spans="1:38" ht="13.5" customHeight="1" x14ac:dyDescent="0.2">
      <c r="A112" s="3"/>
      <c r="C112" s="2" t="s">
        <v>37</v>
      </c>
      <c r="D112" s="2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5"/>
    </row>
    <row r="113" spans="1:38" ht="13.5" customHeight="1" x14ac:dyDescent="0.2">
      <c r="A113" s="3"/>
      <c r="D113" s="1" t="s">
        <v>38</v>
      </c>
      <c r="E113" s="21"/>
      <c r="F113" s="32">
        <f>F40+F75</f>
        <v>8469</v>
      </c>
      <c r="G113" s="32">
        <f>G40+G75</f>
        <v>8671</v>
      </c>
      <c r="H113" s="32"/>
      <c r="I113" s="32">
        <f t="shared" ref="I113:T114" si="306">I40+I75</f>
        <v>9623</v>
      </c>
      <c r="J113" s="32">
        <f t="shared" si="306"/>
        <v>9797</v>
      </c>
      <c r="K113" s="32">
        <f t="shared" si="306"/>
        <v>9682</v>
      </c>
      <c r="L113" s="32">
        <f t="shared" si="306"/>
        <v>10050</v>
      </c>
      <c r="M113" s="32">
        <f t="shared" si="306"/>
        <v>9489</v>
      </c>
      <c r="N113" s="32">
        <f t="shared" si="306"/>
        <v>9304</v>
      </c>
      <c r="O113" s="32">
        <f t="shared" si="306"/>
        <v>9297</v>
      </c>
      <c r="P113" s="32">
        <f t="shared" si="306"/>
        <v>10291</v>
      </c>
      <c r="Q113" s="32">
        <f t="shared" si="306"/>
        <v>11260</v>
      </c>
      <c r="R113" s="32">
        <f t="shared" si="306"/>
        <v>11229</v>
      </c>
      <c r="S113" s="32">
        <f t="shared" si="306"/>
        <v>11230</v>
      </c>
      <c r="T113" s="32">
        <f t="shared" si="306"/>
        <v>11327</v>
      </c>
      <c r="U113" s="32">
        <v>12139</v>
      </c>
      <c r="V113" s="32">
        <f t="shared" ref="V113:AA114" si="307">V40+V75</f>
        <v>12657</v>
      </c>
      <c r="W113" s="32">
        <f t="shared" si="307"/>
        <v>13962</v>
      </c>
      <c r="X113" s="32">
        <f t="shared" si="307"/>
        <v>15040</v>
      </c>
      <c r="Y113" s="32">
        <f t="shared" si="307"/>
        <v>15756</v>
      </c>
      <c r="Z113" s="32">
        <f t="shared" si="307"/>
        <v>13170</v>
      </c>
      <c r="AA113" s="32">
        <f t="shared" si="307"/>
        <v>12806</v>
      </c>
      <c r="AB113" s="32">
        <f t="shared" ref="AB113:AC113" si="308">AB40+AB75</f>
        <v>12890</v>
      </c>
      <c r="AC113" s="32">
        <f t="shared" si="308"/>
        <v>12229</v>
      </c>
      <c r="AD113" s="32">
        <f t="shared" ref="AD113:AE113" si="309">AD40+AD75</f>
        <v>11265</v>
      </c>
      <c r="AE113" s="32">
        <f t="shared" si="309"/>
        <v>10291</v>
      </c>
      <c r="AF113" s="32">
        <v>9914</v>
      </c>
      <c r="AG113" s="32">
        <v>10141</v>
      </c>
      <c r="AH113" s="32">
        <v>10085</v>
      </c>
      <c r="AI113" s="32">
        <v>10131</v>
      </c>
      <c r="AJ113" s="32">
        <v>9771</v>
      </c>
      <c r="AK113" s="32">
        <v>10028</v>
      </c>
      <c r="AL113" s="5"/>
    </row>
    <row r="114" spans="1:38" ht="13.5" customHeight="1" x14ac:dyDescent="0.2">
      <c r="A114" s="3"/>
      <c r="D114" s="1" t="s">
        <v>39</v>
      </c>
      <c r="E114" s="21"/>
      <c r="F114" s="33">
        <f>F41+F76</f>
        <v>8843</v>
      </c>
      <c r="G114" s="33">
        <f>G41+G76</f>
        <v>8600</v>
      </c>
      <c r="H114" s="33"/>
      <c r="I114" s="33">
        <f t="shared" si="306"/>
        <v>8827</v>
      </c>
      <c r="J114" s="33">
        <f t="shared" si="306"/>
        <v>9460</v>
      </c>
      <c r="K114" s="33">
        <f t="shared" si="306"/>
        <v>9626</v>
      </c>
      <c r="L114" s="33">
        <f t="shared" si="306"/>
        <v>9508</v>
      </c>
      <c r="M114" s="33">
        <f t="shared" si="306"/>
        <v>10081</v>
      </c>
      <c r="N114" s="33">
        <f t="shared" si="306"/>
        <v>10736</v>
      </c>
      <c r="O114" s="33">
        <f t="shared" si="306"/>
        <v>12046</v>
      </c>
      <c r="P114" s="33">
        <f t="shared" si="306"/>
        <v>11665</v>
      </c>
      <c r="Q114" s="33">
        <f t="shared" si="306"/>
        <v>11785</v>
      </c>
      <c r="R114" s="33">
        <f t="shared" si="306"/>
        <v>11925</v>
      </c>
      <c r="S114" s="33">
        <f t="shared" si="306"/>
        <v>12547</v>
      </c>
      <c r="T114" s="33">
        <f t="shared" si="306"/>
        <v>12758</v>
      </c>
      <c r="U114" s="33">
        <v>13215</v>
      </c>
      <c r="V114" s="33">
        <f t="shared" si="307"/>
        <v>12014</v>
      </c>
      <c r="W114" s="33">
        <f t="shared" si="307"/>
        <v>12114</v>
      </c>
      <c r="X114" s="33">
        <f t="shared" si="307"/>
        <v>12017</v>
      </c>
      <c r="Y114" s="33">
        <f t="shared" si="307"/>
        <v>12346</v>
      </c>
      <c r="Z114" s="33">
        <f t="shared" si="307"/>
        <v>15289</v>
      </c>
      <c r="AA114" s="33">
        <f t="shared" si="307"/>
        <v>15281</v>
      </c>
      <c r="AB114" s="33">
        <f t="shared" ref="AB114:AC114" si="310">AB41+AB76</f>
        <v>15666</v>
      </c>
      <c r="AC114" s="33">
        <f t="shared" si="310"/>
        <v>16059</v>
      </c>
      <c r="AD114" s="33">
        <f t="shared" ref="AD114:AE114" si="311">AD41+AD76</f>
        <v>15420</v>
      </c>
      <c r="AE114" s="33">
        <f t="shared" si="311"/>
        <v>14776</v>
      </c>
      <c r="AF114" s="33">
        <v>14685</v>
      </c>
      <c r="AG114" s="33">
        <v>17736</v>
      </c>
      <c r="AH114" s="33">
        <v>17797</v>
      </c>
      <c r="AI114" s="33">
        <v>17276</v>
      </c>
      <c r="AJ114" s="33">
        <v>17485</v>
      </c>
      <c r="AK114" s="33">
        <v>18580</v>
      </c>
      <c r="AL114" s="5"/>
    </row>
    <row r="115" spans="1:38" ht="13.5" customHeight="1" x14ac:dyDescent="0.2">
      <c r="A115" s="3"/>
      <c r="F115" s="32">
        <f>SUM(F113:F114)</f>
        <v>17312</v>
      </c>
      <c r="G115" s="32">
        <f>SUM(G113:G114)</f>
        <v>17271</v>
      </c>
      <c r="H115" s="32"/>
      <c r="I115" s="32">
        <f t="shared" ref="I115:AA115" si="312">SUM(I113:I114)</f>
        <v>18450</v>
      </c>
      <c r="J115" s="32">
        <f t="shared" si="312"/>
        <v>19257</v>
      </c>
      <c r="K115" s="32">
        <f t="shared" si="312"/>
        <v>19308</v>
      </c>
      <c r="L115" s="32">
        <f t="shared" si="312"/>
        <v>19558</v>
      </c>
      <c r="M115" s="32">
        <f t="shared" si="312"/>
        <v>19570</v>
      </c>
      <c r="N115" s="32">
        <f t="shared" si="312"/>
        <v>20040</v>
      </c>
      <c r="O115" s="32">
        <f t="shared" si="312"/>
        <v>21343</v>
      </c>
      <c r="P115" s="32">
        <f t="shared" si="312"/>
        <v>21956</v>
      </c>
      <c r="Q115" s="32">
        <f t="shared" si="312"/>
        <v>23045</v>
      </c>
      <c r="R115" s="32">
        <f t="shared" si="312"/>
        <v>23154</v>
      </c>
      <c r="S115" s="32">
        <f t="shared" si="312"/>
        <v>23777</v>
      </c>
      <c r="T115" s="32">
        <f t="shared" si="312"/>
        <v>24085</v>
      </c>
      <c r="U115" s="32">
        <f t="shared" si="312"/>
        <v>25354</v>
      </c>
      <c r="V115" s="32">
        <f t="shared" si="312"/>
        <v>24671</v>
      </c>
      <c r="W115" s="32">
        <f t="shared" si="312"/>
        <v>26076</v>
      </c>
      <c r="X115" s="32">
        <f t="shared" si="312"/>
        <v>27057</v>
      </c>
      <c r="Y115" s="32">
        <f t="shared" si="312"/>
        <v>28102</v>
      </c>
      <c r="Z115" s="32">
        <f t="shared" si="312"/>
        <v>28459</v>
      </c>
      <c r="AA115" s="32">
        <f t="shared" si="312"/>
        <v>28087</v>
      </c>
      <c r="AB115" s="32">
        <f t="shared" ref="AB115:AC115" si="313">SUM(AB113:AB114)</f>
        <v>28556</v>
      </c>
      <c r="AC115" s="32">
        <f t="shared" si="313"/>
        <v>28288</v>
      </c>
      <c r="AD115" s="32">
        <f t="shared" ref="AD115:AE115" si="314">SUM(AD113:AD114)</f>
        <v>26685</v>
      </c>
      <c r="AE115" s="32">
        <f t="shared" si="314"/>
        <v>25067</v>
      </c>
      <c r="AF115" s="32">
        <f t="shared" ref="AF115:AG115" si="315">SUM(AF113:AF114)</f>
        <v>24599</v>
      </c>
      <c r="AG115" s="32">
        <f t="shared" si="315"/>
        <v>27877</v>
      </c>
      <c r="AH115" s="32">
        <f t="shared" ref="AH115:AI115" si="316">SUM(AH113:AH114)</f>
        <v>27882</v>
      </c>
      <c r="AI115" s="32">
        <f t="shared" si="316"/>
        <v>27407</v>
      </c>
      <c r="AJ115" s="32">
        <f t="shared" ref="AJ115:AK115" si="317">SUM(AJ113:AJ114)</f>
        <v>27256</v>
      </c>
      <c r="AK115" s="32">
        <f t="shared" si="317"/>
        <v>28608</v>
      </c>
      <c r="AL115" s="5"/>
    </row>
    <row r="116" spans="1:38" ht="13.5" customHeight="1" x14ac:dyDescent="0.2">
      <c r="A116" s="3"/>
      <c r="B116" s="12"/>
      <c r="C116" s="12"/>
      <c r="D116" s="12"/>
      <c r="E116" s="12"/>
      <c r="F116" s="12"/>
      <c r="G116" s="12"/>
      <c r="H116" s="12"/>
      <c r="I116" s="12"/>
      <c r="J116" s="12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5"/>
    </row>
    <row r="117" spans="1:38" ht="13.5" customHeight="1" x14ac:dyDescent="0.2">
      <c r="A117" s="3"/>
      <c r="AL117" s="5"/>
    </row>
    <row r="118" spans="1:38" ht="13.5" customHeight="1" x14ac:dyDescent="0.2">
      <c r="A118" s="3"/>
      <c r="B118" s="1" t="s">
        <v>42</v>
      </c>
      <c r="AL118" s="5"/>
    </row>
    <row r="119" spans="1:38" ht="13.5" customHeight="1" x14ac:dyDescent="0.2">
      <c r="A119" s="3"/>
      <c r="AL119" s="5"/>
    </row>
    <row r="120" spans="1:38" ht="13.5" customHeight="1" x14ac:dyDescent="0.2">
      <c r="A120" s="3"/>
      <c r="B120" s="1" t="s">
        <v>43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5"/>
    </row>
    <row r="121" spans="1:38" ht="13.5" customHeight="1" x14ac:dyDescent="0.2">
      <c r="A121" s="3"/>
      <c r="B121" s="1" t="s">
        <v>44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5"/>
    </row>
    <row r="122" spans="1:38" ht="13.5" customHeight="1" x14ac:dyDescent="0.2">
      <c r="A122" s="3"/>
      <c r="B122" s="1" t="s">
        <v>45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5"/>
    </row>
    <row r="123" spans="1:38" ht="13.5" customHeight="1" x14ac:dyDescent="0.2">
      <c r="A123" s="3"/>
      <c r="AL123" s="5"/>
    </row>
    <row r="124" spans="1:38" ht="13.5" customHeight="1" x14ac:dyDescent="0.25">
      <c r="A124" s="39"/>
      <c r="B124" s="69" t="s">
        <v>46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70"/>
      <c r="AE124" s="71"/>
      <c r="AF124" s="71"/>
      <c r="AG124" s="40"/>
      <c r="AH124" s="40"/>
      <c r="AI124" s="40"/>
      <c r="AJ124" s="40"/>
      <c r="AK124" s="40" t="s">
        <v>61</v>
      </c>
      <c r="AL124" s="41"/>
    </row>
    <row r="126" spans="1:38" ht="13.5" customHeight="1" x14ac:dyDescent="0.2">
      <c r="AC126" s="46"/>
      <c r="AD126" s="46"/>
      <c r="AE126" s="46"/>
      <c r="AF126" s="46"/>
      <c r="AG126" s="21"/>
      <c r="AH126" s="21"/>
      <c r="AI126" s="21"/>
      <c r="AJ126" s="21">
        <f>AJ111/AJ115</f>
        <v>19663.645215732315</v>
      </c>
      <c r="AK126" s="21">
        <f>AK111/AK115</f>
        <v>20398.371784116331</v>
      </c>
    </row>
    <row r="127" spans="1:38" ht="13.5" customHeight="1" x14ac:dyDescent="0.2">
      <c r="AF127" s="21"/>
      <c r="AG127" s="21"/>
      <c r="AH127" s="21"/>
      <c r="AI127" s="21"/>
      <c r="AJ127" s="21"/>
      <c r="AK127" s="21"/>
    </row>
    <row r="128" spans="1:38" ht="13.5" customHeight="1" x14ac:dyDescent="0.2"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</row>
    <row r="130" spans="8:39" ht="13.5" customHeight="1" x14ac:dyDescent="0.2"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</row>
    <row r="131" spans="8:39" ht="13.5" customHeight="1" x14ac:dyDescent="0.2"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</row>
    <row r="132" spans="8:39" ht="13.5" customHeight="1" x14ac:dyDescent="0.2"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</row>
    <row r="133" spans="8:39" ht="13.5" customHeight="1" x14ac:dyDescent="0.2"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</row>
    <row r="134" spans="8:39" ht="13.5" customHeight="1" x14ac:dyDescent="0.2"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</row>
  </sheetData>
  <mergeCells count="2">
    <mergeCell ref="A2:AL2"/>
    <mergeCell ref="B124:AF124"/>
  </mergeCells>
  <hyperlinks>
    <hyperlink ref="B124:AC124" r:id="rId1" display="Source: DHE 14-1, Student Financial Aid Awarded" xr:uid="{29F92028-1130-45E3-B803-21B61149F86D}"/>
    <hyperlink ref="B124:AD124" r:id="rId2" display="Source: DHE 14-1, Student Financial Aid Awarded" xr:uid="{D29D0893-7037-4C47-8B18-7B77659C76FB}"/>
  </hyperlinks>
  <printOptions horizontalCentered="1"/>
  <pageMargins left="0.7" right="0.45" top="0.5" bottom="0.25" header="0.5" footer="0.5"/>
  <pageSetup scale="77" orientation="portrait" verticalDpi="300" r:id="rId3"/>
  <headerFooter alignWithMargins="0"/>
  <rowBreaks count="1" manualBreakCount="1">
    <brk id="78" max="16383" man="1"/>
  </rowBreaks>
  <ignoredErrors>
    <ignoredError sqref="AL87:AN117 F87:AA117 AB87 AB93 AB100 AC87:AC103 AD87:AD109 AE87 AE93 AE100 AF87:AF112 AF115 AG87 AG93 AG100 AH87:AH100 AI87:AI112 AJ87:AJ100 AK87:AK1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/>
  <dimension ref="A2:AN137"/>
  <sheetViews>
    <sheetView zoomScaleNormal="100" workbookViewId="0"/>
  </sheetViews>
  <sheetFormatPr defaultColWidth="10.85546875" defaultRowHeight="13.5" customHeight="1" x14ac:dyDescent="0.2"/>
  <cols>
    <col min="1" max="3" width="2.7109375" style="1" customWidth="1"/>
    <col min="4" max="4" width="13.7109375" style="1" customWidth="1"/>
    <col min="5" max="5" width="3.7109375" style="1" customWidth="1"/>
    <col min="6" max="31" width="13.7109375" style="1" hidden="1" customWidth="1"/>
    <col min="32" max="37" width="13.7109375" style="1" customWidth="1"/>
    <col min="38" max="38" width="2.7109375" style="1" customWidth="1"/>
    <col min="39" max="39" width="8.28515625" style="1" customWidth="1"/>
    <col min="40" max="68" width="10.85546875" style="1" customWidth="1"/>
    <col min="69" max="16384" width="10.85546875" style="1"/>
  </cols>
  <sheetData>
    <row r="2" spans="1:39" ht="15" customHeight="1" x14ac:dyDescent="0.25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8"/>
      <c r="AM2" s="2"/>
    </row>
    <row r="3" spans="1:39" ht="13.5" customHeight="1" x14ac:dyDescent="0.2">
      <c r="A3" s="3"/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5"/>
    </row>
    <row r="4" spans="1:39" ht="15" customHeight="1" x14ac:dyDescent="0.25">
      <c r="A4" s="3"/>
      <c r="B4" s="6" t="s">
        <v>1</v>
      </c>
      <c r="C4" s="7"/>
      <c r="D4" s="7"/>
      <c r="E4" s="7"/>
      <c r="F4" s="7"/>
      <c r="G4" s="7"/>
      <c r="H4" s="7"/>
      <c r="I4" s="7"/>
      <c r="J4" s="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5"/>
    </row>
    <row r="5" spans="1:39" ht="15" customHeight="1" x14ac:dyDescent="0.25">
      <c r="A5" s="3"/>
      <c r="B5" s="8" t="s">
        <v>47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5"/>
    </row>
    <row r="6" spans="1:39" ht="13.5" customHeight="1" thickBot="1" x14ac:dyDescent="0.25">
      <c r="A6" s="3"/>
      <c r="B6" s="9"/>
      <c r="C6" s="9"/>
      <c r="D6" s="9"/>
      <c r="E6" s="9"/>
      <c r="F6" s="9"/>
      <c r="G6" s="9"/>
      <c r="H6" s="9"/>
      <c r="I6" s="9"/>
      <c r="J6" s="9"/>
      <c r="K6" s="10"/>
      <c r="L6" s="10"/>
      <c r="M6" s="10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5"/>
    </row>
    <row r="7" spans="1:39" ht="13.5" customHeight="1" thickTop="1" x14ac:dyDescent="0.2">
      <c r="A7" s="3"/>
      <c r="B7" s="12"/>
      <c r="C7" s="12"/>
      <c r="D7" s="12"/>
      <c r="E7" s="12"/>
      <c r="F7" s="40" t="s">
        <v>3</v>
      </c>
      <c r="G7" s="40" t="s">
        <v>4</v>
      </c>
      <c r="H7" s="40" t="s">
        <v>5</v>
      </c>
      <c r="I7" s="40" t="s">
        <v>6</v>
      </c>
      <c r="J7" s="40" t="s">
        <v>7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4" t="s">
        <v>13</v>
      </c>
      <c r="Q7" s="14" t="s">
        <v>14</v>
      </c>
      <c r="R7" s="14" t="s">
        <v>15</v>
      </c>
      <c r="S7" s="14" t="s">
        <v>16</v>
      </c>
      <c r="T7" s="14" t="s">
        <v>17</v>
      </c>
      <c r="U7" s="14" t="s">
        <v>18</v>
      </c>
      <c r="V7" s="14" t="s">
        <v>19</v>
      </c>
      <c r="W7" s="14" t="s">
        <v>20</v>
      </c>
      <c r="X7" s="14" t="s">
        <v>21</v>
      </c>
      <c r="Y7" s="14" t="s">
        <v>22</v>
      </c>
      <c r="Z7" s="14" t="s">
        <v>23</v>
      </c>
      <c r="AA7" s="14" t="s">
        <v>24</v>
      </c>
      <c r="AB7" s="14" t="s">
        <v>51</v>
      </c>
      <c r="AC7" s="14" t="s">
        <v>52</v>
      </c>
      <c r="AD7" s="14" t="s">
        <v>53</v>
      </c>
      <c r="AE7" s="14" t="s">
        <v>54</v>
      </c>
      <c r="AF7" s="14" t="s">
        <v>55</v>
      </c>
      <c r="AG7" s="14" t="s">
        <v>56</v>
      </c>
      <c r="AH7" s="14" t="s">
        <v>57</v>
      </c>
      <c r="AI7" s="14" t="s">
        <v>58</v>
      </c>
      <c r="AJ7" s="14" t="s">
        <v>59</v>
      </c>
      <c r="AK7" s="14" t="s">
        <v>60</v>
      </c>
      <c r="AL7" s="5"/>
    </row>
    <row r="8" spans="1:39" ht="13.5" customHeight="1" x14ac:dyDescent="0.2">
      <c r="A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7"/>
    </row>
    <row r="9" spans="1:39" ht="13.5" customHeight="1" x14ac:dyDescent="0.2">
      <c r="A9" s="15"/>
      <c r="B9" s="42" t="s">
        <v>25</v>
      </c>
      <c r="C9" s="43"/>
      <c r="D9" s="43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17"/>
    </row>
    <row r="10" spans="1:39" ht="13.5" customHeight="1" x14ac:dyDescent="0.2">
      <c r="A10" s="15"/>
      <c r="C10" s="2" t="s">
        <v>26</v>
      </c>
      <c r="D10" s="2"/>
      <c r="AL10" s="17"/>
    </row>
    <row r="11" spans="1:39" ht="13.5" customHeight="1" x14ac:dyDescent="0.2">
      <c r="A11" s="15"/>
      <c r="D11" s="1" t="s">
        <v>27</v>
      </c>
      <c r="E11" s="21"/>
      <c r="F11" s="21">
        <v>2583832</v>
      </c>
      <c r="G11" s="21">
        <v>1893391</v>
      </c>
      <c r="H11" s="21">
        <v>2079457</v>
      </c>
      <c r="I11" s="21">
        <v>2244291</v>
      </c>
      <c r="J11" s="21">
        <v>2550818</v>
      </c>
      <c r="K11" s="21">
        <v>2801768</v>
      </c>
      <c r="L11" s="21">
        <v>3224011</v>
      </c>
      <c r="M11" s="21">
        <v>3398869</v>
      </c>
      <c r="N11" s="21">
        <v>3444711</v>
      </c>
      <c r="O11" s="21">
        <v>4610279</v>
      </c>
      <c r="P11" s="21">
        <v>5262336</v>
      </c>
      <c r="Q11" s="21">
        <v>5825078</v>
      </c>
      <c r="R11" s="21">
        <f>454599+5841550+761827</f>
        <v>7057976</v>
      </c>
      <c r="S11" s="21">
        <f>525617+5846757+983421</f>
        <v>7355795</v>
      </c>
      <c r="T11" s="21">
        <f>447184+5980993+1352773</f>
        <v>7780950</v>
      </c>
      <c r="U11" s="21">
        <f>462236+6337611+196718+284009+272511</f>
        <v>7553085</v>
      </c>
      <c r="V11" s="21">
        <f>160350+7504368+209692+78510+431466+0+0+0+49324</f>
        <v>8433710</v>
      </c>
      <c r="W11" s="21">
        <f>266602+11946685+242285+59600+531196+38500+168606+0+0+0+72703</f>
        <v>13326177</v>
      </c>
      <c r="X11" s="21">
        <f>355833+14049187+337454+23318+569295+78000+175477+0+0+0+55628</f>
        <v>15644192</v>
      </c>
      <c r="Y11" s="21">
        <f>0+14349347+0+21371+461675+58500+37684+0+0+0+50507</f>
        <v>14979084</v>
      </c>
      <c r="Z11" s="21">
        <f>0+14457602+0+600000+426254+51500+169498+0+0+0+71065</f>
        <v>15775919</v>
      </c>
      <c r="AA11" s="21">
        <f>0+14025030+568740+388662+37186+270654+0+0+0+59763</f>
        <v>15350035</v>
      </c>
      <c r="AB11" s="21">
        <f>0+13788784+0+485635+451836+22475+2090195+0+0+49510</f>
        <v>16888435</v>
      </c>
      <c r="AC11" s="21">
        <f>0+12931850+0+644706+449228+23175+2176117+0+0+0+49350</f>
        <v>16274426</v>
      </c>
      <c r="AD11" s="21">
        <f>0+12403069+0+0+447500+9318+148045+0+57000+53338</f>
        <v>13118270</v>
      </c>
      <c r="AE11" s="21">
        <f>0+13939384+0+0+495143+11190+2024492+0+0+0+54319</f>
        <v>16524528</v>
      </c>
      <c r="AF11" s="21">
        <f>13658807+0+503250+11224+1860248+0+0+0+68643</f>
        <v>16102172</v>
      </c>
      <c r="AG11" s="21">
        <f>12957769+0+500048+11744+1949118+0+0+0+138512</f>
        <v>15557191</v>
      </c>
      <c r="AH11" s="21">
        <f>12496330+760760+3768+1742681+0+0+0+1886430</f>
        <v>16889969</v>
      </c>
      <c r="AI11" s="21">
        <f>12683141+0+867302+9430+1178018+0+0+0+52022</f>
        <v>14789913</v>
      </c>
      <c r="AJ11" s="21">
        <f>13525929+0+663042+2358+1565846+0+0+0+83156</f>
        <v>15840331</v>
      </c>
      <c r="AK11" s="21">
        <f>15603495+0+702654+20017+1841056+0+0+0+44462</f>
        <v>18211684</v>
      </c>
      <c r="AL11" s="22"/>
    </row>
    <row r="12" spans="1:39" ht="13.5" customHeight="1" x14ac:dyDescent="0.2">
      <c r="A12" s="15"/>
      <c r="D12" s="1" t="s">
        <v>28</v>
      </c>
      <c r="E12" s="23"/>
      <c r="F12" s="23">
        <v>6981903</v>
      </c>
      <c r="G12" s="23">
        <v>9395019</v>
      </c>
      <c r="H12" s="23">
        <v>12200536</v>
      </c>
      <c r="I12" s="23">
        <v>15991133</v>
      </c>
      <c r="J12" s="23">
        <v>18914859</v>
      </c>
      <c r="K12" s="23">
        <v>19876112</v>
      </c>
      <c r="L12" s="23">
        <v>18535440</v>
      </c>
      <c r="M12" s="23">
        <v>19576714</v>
      </c>
      <c r="N12" s="23">
        <v>18321348</v>
      </c>
      <c r="O12" s="23">
        <v>18973208</v>
      </c>
      <c r="P12" s="23">
        <v>24270039</v>
      </c>
      <c r="Q12" s="23">
        <v>28385253</v>
      </c>
      <c r="R12" s="23">
        <f>1532437+16430250+12869794+771921+0+0+0+172661+0+0</f>
        <v>31777063</v>
      </c>
      <c r="S12" s="23">
        <f>974460+16635385+13138985+1432685+0+0+0+207117+0+0</f>
        <v>32388632</v>
      </c>
      <c r="T12" s="23">
        <f>771799+15914561+12762367+2146329+0+0+0+69000+0+0</f>
        <v>31664056</v>
      </c>
      <c r="U12" s="23">
        <f>1146308+15981186+11814757+3250559+135306</f>
        <v>32328116</v>
      </c>
      <c r="V12" s="23">
        <f>0+0+0+421813+43450+0+1114407+3600758+16598794+18559462+0+0+0</f>
        <v>40338684</v>
      </c>
      <c r="W12" s="23">
        <f>19130404+21017309+8787278+453631+74000+22534+376517+0+0+0+0+0+0</f>
        <v>49861673</v>
      </c>
      <c r="X12" s="23">
        <f>20972025+22118271+9424206+199234+26105+15295+337454+0+0+0+0+0+2190</f>
        <v>53094780</v>
      </c>
      <c r="Y12" s="23">
        <f>21052191+21966952+10643096+180800+22000+0+575316+0+0+0+0+0+0</f>
        <v>54440355</v>
      </c>
      <c r="Z12" s="23">
        <f>19371279+22332568+8793771+167743+28000+0+754791+0+0+0+0+0+0</f>
        <v>51448152</v>
      </c>
      <c r="AA12" s="23">
        <f>19378928+21184408+8119196+104500+15000+0+1548490+0+0+0+0+0+0</f>
        <v>50350522</v>
      </c>
      <c r="AB12" s="23">
        <f>16925226+19193549+7382007+210000+30000+0+839039+0+0+0+0+0+0</f>
        <v>44579821</v>
      </c>
      <c r="AC12" s="23">
        <f>15775612+17694517+8178134+175000+0+0+1346490+0+0+0+0+0+0</f>
        <v>43169753</v>
      </c>
      <c r="AD12" s="23">
        <f>14980719+16593705+8259836+95168+64249+0+1282385+0+0+0+0+0+0</f>
        <v>41276062</v>
      </c>
      <c r="AE12" s="23">
        <f>14460171+14863544+8286242+93000+39908+0+780814+0+0+0+0+0+0</f>
        <v>38523679</v>
      </c>
      <c r="AF12" s="23">
        <f>13120653+13043202+8207296+63500+20800+0+0+0+0+0+0</f>
        <v>34455451</v>
      </c>
      <c r="AG12" s="23">
        <f>11545212+12483608+7693732+50060+15250+0+0+0+0+0+0</f>
        <v>31787862</v>
      </c>
      <c r="AH12" s="23">
        <f>9848735+10712985+6433861+91300+66532+0+0+0+0+0+0</f>
        <v>27153413</v>
      </c>
      <c r="AI12" s="23">
        <f>8589492+9685368+7183449+47746+10100+0+0+0+0+0+0</f>
        <v>25516155</v>
      </c>
      <c r="AJ12" s="23">
        <f>7799680+8900531+7016024+11000+0+0+0+0</f>
        <v>23727235</v>
      </c>
      <c r="AK12" s="23">
        <f>8144277+8719031+4922558+27500+0+0+0+0+0+0+0</f>
        <v>21813366</v>
      </c>
      <c r="AL12" s="22"/>
    </row>
    <row r="13" spans="1:39" ht="13.5" customHeight="1" x14ac:dyDescent="0.2">
      <c r="A13" s="15"/>
      <c r="D13" s="1" t="s">
        <v>29</v>
      </c>
      <c r="E13" s="23"/>
      <c r="F13" s="24">
        <v>467555</v>
      </c>
      <c r="G13" s="24">
        <v>419438</v>
      </c>
      <c r="H13" s="24">
        <v>426615</v>
      </c>
      <c r="I13" s="24">
        <v>453269</v>
      </c>
      <c r="J13" s="24">
        <v>609799</v>
      </c>
      <c r="K13" s="24">
        <v>825636</v>
      </c>
      <c r="L13" s="24">
        <v>409988</v>
      </c>
      <c r="M13" s="24">
        <v>498048</v>
      </c>
      <c r="N13" s="24">
        <v>663670</v>
      </c>
      <c r="O13" s="24">
        <v>926559</v>
      </c>
      <c r="P13" s="24">
        <v>1192123</v>
      </c>
      <c r="Q13" s="24">
        <v>1031508</v>
      </c>
      <c r="R13" s="24">
        <f>1218032</f>
        <v>1218032</v>
      </c>
      <c r="S13" s="24">
        <f>1336332</f>
        <v>1336332</v>
      </c>
      <c r="T13" s="24">
        <v>1346509</v>
      </c>
      <c r="U13" s="24">
        <f>1327074</f>
        <v>1327074</v>
      </c>
      <c r="V13" s="24">
        <f>1458685</f>
        <v>1458685</v>
      </c>
      <c r="W13" s="24">
        <f>1620999</f>
        <v>1620999</v>
      </c>
      <c r="X13" s="24">
        <f>1036433</f>
        <v>1036433</v>
      </c>
      <c r="Y13" s="24">
        <f>1235712</f>
        <v>1235712</v>
      </c>
      <c r="Z13" s="24">
        <f>1128876</f>
        <v>1128876</v>
      </c>
      <c r="AA13" s="24">
        <f>1058233</f>
        <v>1058233</v>
      </c>
      <c r="AB13" s="24">
        <v>995420</v>
      </c>
      <c r="AC13" s="24">
        <v>1072378</v>
      </c>
      <c r="AD13" s="24">
        <v>1082683</v>
      </c>
      <c r="AE13" s="24">
        <v>1134629</v>
      </c>
      <c r="AF13" s="24">
        <v>1123130</v>
      </c>
      <c r="AG13" s="24">
        <f>1036705</f>
        <v>1036705</v>
      </c>
      <c r="AH13" s="24">
        <v>705735</v>
      </c>
      <c r="AI13" s="24">
        <f>724037</f>
        <v>724037</v>
      </c>
      <c r="AJ13" s="24">
        <v>745637</v>
      </c>
      <c r="AK13" s="24">
        <v>964941</v>
      </c>
      <c r="AL13" s="22"/>
    </row>
    <row r="14" spans="1:39" ht="13.5" customHeight="1" x14ac:dyDescent="0.2">
      <c r="A14" s="15"/>
      <c r="E14" s="23"/>
      <c r="F14" s="21">
        <f t="shared" ref="F14:L14" si="0">F11+F12+F13</f>
        <v>10033290</v>
      </c>
      <c r="G14" s="21">
        <f t="shared" si="0"/>
        <v>11707848</v>
      </c>
      <c r="H14" s="21">
        <f t="shared" si="0"/>
        <v>14706608</v>
      </c>
      <c r="I14" s="21">
        <f t="shared" si="0"/>
        <v>18688693</v>
      </c>
      <c r="J14" s="21">
        <f t="shared" si="0"/>
        <v>22075476</v>
      </c>
      <c r="K14" s="21">
        <f t="shared" si="0"/>
        <v>23503516</v>
      </c>
      <c r="L14" s="21">
        <f t="shared" si="0"/>
        <v>22169439</v>
      </c>
      <c r="M14" s="21">
        <f t="shared" ref="M14:AA14" si="1">SUM(M11:M13)</f>
        <v>23473631</v>
      </c>
      <c r="N14" s="21">
        <f t="shared" si="1"/>
        <v>22429729</v>
      </c>
      <c r="O14" s="21">
        <f t="shared" si="1"/>
        <v>24510046</v>
      </c>
      <c r="P14" s="21">
        <f t="shared" si="1"/>
        <v>30724498</v>
      </c>
      <c r="Q14" s="21">
        <f t="shared" si="1"/>
        <v>35241839</v>
      </c>
      <c r="R14" s="21">
        <f t="shared" si="1"/>
        <v>40053071</v>
      </c>
      <c r="S14" s="21">
        <f t="shared" si="1"/>
        <v>41080759</v>
      </c>
      <c r="T14" s="21">
        <f t="shared" si="1"/>
        <v>40791515</v>
      </c>
      <c r="U14" s="21">
        <f t="shared" si="1"/>
        <v>41208275</v>
      </c>
      <c r="V14" s="21">
        <f t="shared" si="1"/>
        <v>50231079</v>
      </c>
      <c r="W14" s="21">
        <f t="shared" si="1"/>
        <v>64808849</v>
      </c>
      <c r="X14" s="21">
        <f t="shared" si="1"/>
        <v>69775405</v>
      </c>
      <c r="Y14" s="21">
        <f t="shared" si="1"/>
        <v>70655151</v>
      </c>
      <c r="Z14" s="21">
        <f t="shared" si="1"/>
        <v>68352947</v>
      </c>
      <c r="AA14" s="21">
        <f t="shared" si="1"/>
        <v>66758790</v>
      </c>
      <c r="AB14" s="21">
        <f t="shared" ref="AB14:AC14" si="2">SUM(AB11:AB13)</f>
        <v>62463676</v>
      </c>
      <c r="AC14" s="21">
        <f t="shared" si="2"/>
        <v>60516557</v>
      </c>
      <c r="AD14" s="21">
        <f t="shared" ref="AD14:AE14" si="3">SUM(AD11:AD13)</f>
        <v>55477015</v>
      </c>
      <c r="AE14" s="21">
        <f t="shared" si="3"/>
        <v>56182836</v>
      </c>
      <c r="AF14" s="21">
        <f t="shared" ref="AF14:AG14" si="4">SUM(AF11:AF13)</f>
        <v>51680753</v>
      </c>
      <c r="AG14" s="21">
        <f t="shared" si="4"/>
        <v>48381758</v>
      </c>
      <c r="AH14" s="21">
        <f t="shared" ref="AH14:AI14" si="5">SUM(AH11:AH13)</f>
        <v>44749117</v>
      </c>
      <c r="AI14" s="21">
        <f t="shared" si="5"/>
        <v>41030105</v>
      </c>
      <c r="AJ14" s="21">
        <f t="shared" ref="AJ14:AK14" si="6">SUM(AJ11:AJ13)</f>
        <v>40313203</v>
      </c>
      <c r="AK14" s="21">
        <f t="shared" si="6"/>
        <v>40989991</v>
      </c>
      <c r="AL14" s="22"/>
    </row>
    <row r="15" spans="1:39" ht="13.5" hidden="1" customHeight="1" x14ac:dyDescent="0.2">
      <c r="A15" s="15"/>
      <c r="D15" s="26"/>
      <c r="E15" s="45"/>
      <c r="F15" s="28">
        <v>-199128</v>
      </c>
      <c r="G15" s="28">
        <v>-206881</v>
      </c>
      <c r="H15" s="30"/>
      <c r="I15" s="28">
        <v>-244673</v>
      </c>
      <c r="J15" s="28">
        <v>-212419</v>
      </c>
      <c r="K15" s="28">
        <v>-278407</v>
      </c>
      <c r="L15" s="28">
        <v>-265996</v>
      </c>
      <c r="M15" s="28">
        <v>-274496</v>
      </c>
      <c r="N15" s="28">
        <v>-315695</v>
      </c>
      <c r="O15" s="28">
        <v>-371181</v>
      </c>
      <c r="P15" s="28">
        <v>-426820</v>
      </c>
      <c r="Q15" s="28">
        <v>-386984</v>
      </c>
      <c r="R15" s="28">
        <v>-433479</v>
      </c>
      <c r="S15" s="28">
        <v>-465487</v>
      </c>
      <c r="T15" s="28">
        <v>-448423</v>
      </c>
      <c r="U15" s="28">
        <v>-447328</v>
      </c>
      <c r="V15" s="28">
        <v>-477652</v>
      </c>
      <c r="W15" s="28">
        <v>-538049</v>
      </c>
      <c r="X15" s="28">
        <v>-401432</v>
      </c>
      <c r="Y15" s="28">
        <v>-421380</v>
      </c>
      <c r="Z15" s="28">
        <v>-386719</v>
      </c>
      <c r="AA15" s="28">
        <v>-363249</v>
      </c>
      <c r="AB15" s="28">
        <v>-361814</v>
      </c>
      <c r="AC15" s="28">
        <v>-380402</v>
      </c>
      <c r="AD15" s="28">
        <v>-382546</v>
      </c>
      <c r="AE15" s="28">
        <v>-407443</v>
      </c>
      <c r="AF15" s="28">
        <v>-406594</v>
      </c>
      <c r="AG15" s="28">
        <v>-312815</v>
      </c>
      <c r="AH15" s="28">
        <v>-366624</v>
      </c>
      <c r="AI15" s="28">
        <v>-181009</v>
      </c>
      <c r="AJ15" s="28">
        <v>-186409</v>
      </c>
      <c r="AK15" s="28">
        <v>0</v>
      </c>
      <c r="AL15" s="22"/>
    </row>
    <row r="16" spans="1:39" ht="13.5" customHeight="1" x14ac:dyDescent="0.2">
      <c r="A16" s="15"/>
      <c r="D16" s="26"/>
      <c r="E16" s="27" t="s">
        <v>30</v>
      </c>
      <c r="F16" s="29">
        <f t="shared" ref="F16:AA16" si="7">SUM(F14:F15)</f>
        <v>9834162</v>
      </c>
      <c r="G16" s="29">
        <f t="shared" si="7"/>
        <v>11500967</v>
      </c>
      <c r="H16" s="29"/>
      <c r="I16" s="29">
        <f t="shared" si="7"/>
        <v>18444020</v>
      </c>
      <c r="J16" s="29">
        <f t="shared" si="7"/>
        <v>21863057</v>
      </c>
      <c r="K16" s="29">
        <f t="shared" si="7"/>
        <v>23225109</v>
      </c>
      <c r="L16" s="29">
        <f t="shared" si="7"/>
        <v>21903443</v>
      </c>
      <c r="M16" s="29">
        <f t="shared" si="7"/>
        <v>23199135</v>
      </c>
      <c r="N16" s="29">
        <f t="shared" si="7"/>
        <v>22114034</v>
      </c>
      <c r="O16" s="29">
        <f t="shared" si="7"/>
        <v>24138865</v>
      </c>
      <c r="P16" s="29">
        <f t="shared" si="7"/>
        <v>30297678</v>
      </c>
      <c r="Q16" s="29">
        <f t="shared" si="7"/>
        <v>34854855</v>
      </c>
      <c r="R16" s="29">
        <f t="shared" si="7"/>
        <v>39619592</v>
      </c>
      <c r="S16" s="29">
        <f t="shared" si="7"/>
        <v>40615272</v>
      </c>
      <c r="T16" s="29">
        <f t="shared" si="7"/>
        <v>40343092</v>
      </c>
      <c r="U16" s="29">
        <f t="shared" si="7"/>
        <v>40760947</v>
      </c>
      <c r="V16" s="29">
        <f t="shared" si="7"/>
        <v>49753427</v>
      </c>
      <c r="W16" s="29">
        <f t="shared" si="7"/>
        <v>64270800</v>
      </c>
      <c r="X16" s="29">
        <f t="shared" si="7"/>
        <v>69373973</v>
      </c>
      <c r="Y16" s="29">
        <f t="shared" si="7"/>
        <v>70233771</v>
      </c>
      <c r="Z16" s="29">
        <f t="shared" si="7"/>
        <v>67966228</v>
      </c>
      <c r="AA16" s="29">
        <f t="shared" si="7"/>
        <v>66395541</v>
      </c>
      <c r="AB16" s="29">
        <f t="shared" ref="AB16:AC16" si="8">SUM(AB14:AB15)</f>
        <v>62101862</v>
      </c>
      <c r="AC16" s="29">
        <f t="shared" si="8"/>
        <v>60136155</v>
      </c>
      <c r="AD16" s="29">
        <f t="shared" ref="AD16:AE16" si="9">SUM(AD14:AD15)</f>
        <v>55094469</v>
      </c>
      <c r="AE16" s="29">
        <f t="shared" si="9"/>
        <v>55775393</v>
      </c>
      <c r="AF16" s="29">
        <f t="shared" ref="AF16:AG16" si="10">SUM(AF14:AF15)</f>
        <v>51274159</v>
      </c>
      <c r="AG16" s="29">
        <f t="shared" si="10"/>
        <v>48068943</v>
      </c>
      <c r="AH16" s="29">
        <f t="shared" ref="AH16:AI16" si="11">SUM(AH14:AH15)</f>
        <v>44382493</v>
      </c>
      <c r="AI16" s="29">
        <f t="shared" si="11"/>
        <v>40849096</v>
      </c>
      <c r="AJ16" s="29">
        <f t="shared" ref="AJ16:AK16" si="12">SUM(AJ14:AJ15)</f>
        <v>40126794</v>
      </c>
      <c r="AK16" s="29">
        <f t="shared" si="12"/>
        <v>40989991</v>
      </c>
      <c r="AL16" s="22"/>
    </row>
    <row r="17" spans="1:38" ht="13.5" customHeight="1" x14ac:dyDescent="0.2">
      <c r="A17" s="15"/>
      <c r="C17" s="2" t="s">
        <v>31</v>
      </c>
      <c r="AL17" s="17"/>
    </row>
    <row r="18" spans="1:38" ht="13.5" customHeight="1" x14ac:dyDescent="0.2">
      <c r="A18" s="15"/>
      <c r="D18" s="1" t="s">
        <v>27</v>
      </c>
      <c r="E18" s="21"/>
      <c r="F18" s="21">
        <v>864483</v>
      </c>
      <c r="G18" s="21">
        <v>876276</v>
      </c>
      <c r="H18" s="21">
        <v>7791239</v>
      </c>
      <c r="I18" s="21">
        <v>1024108</v>
      </c>
      <c r="J18" s="21">
        <v>882072</v>
      </c>
      <c r="K18" s="21">
        <v>979495</v>
      </c>
      <c r="L18" s="21">
        <v>1196967</v>
      </c>
      <c r="M18" s="21">
        <v>1272876</v>
      </c>
      <c r="N18" s="21">
        <v>1270751</v>
      </c>
      <c r="O18" s="21">
        <v>1506295</v>
      </c>
      <c r="P18" s="21">
        <v>1437732</v>
      </c>
      <c r="Q18" s="21">
        <v>1440920</v>
      </c>
      <c r="R18" s="21">
        <f>250500+616757+218518+0+0+10500+0+260067+24242</f>
        <v>1380584</v>
      </c>
      <c r="S18" s="21">
        <f>301500+627000+342325+0+0+3897+9000+0+246003+51366</f>
        <v>1581091</v>
      </c>
      <c r="T18" s="21">
        <f>280500+696000+352853+0+0+0+0+11250+265626+54953</f>
        <v>1661182</v>
      </c>
      <c r="U18" s="21">
        <f>761000+2175739+26250+254994+128399</f>
        <v>3346382</v>
      </c>
      <c r="V18" s="21">
        <f>2280775+0+50150+542500+0+23000+3000+0+25500+0+128485+0+126479</f>
        <v>3179889</v>
      </c>
      <c r="W18" s="21">
        <f>1921674+0+44250+713480+0+0+21000+0+0+22510+0+223898+0+164747</f>
        <v>3111559</v>
      </c>
      <c r="X18" s="21">
        <f>1338145+0+20650+504000+0+4410+14000+0+0+19500+0+263504+0+36842</f>
        <v>2201051</v>
      </c>
      <c r="Y18" s="21">
        <f>1447985+0+8850+474875+0+3084+5000+0+0+527+0+197453+0+29650</f>
        <v>2167424</v>
      </c>
      <c r="Z18" s="21">
        <f>1786275+0+2950+561000+0+1594+3000+0+0+0+0+0+0+178496+76000+33698</f>
        <v>2643013</v>
      </c>
      <c r="AA18" s="21">
        <f>1703223+0+0+735000+0+2431+0+0+0+0+0+0+0+238936+0+3924</f>
        <v>2683514</v>
      </c>
      <c r="AB18" s="21">
        <f>1749750+0+0+887500+0+4052+0+0+0+0+0+500+0+151383+2125+0</f>
        <v>2795310</v>
      </c>
      <c r="AC18" s="21">
        <f>2783425+0+0+960000+0+6535+0+0+0+0+0+0+0+198828+1500+95257</f>
        <v>4045545</v>
      </c>
      <c r="AD18" s="21">
        <f>2786595+0+0+992200+0+8169+0+0+9943+0+0+0+0+171105+3000+120162</f>
        <v>4091174</v>
      </c>
      <c r="AE18" s="21">
        <f>2921975+0+0+1086500+0+5838+0+0+6768+0+0+0+0+183091+11810+151843</f>
        <v>4367825</v>
      </c>
      <c r="AF18" s="21">
        <f>2747105+0+0+1176000+0+5054+0+6835+0+0+0+140008+1500+87067</f>
        <v>4163569</v>
      </c>
      <c r="AG18" s="21">
        <f>2610550+0+0+1248000+0+0+0+3588+0+0+0+149659+3000+141931</f>
        <v>4156728</v>
      </c>
      <c r="AH18" s="21">
        <f>2648256+0+0+996900+0+0+0+7344+0+0+0+132713+2050+117747</f>
        <v>3905010</v>
      </c>
      <c r="AI18" s="21">
        <f>3150290+0+0+1230000+0+0+0+7711+0+0+0+125810+9750+117512</f>
        <v>4641073</v>
      </c>
      <c r="AJ18" s="21">
        <f>3592412+0+1278500+0+0+0+8059+0+0+0+135290+14761+283686+0+0</f>
        <v>5312708</v>
      </c>
      <c r="AK18" s="21">
        <f>4105906+0+1141500+0+0+0+0+0+0+0+164413+11227+311471</f>
        <v>5734517</v>
      </c>
      <c r="AL18" s="22"/>
    </row>
    <row r="19" spans="1:38" ht="13.5" customHeight="1" x14ac:dyDescent="0.2">
      <c r="A19" s="15"/>
      <c r="D19" s="1" t="s">
        <v>28</v>
      </c>
      <c r="E19" s="23"/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48079</v>
      </c>
      <c r="N19" s="24">
        <v>27616</v>
      </c>
      <c r="O19" s="24">
        <v>17500</v>
      </c>
      <c r="P19" s="24">
        <v>5000</v>
      </c>
      <c r="Q19" s="24">
        <v>2500</v>
      </c>
      <c r="R19" s="24">
        <f>0+0</f>
        <v>0</v>
      </c>
      <c r="S19" s="24">
        <f>0+0</f>
        <v>0</v>
      </c>
      <c r="T19" s="24">
        <v>0</v>
      </c>
      <c r="U19" s="24">
        <v>0</v>
      </c>
      <c r="V19" s="24">
        <f>0+5000+0+0</f>
        <v>5000</v>
      </c>
      <c r="W19" s="24">
        <v>0</v>
      </c>
      <c r="X19" s="24">
        <v>0</v>
      </c>
      <c r="Y19" s="24">
        <v>0</v>
      </c>
      <c r="Z19" s="24">
        <v>0</v>
      </c>
      <c r="AA19" s="24">
        <f>0+17500+0+0</f>
        <v>17500</v>
      </c>
      <c r="AB19" s="24">
        <f>0+10000+0+0</f>
        <v>10000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2"/>
    </row>
    <row r="20" spans="1:38" ht="13.5" customHeight="1" x14ac:dyDescent="0.2">
      <c r="A20" s="15"/>
      <c r="E20" s="23"/>
      <c r="F20" s="21">
        <f t="shared" ref="F20:L20" si="13">SUM(F18:F19)</f>
        <v>864483</v>
      </c>
      <c r="G20" s="21">
        <f t="shared" si="13"/>
        <v>876276</v>
      </c>
      <c r="H20" s="21">
        <f t="shared" si="13"/>
        <v>7791239</v>
      </c>
      <c r="I20" s="21">
        <f t="shared" si="13"/>
        <v>1024108</v>
      </c>
      <c r="J20" s="21">
        <f t="shared" si="13"/>
        <v>882072</v>
      </c>
      <c r="K20" s="21">
        <f t="shared" si="13"/>
        <v>979495</v>
      </c>
      <c r="L20" s="21">
        <f t="shared" si="13"/>
        <v>1196967</v>
      </c>
      <c r="M20" s="21">
        <f t="shared" ref="M20:AA20" si="14">SUM(M18:M19)</f>
        <v>1320955</v>
      </c>
      <c r="N20" s="21">
        <f t="shared" si="14"/>
        <v>1298367</v>
      </c>
      <c r="O20" s="21">
        <f t="shared" si="14"/>
        <v>1523795</v>
      </c>
      <c r="P20" s="21">
        <f t="shared" si="14"/>
        <v>1442732</v>
      </c>
      <c r="Q20" s="21">
        <f t="shared" si="14"/>
        <v>1443420</v>
      </c>
      <c r="R20" s="21">
        <f t="shared" si="14"/>
        <v>1380584</v>
      </c>
      <c r="S20" s="21">
        <f t="shared" si="14"/>
        <v>1581091</v>
      </c>
      <c r="T20" s="21">
        <f t="shared" si="14"/>
        <v>1661182</v>
      </c>
      <c r="U20" s="21">
        <f t="shared" si="14"/>
        <v>3346382</v>
      </c>
      <c r="V20" s="21">
        <f t="shared" si="14"/>
        <v>3184889</v>
      </c>
      <c r="W20" s="21">
        <f t="shared" si="14"/>
        <v>3111559</v>
      </c>
      <c r="X20" s="21">
        <f t="shared" si="14"/>
        <v>2201051</v>
      </c>
      <c r="Y20" s="21">
        <f t="shared" si="14"/>
        <v>2167424</v>
      </c>
      <c r="Z20" s="21">
        <f t="shared" si="14"/>
        <v>2643013</v>
      </c>
      <c r="AA20" s="21">
        <f t="shared" si="14"/>
        <v>2701014</v>
      </c>
      <c r="AB20" s="21">
        <f t="shared" ref="AB20:AC20" si="15">SUM(AB18:AB19)</f>
        <v>2805310</v>
      </c>
      <c r="AC20" s="21">
        <f t="shared" si="15"/>
        <v>4045545</v>
      </c>
      <c r="AD20" s="21">
        <f t="shared" ref="AD20:AE20" si="16">SUM(AD18:AD19)</f>
        <v>4091174</v>
      </c>
      <c r="AE20" s="21">
        <f t="shared" si="16"/>
        <v>4367825</v>
      </c>
      <c r="AF20" s="21">
        <f t="shared" ref="AF20:AG20" si="17">SUM(AF18:AF19)</f>
        <v>4163569</v>
      </c>
      <c r="AG20" s="21">
        <f t="shared" si="17"/>
        <v>4156728</v>
      </c>
      <c r="AH20" s="21">
        <f t="shared" ref="AH20:AI20" si="18">SUM(AH18:AH19)</f>
        <v>3905010</v>
      </c>
      <c r="AI20" s="21">
        <f t="shared" si="18"/>
        <v>4641073</v>
      </c>
      <c r="AJ20" s="21">
        <f t="shared" ref="AJ20:AK20" si="19">SUM(AJ18:AJ19)</f>
        <v>5312708</v>
      </c>
      <c r="AK20" s="21">
        <f t="shared" si="19"/>
        <v>5734517</v>
      </c>
      <c r="AL20" s="17"/>
    </row>
    <row r="21" spans="1:38" ht="13.5" hidden="1" customHeight="1" x14ac:dyDescent="0.2">
      <c r="A21" s="15"/>
      <c r="D21" s="26"/>
      <c r="E21" s="45"/>
      <c r="F21" s="28">
        <v>-3000</v>
      </c>
      <c r="G21" s="28">
        <v>-3000</v>
      </c>
      <c r="H21" s="30"/>
      <c r="I21" s="28">
        <v>-4000</v>
      </c>
      <c r="J21" s="28">
        <v>-6000</v>
      </c>
      <c r="K21" s="28">
        <v>-2500</v>
      </c>
      <c r="L21" s="28">
        <v>-2000</v>
      </c>
      <c r="M21" s="28">
        <v>-9000</v>
      </c>
      <c r="N21" s="28">
        <v>-5000</v>
      </c>
      <c r="O21" s="28">
        <v>0</v>
      </c>
      <c r="P21" s="28">
        <v>0</v>
      </c>
      <c r="Q21" s="28">
        <v>-9319</v>
      </c>
      <c r="R21" s="28">
        <v>0</v>
      </c>
      <c r="S21" s="28">
        <v>-9000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17"/>
    </row>
    <row r="22" spans="1:38" ht="13.5" customHeight="1" x14ac:dyDescent="0.2">
      <c r="A22" s="15"/>
      <c r="D22" s="26"/>
      <c r="E22" s="27" t="s">
        <v>30</v>
      </c>
      <c r="F22" s="29">
        <f t="shared" ref="F22:AA22" si="20">SUM(F20:F21)</f>
        <v>861483</v>
      </c>
      <c r="G22" s="29">
        <f t="shared" si="20"/>
        <v>873276</v>
      </c>
      <c r="H22" s="29"/>
      <c r="I22" s="29">
        <f t="shared" si="20"/>
        <v>1020108</v>
      </c>
      <c r="J22" s="29">
        <f t="shared" si="20"/>
        <v>876072</v>
      </c>
      <c r="K22" s="29">
        <f t="shared" si="20"/>
        <v>976995</v>
      </c>
      <c r="L22" s="29">
        <f t="shared" si="20"/>
        <v>1194967</v>
      </c>
      <c r="M22" s="29">
        <f t="shared" si="20"/>
        <v>1311955</v>
      </c>
      <c r="N22" s="29">
        <f t="shared" si="20"/>
        <v>1293367</v>
      </c>
      <c r="O22" s="29">
        <f t="shared" si="20"/>
        <v>1523795</v>
      </c>
      <c r="P22" s="29">
        <f t="shared" si="20"/>
        <v>1442732</v>
      </c>
      <c r="Q22" s="29">
        <f t="shared" si="20"/>
        <v>1434101</v>
      </c>
      <c r="R22" s="29">
        <f t="shared" si="20"/>
        <v>1380584</v>
      </c>
      <c r="S22" s="29">
        <f t="shared" si="20"/>
        <v>1572091</v>
      </c>
      <c r="T22" s="29">
        <f t="shared" si="20"/>
        <v>1661182</v>
      </c>
      <c r="U22" s="29">
        <f t="shared" si="20"/>
        <v>3346382</v>
      </c>
      <c r="V22" s="29">
        <f t="shared" si="20"/>
        <v>3184889</v>
      </c>
      <c r="W22" s="29">
        <f t="shared" si="20"/>
        <v>3111559</v>
      </c>
      <c r="X22" s="29">
        <f t="shared" si="20"/>
        <v>2201051</v>
      </c>
      <c r="Y22" s="29">
        <f t="shared" si="20"/>
        <v>2167424</v>
      </c>
      <c r="Z22" s="29">
        <f t="shared" si="20"/>
        <v>2643013</v>
      </c>
      <c r="AA22" s="29">
        <f t="shared" si="20"/>
        <v>2701014</v>
      </c>
      <c r="AB22" s="29">
        <f t="shared" ref="AB22:AC22" si="21">SUM(AB20:AB21)</f>
        <v>2805310</v>
      </c>
      <c r="AC22" s="29">
        <f t="shared" si="21"/>
        <v>4045545</v>
      </c>
      <c r="AD22" s="29">
        <f t="shared" ref="AD22:AE22" si="22">SUM(AD20:AD21)</f>
        <v>4091174</v>
      </c>
      <c r="AE22" s="29">
        <f t="shared" si="22"/>
        <v>4367825</v>
      </c>
      <c r="AF22" s="29">
        <f t="shared" ref="AF22:AG22" si="23">SUM(AF20:AF21)</f>
        <v>4163569</v>
      </c>
      <c r="AG22" s="29">
        <f t="shared" si="23"/>
        <v>4156728</v>
      </c>
      <c r="AH22" s="29">
        <f t="shared" ref="AH22:AI22" si="24">SUM(AH20:AH21)</f>
        <v>3905010</v>
      </c>
      <c r="AI22" s="29">
        <f t="shared" si="24"/>
        <v>4641073</v>
      </c>
      <c r="AJ22" s="29">
        <f t="shared" ref="AJ22:AK22" si="25">SUM(AJ20:AJ21)</f>
        <v>5312708</v>
      </c>
      <c r="AK22" s="29">
        <f t="shared" si="25"/>
        <v>5734517</v>
      </c>
      <c r="AL22" s="22"/>
    </row>
    <row r="23" spans="1:38" ht="13.5" customHeight="1" x14ac:dyDescent="0.2">
      <c r="A23" s="15"/>
      <c r="C23" s="2" t="s">
        <v>32</v>
      </c>
      <c r="D23" s="2"/>
      <c r="E23" s="23"/>
      <c r="AL23" s="17"/>
    </row>
    <row r="24" spans="1:38" ht="13.5" customHeight="1" x14ac:dyDescent="0.2">
      <c r="A24" s="15"/>
      <c r="D24" s="1" t="s">
        <v>27</v>
      </c>
      <c r="E24" s="21"/>
      <c r="F24" s="21">
        <v>5281596</v>
      </c>
      <c r="G24" s="21">
        <v>6001302</v>
      </c>
      <c r="H24" s="21">
        <v>881376</v>
      </c>
      <c r="I24" s="21">
        <v>8631664</v>
      </c>
      <c r="J24" s="21">
        <v>8376007</v>
      </c>
      <c r="K24" s="21">
        <v>8035553</v>
      </c>
      <c r="L24" s="21">
        <v>8192404</v>
      </c>
      <c r="M24" s="21">
        <v>8278639</v>
      </c>
      <c r="N24" s="21">
        <v>8859440</v>
      </c>
      <c r="O24" s="21">
        <v>10280191</v>
      </c>
      <c r="P24" s="21">
        <v>10283867</v>
      </c>
      <c r="Q24" s="21">
        <v>10467459</v>
      </c>
      <c r="R24" s="21">
        <f>1155794+6428423+1490193+2661597+6930</f>
        <v>11742937</v>
      </c>
      <c r="S24" s="21">
        <f>1678679+6577817+1403301+2812243+10802</f>
        <v>12482842</v>
      </c>
      <c r="T24" s="21">
        <f>1927370+6540418+1498039+3090932+24790</f>
        <v>13081549</v>
      </c>
      <c r="U24" s="21">
        <f>1630054+3440259+1797925+7315368+5962</f>
        <v>14189568</v>
      </c>
      <c r="V24" s="21">
        <f>1181834+11460691+2606710+570709+13976</f>
        <v>15833920</v>
      </c>
      <c r="W24" s="21">
        <f>332002+12598601+2708188+417573+15506</f>
        <v>16071870</v>
      </c>
      <c r="X24" s="21">
        <f>303189+12933126+2974181+362713+6613</f>
        <v>16579822</v>
      </c>
      <c r="Y24" s="21">
        <f>337290+13541173+3283953+325986+19271</f>
        <v>17507673</v>
      </c>
      <c r="Z24" s="21">
        <f>1017444+12623046+3377287+206169+18590</f>
        <v>17242536</v>
      </c>
      <c r="AA24" s="21">
        <f>964180+12622224+3440963+165030+32683</f>
        <v>17225080</v>
      </c>
      <c r="AB24" s="21">
        <f>1389420+12700487+3578780+225474+25681</f>
        <v>17919842</v>
      </c>
      <c r="AC24" s="21">
        <f>1477083+12825293+3601855+623736+24588</f>
        <v>18552555</v>
      </c>
      <c r="AD24" s="21">
        <f>1402496+14146188+3946691+660520+47710</f>
        <v>20203605</v>
      </c>
      <c r="AE24" s="21">
        <f>1364504+15451561+3728916+830084+64352</f>
        <v>21439417</v>
      </c>
      <c r="AF24" s="21">
        <f>1175650+13860031+3711311+758191+40674</f>
        <v>19545857</v>
      </c>
      <c r="AG24" s="21">
        <f>2218014+15494453+3395274+767602+110331</f>
        <v>21985674</v>
      </c>
      <c r="AH24" s="21">
        <f>3307348+14408181+3224722+1003575+54655</f>
        <v>21998481</v>
      </c>
      <c r="AI24" s="21">
        <f>4132429+16659384+3009451+939079+130744</f>
        <v>24871087</v>
      </c>
      <c r="AJ24" s="21">
        <f>5622463+17671509+3777006+1050081+58059</f>
        <v>28179118</v>
      </c>
      <c r="AK24" s="21">
        <f>5688053+19054384+4604518+1198217+408712</f>
        <v>30953884</v>
      </c>
      <c r="AL24" s="22"/>
    </row>
    <row r="25" spans="1:38" ht="13.5" customHeight="1" x14ac:dyDescent="0.2">
      <c r="A25" s="15"/>
      <c r="D25" s="1" t="s">
        <v>28</v>
      </c>
      <c r="E25" s="23"/>
      <c r="F25" s="23">
        <v>30900</v>
      </c>
      <c r="G25" s="23">
        <v>16350</v>
      </c>
      <c r="H25" s="23">
        <v>10841</v>
      </c>
      <c r="I25" s="23">
        <v>205257</v>
      </c>
      <c r="J25" s="23">
        <v>97606</v>
      </c>
      <c r="K25" s="23">
        <v>190390</v>
      </c>
      <c r="L25" s="23">
        <v>127258</v>
      </c>
      <c r="M25" s="23">
        <v>245870</v>
      </c>
      <c r="N25" s="23">
        <v>261603</v>
      </c>
      <c r="O25" s="23">
        <v>186317</v>
      </c>
      <c r="P25" s="23">
        <v>245663</v>
      </c>
      <c r="Q25" s="23">
        <v>179127</v>
      </c>
      <c r="R25" s="23">
        <f>241451+45259</f>
        <v>286710</v>
      </c>
      <c r="S25" s="23">
        <f>224859+72278</f>
        <v>297137</v>
      </c>
      <c r="T25" s="23">
        <f>186594+52867</f>
        <v>239461</v>
      </c>
      <c r="U25" s="23">
        <f>90831+14000</f>
        <v>104831</v>
      </c>
      <c r="V25" s="23">
        <f>85587+308736</f>
        <v>394323</v>
      </c>
      <c r="W25" s="23">
        <f>181021+79939</f>
        <v>260960</v>
      </c>
      <c r="X25" s="21">
        <f>69562+83226</f>
        <v>152788</v>
      </c>
      <c r="Y25" s="21">
        <f>63000+80270</f>
        <v>143270</v>
      </c>
      <c r="Z25" s="21">
        <f>68575+61695</f>
        <v>130270</v>
      </c>
      <c r="AA25" s="21">
        <f>88476+134157</f>
        <v>222633</v>
      </c>
      <c r="AB25" s="21">
        <f>37711+28490</f>
        <v>66201</v>
      </c>
      <c r="AC25" s="21">
        <f>35883+79925</f>
        <v>115808</v>
      </c>
      <c r="AD25" s="21">
        <f>45574+20997</f>
        <v>66571</v>
      </c>
      <c r="AE25" s="21">
        <f>229219+125293</f>
        <v>354512</v>
      </c>
      <c r="AF25" s="21">
        <f>236770+134706</f>
        <v>371476</v>
      </c>
      <c r="AG25" s="21">
        <f>126609+55473</f>
        <v>182082</v>
      </c>
      <c r="AH25" s="21">
        <f>139104+34589</f>
        <v>173693</v>
      </c>
      <c r="AI25" s="21">
        <f>27755+24172</f>
        <v>51927</v>
      </c>
      <c r="AJ25" s="21">
        <f>0+18500</f>
        <v>18500</v>
      </c>
      <c r="AK25" s="21">
        <f>82120+29925</f>
        <v>112045</v>
      </c>
      <c r="AL25" s="22"/>
    </row>
    <row r="26" spans="1:38" ht="13.5" customHeight="1" x14ac:dyDescent="0.2">
      <c r="A26" s="15"/>
      <c r="D26" s="1" t="s">
        <v>29</v>
      </c>
      <c r="E26" s="23"/>
      <c r="F26" s="24">
        <v>2702316</v>
      </c>
      <c r="G26" s="24">
        <v>2892249</v>
      </c>
      <c r="H26" s="24">
        <v>2377957</v>
      </c>
      <c r="I26" s="24">
        <v>2785572</v>
      </c>
      <c r="J26" s="24">
        <v>2587821</v>
      </c>
      <c r="K26" s="24">
        <v>2504320</v>
      </c>
      <c r="L26" s="24">
        <v>2439937</v>
      </c>
      <c r="M26" s="24">
        <v>2608936</v>
      </c>
      <c r="N26" s="24">
        <v>2393957</v>
      </c>
      <c r="O26" s="24">
        <v>2077766</v>
      </c>
      <c r="P26" s="24">
        <v>486861</v>
      </c>
      <c r="Q26" s="24">
        <v>988457</v>
      </c>
      <c r="R26" s="24">
        <f>0+1073499</f>
        <v>1073499</v>
      </c>
      <c r="S26" s="24">
        <f>0+494134</f>
        <v>494134</v>
      </c>
      <c r="T26" s="24">
        <f>21000+593479</f>
        <v>614479</v>
      </c>
      <c r="U26" s="24">
        <f>1544618</f>
        <v>1544618</v>
      </c>
      <c r="V26" s="24">
        <f>0+1745445</f>
        <v>1745445</v>
      </c>
      <c r="W26" s="24">
        <f>0+4124810</f>
        <v>4124810</v>
      </c>
      <c r="X26" s="24">
        <f>0+4468970</f>
        <v>4468970</v>
      </c>
      <c r="Y26" s="24">
        <f>0+4451747</f>
        <v>4451747</v>
      </c>
      <c r="Z26" s="24">
        <f>0+4439921</f>
        <v>4439921</v>
      </c>
      <c r="AA26" s="24">
        <f>0+4534798</f>
        <v>4534798</v>
      </c>
      <c r="AB26" s="24">
        <f>4428643</f>
        <v>4428643</v>
      </c>
      <c r="AC26" s="24">
        <f>0+4612335</f>
        <v>4612335</v>
      </c>
      <c r="AD26" s="24">
        <f>0+1940852</f>
        <v>1940852</v>
      </c>
      <c r="AE26" s="24">
        <f>0+4351823</f>
        <v>4351823</v>
      </c>
      <c r="AF26" s="24">
        <f>0+1766217</f>
        <v>1766217</v>
      </c>
      <c r="AG26" s="48">
        <f>0+1721968</f>
        <v>1721968</v>
      </c>
      <c r="AH26" s="48">
        <f>0+1266738</f>
        <v>1266738</v>
      </c>
      <c r="AI26" s="48">
        <f>1487029</f>
        <v>1487029</v>
      </c>
      <c r="AJ26" s="48">
        <f>0+1883817</f>
        <v>1883817</v>
      </c>
      <c r="AK26" s="48">
        <f>0+2256627</f>
        <v>2256627</v>
      </c>
      <c r="AL26" s="22"/>
    </row>
    <row r="27" spans="1:38" ht="13.5" customHeight="1" x14ac:dyDescent="0.2">
      <c r="A27" s="15"/>
      <c r="E27" s="21"/>
      <c r="F27" s="21">
        <f t="shared" ref="F27:L27" si="26">F24+F25+F26</f>
        <v>8014812</v>
      </c>
      <c r="G27" s="21">
        <f t="shared" si="26"/>
        <v>8909901</v>
      </c>
      <c r="H27" s="21">
        <f t="shared" si="26"/>
        <v>3270174</v>
      </c>
      <c r="I27" s="21">
        <f t="shared" si="26"/>
        <v>11622493</v>
      </c>
      <c r="J27" s="21">
        <f t="shared" si="26"/>
        <v>11061434</v>
      </c>
      <c r="K27" s="21">
        <f t="shared" si="26"/>
        <v>10730263</v>
      </c>
      <c r="L27" s="21">
        <f t="shared" si="26"/>
        <v>10759599</v>
      </c>
      <c r="M27" s="21">
        <f t="shared" ref="M27:AA27" si="27">SUM(M24:M26)</f>
        <v>11133445</v>
      </c>
      <c r="N27" s="21">
        <f t="shared" si="27"/>
        <v>11515000</v>
      </c>
      <c r="O27" s="21">
        <f t="shared" si="27"/>
        <v>12544274</v>
      </c>
      <c r="P27" s="21">
        <f t="shared" si="27"/>
        <v>11016391</v>
      </c>
      <c r="Q27" s="21">
        <f t="shared" si="27"/>
        <v>11635043</v>
      </c>
      <c r="R27" s="21">
        <f t="shared" si="27"/>
        <v>13103146</v>
      </c>
      <c r="S27" s="21">
        <f t="shared" si="27"/>
        <v>13274113</v>
      </c>
      <c r="T27" s="21">
        <f t="shared" si="27"/>
        <v>13935489</v>
      </c>
      <c r="U27" s="21">
        <f t="shared" si="27"/>
        <v>15839017</v>
      </c>
      <c r="V27" s="21">
        <f t="shared" si="27"/>
        <v>17973688</v>
      </c>
      <c r="W27" s="21">
        <f t="shared" si="27"/>
        <v>20457640</v>
      </c>
      <c r="X27" s="21">
        <f t="shared" si="27"/>
        <v>21201580</v>
      </c>
      <c r="Y27" s="21">
        <f t="shared" si="27"/>
        <v>22102690</v>
      </c>
      <c r="Z27" s="21">
        <f t="shared" si="27"/>
        <v>21812727</v>
      </c>
      <c r="AA27" s="21">
        <f t="shared" si="27"/>
        <v>21982511</v>
      </c>
      <c r="AB27" s="21">
        <f t="shared" ref="AB27:AC27" si="28">SUM(AB24:AB26)</f>
        <v>22414686</v>
      </c>
      <c r="AC27" s="21">
        <f t="shared" si="28"/>
        <v>23280698</v>
      </c>
      <c r="AD27" s="21">
        <f t="shared" ref="AD27:AE27" si="29">SUM(AD24:AD26)</f>
        <v>22211028</v>
      </c>
      <c r="AE27" s="21">
        <f t="shared" si="29"/>
        <v>26145752</v>
      </c>
      <c r="AF27" s="21">
        <f t="shared" ref="AF27:AG27" si="30">SUM(AF24:AF26)</f>
        <v>21683550</v>
      </c>
      <c r="AG27" s="21">
        <f t="shared" si="30"/>
        <v>23889724</v>
      </c>
      <c r="AH27" s="21">
        <f t="shared" ref="AH27:AI27" si="31">SUM(AH24:AH26)</f>
        <v>23438912</v>
      </c>
      <c r="AI27" s="21">
        <f t="shared" si="31"/>
        <v>26410043</v>
      </c>
      <c r="AJ27" s="21">
        <f t="shared" ref="AJ27:AK27" si="32">SUM(AJ24:AJ26)</f>
        <v>30081435</v>
      </c>
      <c r="AK27" s="21">
        <f t="shared" si="32"/>
        <v>33322556</v>
      </c>
      <c r="AL27" s="22"/>
    </row>
    <row r="28" spans="1:38" ht="13.5" hidden="1" customHeight="1" x14ac:dyDescent="0.2">
      <c r="A28" s="15"/>
      <c r="D28" s="26"/>
      <c r="E28" s="37"/>
      <c r="F28" s="28">
        <f>(F15+F21)*-1</f>
        <v>202128</v>
      </c>
      <c r="G28" s="28">
        <f>(G15+G21)*-1</f>
        <v>209881</v>
      </c>
      <c r="H28" s="30"/>
      <c r="I28" s="28">
        <f t="shared" ref="I28:AA28" si="33">(I15+I21)*-1</f>
        <v>248673</v>
      </c>
      <c r="J28" s="28">
        <f t="shared" si="33"/>
        <v>218419</v>
      </c>
      <c r="K28" s="28">
        <f t="shared" si="33"/>
        <v>280907</v>
      </c>
      <c r="L28" s="28">
        <f t="shared" si="33"/>
        <v>267996</v>
      </c>
      <c r="M28" s="28">
        <f t="shared" si="33"/>
        <v>283496</v>
      </c>
      <c r="N28" s="28">
        <f t="shared" si="33"/>
        <v>320695</v>
      </c>
      <c r="O28" s="28">
        <f t="shared" si="33"/>
        <v>371181</v>
      </c>
      <c r="P28" s="28">
        <f t="shared" si="33"/>
        <v>426820</v>
      </c>
      <c r="Q28" s="28">
        <f t="shared" si="33"/>
        <v>396303</v>
      </c>
      <c r="R28" s="28">
        <f t="shared" si="33"/>
        <v>433479</v>
      </c>
      <c r="S28" s="28">
        <f t="shared" si="33"/>
        <v>474487</v>
      </c>
      <c r="T28" s="28">
        <f t="shared" si="33"/>
        <v>448423</v>
      </c>
      <c r="U28" s="28">
        <f t="shared" si="33"/>
        <v>447328</v>
      </c>
      <c r="V28" s="28">
        <f t="shared" si="33"/>
        <v>477652</v>
      </c>
      <c r="W28" s="28">
        <f t="shared" si="33"/>
        <v>538049</v>
      </c>
      <c r="X28" s="28">
        <f t="shared" si="33"/>
        <v>401432</v>
      </c>
      <c r="Y28" s="28">
        <f t="shared" si="33"/>
        <v>421380</v>
      </c>
      <c r="Z28" s="28">
        <f t="shared" si="33"/>
        <v>386719</v>
      </c>
      <c r="AA28" s="28">
        <f t="shared" si="33"/>
        <v>363249</v>
      </c>
      <c r="AB28" s="28">
        <f t="shared" ref="AB28:AC28" si="34">(AB15+AB21)*-1</f>
        <v>361814</v>
      </c>
      <c r="AC28" s="28">
        <f t="shared" si="34"/>
        <v>380402</v>
      </c>
      <c r="AD28" s="28">
        <f t="shared" ref="AD28:AE28" si="35">(AD15+AD21)*-1</f>
        <v>382546</v>
      </c>
      <c r="AE28" s="28">
        <f t="shared" si="35"/>
        <v>407443</v>
      </c>
      <c r="AF28" s="28">
        <f t="shared" ref="AF28:AH28" si="36">(AF15+AF21)*-1</f>
        <v>406594</v>
      </c>
      <c r="AG28" s="28">
        <f t="shared" si="36"/>
        <v>312815</v>
      </c>
      <c r="AH28" s="28">
        <f t="shared" si="36"/>
        <v>366624</v>
      </c>
      <c r="AI28" s="28">
        <f t="shared" ref="AI28:AJ28" si="37">(AI15+AI21)*-1</f>
        <v>181009</v>
      </c>
      <c r="AJ28" s="28">
        <f t="shared" si="37"/>
        <v>186409</v>
      </c>
      <c r="AK28" s="28">
        <f t="shared" ref="AK28" si="38">(AK15+AK21)*-1</f>
        <v>0</v>
      </c>
      <c r="AL28" s="22"/>
    </row>
    <row r="29" spans="1:38" ht="13.5" customHeight="1" x14ac:dyDescent="0.2">
      <c r="A29" s="15"/>
      <c r="D29" s="26"/>
      <c r="E29" s="27" t="s">
        <v>33</v>
      </c>
      <c r="F29" s="29">
        <f t="shared" ref="F29:L29" si="39">SUM(F27:F28)</f>
        <v>8216940</v>
      </c>
      <c r="G29" s="29">
        <f t="shared" si="39"/>
        <v>9119782</v>
      </c>
      <c r="H29" s="29"/>
      <c r="I29" s="29">
        <f t="shared" si="39"/>
        <v>11871166</v>
      </c>
      <c r="J29" s="29">
        <f t="shared" si="39"/>
        <v>11279853</v>
      </c>
      <c r="K29" s="29">
        <f t="shared" si="39"/>
        <v>11011170</v>
      </c>
      <c r="L29" s="29">
        <f t="shared" si="39"/>
        <v>11027595</v>
      </c>
      <c r="M29" s="29">
        <f t="shared" ref="M29:AA29" si="40">SUM(M27:M28)</f>
        <v>11416941</v>
      </c>
      <c r="N29" s="29">
        <f t="shared" si="40"/>
        <v>11835695</v>
      </c>
      <c r="O29" s="29">
        <f t="shared" si="40"/>
        <v>12915455</v>
      </c>
      <c r="P29" s="29">
        <f t="shared" si="40"/>
        <v>11443211</v>
      </c>
      <c r="Q29" s="29">
        <f t="shared" si="40"/>
        <v>12031346</v>
      </c>
      <c r="R29" s="29">
        <f t="shared" si="40"/>
        <v>13536625</v>
      </c>
      <c r="S29" s="29">
        <f t="shared" si="40"/>
        <v>13748600</v>
      </c>
      <c r="T29" s="29">
        <f t="shared" si="40"/>
        <v>14383912</v>
      </c>
      <c r="U29" s="29">
        <f t="shared" si="40"/>
        <v>16286345</v>
      </c>
      <c r="V29" s="29">
        <f t="shared" si="40"/>
        <v>18451340</v>
      </c>
      <c r="W29" s="29">
        <f t="shared" si="40"/>
        <v>20995689</v>
      </c>
      <c r="X29" s="29">
        <f t="shared" si="40"/>
        <v>21603012</v>
      </c>
      <c r="Y29" s="29">
        <f t="shared" si="40"/>
        <v>22524070</v>
      </c>
      <c r="Z29" s="29">
        <f t="shared" si="40"/>
        <v>22199446</v>
      </c>
      <c r="AA29" s="29">
        <f t="shared" si="40"/>
        <v>22345760</v>
      </c>
      <c r="AB29" s="29">
        <f t="shared" ref="AB29:AC29" si="41">SUM(AB27:AB28)</f>
        <v>22776500</v>
      </c>
      <c r="AC29" s="29">
        <f t="shared" si="41"/>
        <v>23661100</v>
      </c>
      <c r="AD29" s="29">
        <f t="shared" ref="AD29:AE29" si="42">SUM(AD27:AD28)</f>
        <v>22593574</v>
      </c>
      <c r="AE29" s="29">
        <f t="shared" si="42"/>
        <v>26553195</v>
      </c>
      <c r="AF29" s="29">
        <f t="shared" ref="AF29" si="43">SUM(AF27:AF28)</f>
        <v>22090144</v>
      </c>
      <c r="AG29" s="29">
        <f>SUM(AG27:AG28)</f>
        <v>24202539</v>
      </c>
      <c r="AH29" s="29">
        <f t="shared" ref="AH29:AI29" si="44">SUM(AH27:AH28)</f>
        <v>23805536</v>
      </c>
      <c r="AI29" s="29">
        <f t="shared" si="44"/>
        <v>26591052</v>
      </c>
      <c r="AJ29" s="29">
        <f t="shared" ref="AJ29:AK29" si="45">SUM(AJ27:AJ28)</f>
        <v>30267844</v>
      </c>
      <c r="AK29" s="29">
        <f t="shared" si="45"/>
        <v>33322556</v>
      </c>
      <c r="AL29" s="22"/>
    </row>
    <row r="30" spans="1:38" ht="13.5" customHeight="1" x14ac:dyDescent="0.2">
      <c r="A30" s="15"/>
      <c r="C30" s="2" t="s">
        <v>34</v>
      </c>
      <c r="D30" s="2"/>
      <c r="E30" s="21"/>
      <c r="AL30" s="17"/>
    </row>
    <row r="31" spans="1:38" ht="13.5" customHeight="1" x14ac:dyDescent="0.2">
      <c r="A31" s="15"/>
      <c r="D31" s="1" t="s">
        <v>27</v>
      </c>
      <c r="E31" s="21"/>
      <c r="F31" s="21">
        <v>676095</v>
      </c>
      <c r="G31" s="21">
        <v>593911</v>
      </c>
      <c r="H31" s="21">
        <v>792520</v>
      </c>
      <c r="I31" s="21">
        <v>650868</v>
      </c>
      <c r="J31" s="21">
        <v>891916</v>
      </c>
      <c r="K31" s="21">
        <v>1307107</v>
      </c>
      <c r="L31" s="21">
        <v>1946332</v>
      </c>
      <c r="M31" s="21">
        <v>2831108</v>
      </c>
      <c r="N31" s="21">
        <v>4460683</v>
      </c>
      <c r="O31" s="21">
        <v>4846028</v>
      </c>
      <c r="P31" s="21">
        <v>6660507</v>
      </c>
      <c r="Q31" s="21">
        <v>2106879</v>
      </c>
      <c r="R31" s="21">
        <f>1890914</f>
        <v>1890914</v>
      </c>
      <c r="S31" s="21">
        <f>2912061</f>
        <v>2912061</v>
      </c>
      <c r="T31" s="21">
        <f>2434066</f>
        <v>2434066</v>
      </c>
      <c r="U31" s="21">
        <f>1686075</f>
        <v>1686075</v>
      </c>
      <c r="V31" s="21">
        <f>0+0+1791061</f>
        <v>1791061</v>
      </c>
      <c r="W31" s="21">
        <f>0+5050</f>
        <v>5050</v>
      </c>
      <c r="X31" s="21">
        <f>0+10250</f>
        <v>10250</v>
      </c>
      <c r="Y31" s="21">
        <f>0+11900</f>
        <v>11900</v>
      </c>
      <c r="Z31" s="21">
        <f>430229+1154734</f>
        <v>1584963</v>
      </c>
      <c r="AA31" s="21">
        <f>646113+1146441</f>
        <v>1792554</v>
      </c>
      <c r="AB31" s="21">
        <f>803780+1286569</f>
        <v>2090349</v>
      </c>
      <c r="AC31" s="21">
        <f>1096910+1453427</f>
        <v>2550337</v>
      </c>
      <c r="AD31" s="21">
        <f>1074564+1612533</f>
        <v>2687097</v>
      </c>
      <c r="AE31" s="21">
        <f>1204282+1734798</f>
        <v>2939080</v>
      </c>
      <c r="AF31" s="21">
        <f>1741352+1527597</f>
        <v>3268949</v>
      </c>
      <c r="AG31" s="21">
        <f>2182990+1068654</f>
        <v>3251644</v>
      </c>
      <c r="AH31" s="21">
        <f>2365472+1334781</f>
        <v>3700253</v>
      </c>
      <c r="AI31" s="21">
        <f>2434291+1093373</f>
        <v>3527664</v>
      </c>
      <c r="AJ31" s="21">
        <f>2603223+1378999</f>
        <v>3982222</v>
      </c>
      <c r="AK31" s="21">
        <f>3056566+1588250</f>
        <v>4644816</v>
      </c>
      <c r="AL31" s="22"/>
    </row>
    <row r="32" spans="1:38" ht="13.5" customHeight="1" x14ac:dyDescent="0.2">
      <c r="A32" s="15"/>
      <c r="D32" s="1" t="s">
        <v>28</v>
      </c>
      <c r="E32" s="23"/>
      <c r="F32" s="31" t="s">
        <v>35</v>
      </c>
      <c r="G32" s="31" t="s">
        <v>35</v>
      </c>
      <c r="H32" s="31" t="s">
        <v>35</v>
      </c>
      <c r="I32" s="31" t="s">
        <v>35</v>
      </c>
      <c r="J32" s="31" t="s">
        <v>35</v>
      </c>
      <c r="K32" s="31" t="s">
        <v>35</v>
      </c>
      <c r="L32" s="31" t="s">
        <v>35</v>
      </c>
      <c r="M32" s="31" t="s">
        <v>35</v>
      </c>
      <c r="N32" s="31" t="s">
        <v>35</v>
      </c>
      <c r="O32" s="31" t="s">
        <v>35</v>
      </c>
      <c r="P32" s="31" t="s">
        <v>35</v>
      </c>
      <c r="Q32" s="24">
        <v>6359379</v>
      </c>
      <c r="R32" s="24">
        <f>7502318</f>
        <v>7502318</v>
      </c>
      <c r="S32" s="24">
        <v>8588778</v>
      </c>
      <c r="T32" s="24">
        <f>9025104</f>
        <v>9025104</v>
      </c>
      <c r="U32" s="24">
        <f>6910881</f>
        <v>6910881</v>
      </c>
      <c r="V32" s="24">
        <f>7561374</f>
        <v>7561374</v>
      </c>
      <c r="W32" s="24">
        <f>4288928+2053393</f>
        <v>6342321</v>
      </c>
      <c r="X32" s="24">
        <f>4011384+1693088</f>
        <v>5704472</v>
      </c>
      <c r="Y32" s="24">
        <f>3094441+1430189</f>
        <v>4524630</v>
      </c>
      <c r="Z32" s="24">
        <f>2848640+723087</f>
        <v>3571727</v>
      </c>
      <c r="AA32" s="24">
        <f>2620482+2807180</f>
        <v>5427662</v>
      </c>
      <c r="AB32" s="24">
        <f>2190713+2900277</f>
        <v>5090990</v>
      </c>
      <c r="AC32" s="24">
        <f>2285183+1685947</f>
        <v>3971130</v>
      </c>
      <c r="AD32" s="24">
        <f>3266636+1408258</f>
        <v>4674894</v>
      </c>
      <c r="AE32" s="24">
        <f>3888926+1101013</f>
        <v>4989939</v>
      </c>
      <c r="AF32" s="24">
        <f>4089185+532056</f>
        <v>4621241</v>
      </c>
      <c r="AG32" s="24">
        <f>3930114+832195</f>
        <v>4762309</v>
      </c>
      <c r="AH32" s="24">
        <f>3940942+552709</f>
        <v>4493651</v>
      </c>
      <c r="AI32" s="24">
        <f>3575799+982812</f>
        <v>4558611</v>
      </c>
      <c r="AJ32" s="24">
        <f>3713399+3761508</f>
        <v>7474907</v>
      </c>
      <c r="AK32" s="24">
        <f>5141486+3417379</f>
        <v>8558865</v>
      </c>
      <c r="AL32" s="22"/>
    </row>
    <row r="33" spans="1:38" ht="13.5" customHeight="1" x14ac:dyDescent="0.2">
      <c r="A33" s="15"/>
      <c r="E33" s="23"/>
      <c r="F33" s="21">
        <f t="shared" ref="F33:L33" si="46">SUM(F31:F32)</f>
        <v>676095</v>
      </c>
      <c r="G33" s="21">
        <f t="shared" si="46"/>
        <v>593911</v>
      </c>
      <c r="H33" s="21">
        <f t="shared" si="46"/>
        <v>792520</v>
      </c>
      <c r="I33" s="21">
        <f t="shared" si="46"/>
        <v>650868</v>
      </c>
      <c r="J33" s="21">
        <f t="shared" si="46"/>
        <v>891916</v>
      </c>
      <c r="K33" s="21">
        <f t="shared" si="46"/>
        <v>1307107</v>
      </c>
      <c r="L33" s="21">
        <f t="shared" si="46"/>
        <v>1946332</v>
      </c>
      <c r="M33" s="21">
        <f t="shared" ref="M33:O33" si="47">M31</f>
        <v>2831108</v>
      </c>
      <c r="N33" s="21">
        <f t="shared" si="47"/>
        <v>4460683</v>
      </c>
      <c r="O33" s="21">
        <f t="shared" si="47"/>
        <v>4846028</v>
      </c>
      <c r="P33" s="21">
        <f>P31</f>
        <v>6660507</v>
      </c>
      <c r="Q33" s="21">
        <f t="shared" ref="Q33:AA33" si="48">SUM(Q31:Q32)</f>
        <v>8466258</v>
      </c>
      <c r="R33" s="21">
        <f t="shared" si="48"/>
        <v>9393232</v>
      </c>
      <c r="S33" s="21">
        <f t="shared" si="48"/>
        <v>11500839</v>
      </c>
      <c r="T33" s="21">
        <f t="shared" si="48"/>
        <v>11459170</v>
      </c>
      <c r="U33" s="21">
        <f t="shared" si="48"/>
        <v>8596956</v>
      </c>
      <c r="V33" s="21">
        <f t="shared" si="48"/>
        <v>9352435</v>
      </c>
      <c r="W33" s="21">
        <f t="shared" si="48"/>
        <v>6347371</v>
      </c>
      <c r="X33" s="21">
        <f t="shared" si="48"/>
        <v>5714722</v>
      </c>
      <c r="Y33" s="21">
        <f t="shared" si="48"/>
        <v>4536530</v>
      </c>
      <c r="Z33" s="21">
        <f t="shared" si="48"/>
        <v>5156690</v>
      </c>
      <c r="AA33" s="21">
        <f t="shared" si="48"/>
        <v>7220216</v>
      </c>
      <c r="AB33" s="21">
        <f t="shared" ref="AB33:AC33" si="49">SUM(AB31:AB32)</f>
        <v>7181339</v>
      </c>
      <c r="AC33" s="21">
        <f t="shared" si="49"/>
        <v>6521467</v>
      </c>
      <c r="AD33" s="21">
        <f t="shared" ref="AD33:AE33" si="50">SUM(AD31:AD32)</f>
        <v>7361991</v>
      </c>
      <c r="AE33" s="21">
        <f t="shared" si="50"/>
        <v>7929019</v>
      </c>
      <c r="AF33" s="21">
        <f t="shared" ref="AF33:AG33" si="51">SUM(AF31:AF32)</f>
        <v>7890190</v>
      </c>
      <c r="AG33" s="21">
        <f t="shared" si="51"/>
        <v>8013953</v>
      </c>
      <c r="AH33" s="21">
        <f t="shared" ref="AH33:AI33" si="52">SUM(AH31:AH32)</f>
        <v>8193904</v>
      </c>
      <c r="AI33" s="21">
        <f t="shared" si="52"/>
        <v>8086275</v>
      </c>
      <c r="AJ33" s="21">
        <f t="shared" ref="AJ33:AK33" si="53">SUM(AJ31:AJ32)</f>
        <v>11457129</v>
      </c>
      <c r="AK33" s="21">
        <f t="shared" si="53"/>
        <v>13203681</v>
      </c>
      <c r="AL33" s="17"/>
    </row>
    <row r="34" spans="1:38" ht="13.5" customHeight="1" x14ac:dyDescent="0.2">
      <c r="A34" s="15"/>
      <c r="C34" s="2" t="s">
        <v>36</v>
      </c>
      <c r="D34" s="2"/>
      <c r="E34" s="23"/>
      <c r="AL34" s="17"/>
    </row>
    <row r="35" spans="1:38" ht="13.5" customHeight="1" x14ac:dyDescent="0.2">
      <c r="A35" s="15"/>
      <c r="D35" s="1" t="s">
        <v>27</v>
      </c>
      <c r="E35" s="21"/>
      <c r="F35" s="21">
        <f t="shared" ref="F35:AA36" si="54">F11+F18+F24+F31</f>
        <v>9406006</v>
      </c>
      <c r="G35" s="21">
        <f t="shared" si="54"/>
        <v>9364880</v>
      </c>
      <c r="H35" s="21">
        <f t="shared" si="54"/>
        <v>11544592</v>
      </c>
      <c r="I35" s="21">
        <f t="shared" si="54"/>
        <v>12550931</v>
      </c>
      <c r="J35" s="21">
        <f t="shared" si="54"/>
        <v>12700813</v>
      </c>
      <c r="K35" s="21">
        <f t="shared" si="54"/>
        <v>13123923</v>
      </c>
      <c r="L35" s="21">
        <f t="shared" si="54"/>
        <v>14559714</v>
      </c>
      <c r="M35" s="21">
        <f t="shared" si="54"/>
        <v>15781492</v>
      </c>
      <c r="N35" s="21">
        <f t="shared" si="54"/>
        <v>18035585</v>
      </c>
      <c r="O35" s="21">
        <f t="shared" si="54"/>
        <v>21242793</v>
      </c>
      <c r="P35" s="21">
        <f t="shared" si="54"/>
        <v>23644442</v>
      </c>
      <c r="Q35" s="21">
        <f t="shared" si="54"/>
        <v>19840336</v>
      </c>
      <c r="R35" s="21">
        <f t="shared" si="54"/>
        <v>22072411</v>
      </c>
      <c r="S35" s="21">
        <f t="shared" si="54"/>
        <v>24331789</v>
      </c>
      <c r="T35" s="21">
        <f t="shared" si="54"/>
        <v>24957747</v>
      </c>
      <c r="U35" s="21">
        <f t="shared" si="54"/>
        <v>26775110</v>
      </c>
      <c r="V35" s="21">
        <f t="shared" si="54"/>
        <v>29238580</v>
      </c>
      <c r="W35" s="21">
        <f t="shared" si="54"/>
        <v>32514656</v>
      </c>
      <c r="X35" s="21">
        <f t="shared" si="54"/>
        <v>34435315</v>
      </c>
      <c r="Y35" s="21">
        <f t="shared" si="54"/>
        <v>34666081</v>
      </c>
      <c r="Z35" s="21">
        <f t="shared" si="54"/>
        <v>37246431</v>
      </c>
      <c r="AA35" s="21">
        <f t="shared" si="54"/>
        <v>37051183</v>
      </c>
      <c r="AB35" s="21">
        <f t="shared" ref="AB35:AC35" si="55">AB11+AB18+AB24+AB31</f>
        <v>39693936</v>
      </c>
      <c r="AC35" s="21">
        <f t="shared" si="55"/>
        <v>41422863</v>
      </c>
      <c r="AD35" s="21">
        <f t="shared" ref="AD35:AE35" si="56">AD11+AD18+AD24+AD31</f>
        <v>40100146</v>
      </c>
      <c r="AE35" s="21">
        <f t="shared" si="56"/>
        <v>45270850</v>
      </c>
      <c r="AF35" s="21">
        <f t="shared" ref="AF35:AG35" si="57">AF11+AF18+AF24+AF31</f>
        <v>43080547</v>
      </c>
      <c r="AG35" s="21">
        <f t="shared" si="57"/>
        <v>44951237</v>
      </c>
      <c r="AH35" s="21">
        <f t="shared" ref="AH35:AI35" si="58">AH11+AH18+AH24+AH31</f>
        <v>46493713</v>
      </c>
      <c r="AI35" s="21">
        <f t="shared" si="58"/>
        <v>47829737</v>
      </c>
      <c r="AJ35" s="21">
        <f t="shared" ref="AJ35:AK35" si="59">AJ11+AJ18+AJ24+AJ31</f>
        <v>53314379</v>
      </c>
      <c r="AK35" s="21">
        <f t="shared" si="59"/>
        <v>59544901</v>
      </c>
      <c r="AL35" s="22"/>
    </row>
    <row r="36" spans="1:38" ht="13.5" customHeight="1" x14ac:dyDescent="0.2">
      <c r="A36" s="15"/>
      <c r="D36" s="1" t="s">
        <v>28</v>
      </c>
      <c r="E36" s="23"/>
      <c r="F36" s="23">
        <f t="shared" ref="F36:L36" si="60">F12+F19+F25</f>
        <v>7012803</v>
      </c>
      <c r="G36" s="23">
        <f t="shared" si="60"/>
        <v>9411369</v>
      </c>
      <c r="H36" s="23">
        <f t="shared" si="60"/>
        <v>12211377</v>
      </c>
      <c r="I36" s="23">
        <f t="shared" si="60"/>
        <v>16196390</v>
      </c>
      <c r="J36" s="23">
        <f t="shared" si="60"/>
        <v>19012465</v>
      </c>
      <c r="K36" s="23">
        <f t="shared" si="60"/>
        <v>20066502</v>
      </c>
      <c r="L36" s="23">
        <f t="shared" si="60"/>
        <v>18662698</v>
      </c>
      <c r="M36" s="23">
        <f>M12+M19+M25</f>
        <v>19870663</v>
      </c>
      <c r="N36" s="23">
        <f>N12+N19+N25</f>
        <v>18610567</v>
      </c>
      <c r="O36" s="23">
        <f>O12+O19+O25</f>
        <v>19177025</v>
      </c>
      <c r="P36" s="23">
        <f>P12+P19+P25</f>
        <v>24520702</v>
      </c>
      <c r="Q36" s="23">
        <f>Q12+Q19+Q25+Q32</f>
        <v>34926259</v>
      </c>
      <c r="R36" s="23">
        <f>R12+R19+R25+R32</f>
        <v>39566091</v>
      </c>
      <c r="S36" s="23">
        <f t="shared" si="54"/>
        <v>41274547</v>
      </c>
      <c r="T36" s="23">
        <f t="shared" si="54"/>
        <v>40928621</v>
      </c>
      <c r="U36" s="23">
        <f t="shared" si="54"/>
        <v>39343828</v>
      </c>
      <c r="V36" s="23">
        <f t="shared" si="54"/>
        <v>48299381</v>
      </c>
      <c r="W36" s="23">
        <f t="shared" si="54"/>
        <v>56464954</v>
      </c>
      <c r="X36" s="23">
        <f t="shared" si="54"/>
        <v>58952040</v>
      </c>
      <c r="Y36" s="23">
        <f t="shared" si="54"/>
        <v>59108255</v>
      </c>
      <c r="Z36" s="23">
        <f t="shared" si="54"/>
        <v>55150149</v>
      </c>
      <c r="AA36" s="23">
        <f t="shared" si="54"/>
        <v>56018317</v>
      </c>
      <c r="AB36" s="23">
        <f t="shared" ref="AB36:AC36" si="61">AB12+AB19+AB25+AB32</f>
        <v>49747012</v>
      </c>
      <c r="AC36" s="23">
        <f t="shared" si="61"/>
        <v>47256691</v>
      </c>
      <c r="AD36" s="23">
        <f t="shared" ref="AD36:AE36" si="62">AD12+AD19+AD25+AD32</f>
        <v>46017527</v>
      </c>
      <c r="AE36" s="23">
        <f t="shared" si="62"/>
        <v>43868130</v>
      </c>
      <c r="AF36" s="23">
        <f t="shared" ref="AF36:AG36" si="63">AF12+AF19+AF25+AF32</f>
        <v>39448168</v>
      </c>
      <c r="AG36" s="23">
        <f t="shared" si="63"/>
        <v>36732253</v>
      </c>
      <c r="AH36" s="23">
        <f t="shared" ref="AH36:AI36" si="64">AH12+AH19+AH25+AH32</f>
        <v>31820757</v>
      </c>
      <c r="AI36" s="23">
        <f t="shared" si="64"/>
        <v>30126693</v>
      </c>
      <c r="AJ36" s="23">
        <f t="shared" ref="AJ36:AK36" si="65">AJ12+AJ19+AJ25+AJ32</f>
        <v>31220642</v>
      </c>
      <c r="AK36" s="23">
        <f t="shared" si="65"/>
        <v>30484276</v>
      </c>
      <c r="AL36" s="22"/>
    </row>
    <row r="37" spans="1:38" ht="13.5" customHeight="1" x14ac:dyDescent="0.2">
      <c r="A37" s="15"/>
      <c r="D37" s="1" t="s">
        <v>29</v>
      </c>
      <c r="E37" s="23"/>
      <c r="F37" s="24">
        <f t="shared" ref="F37:AA37" si="66">F13+F26</f>
        <v>3169871</v>
      </c>
      <c r="G37" s="24">
        <f t="shared" si="66"/>
        <v>3311687</v>
      </c>
      <c r="H37" s="24">
        <f t="shared" si="66"/>
        <v>2804572</v>
      </c>
      <c r="I37" s="24">
        <f t="shared" si="66"/>
        <v>3238841</v>
      </c>
      <c r="J37" s="24">
        <f t="shared" si="66"/>
        <v>3197620</v>
      </c>
      <c r="K37" s="24">
        <f t="shared" si="66"/>
        <v>3329956</v>
      </c>
      <c r="L37" s="24">
        <f t="shared" si="66"/>
        <v>2849925</v>
      </c>
      <c r="M37" s="24">
        <f t="shared" si="66"/>
        <v>3106984</v>
      </c>
      <c r="N37" s="24">
        <f t="shared" si="66"/>
        <v>3057627</v>
      </c>
      <c r="O37" s="24">
        <f t="shared" si="66"/>
        <v>3004325</v>
      </c>
      <c r="P37" s="24">
        <f t="shared" si="66"/>
        <v>1678984</v>
      </c>
      <c r="Q37" s="24">
        <f t="shared" si="66"/>
        <v>2019965</v>
      </c>
      <c r="R37" s="24">
        <f t="shared" si="66"/>
        <v>2291531</v>
      </c>
      <c r="S37" s="24">
        <f t="shared" si="66"/>
        <v>1830466</v>
      </c>
      <c r="T37" s="24">
        <f t="shared" si="66"/>
        <v>1960988</v>
      </c>
      <c r="U37" s="24">
        <f t="shared" si="66"/>
        <v>2871692</v>
      </c>
      <c r="V37" s="24">
        <f t="shared" si="66"/>
        <v>3204130</v>
      </c>
      <c r="W37" s="24">
        <f t="shared" si="66"/>
        <v>5745809</v>
      </c>
      <c r="X37" s="24">
        <f t="shared" si="66"/>
        <v>5505403</v>
      </c>
      <c r="Y37" s="24">
        <f t="shared" si="66"/>
        <v>5687459</v>
      </c>
      <c r="Z37" s="24">
        <f t="shared" si="66"/>
        <v>5568797</v>
      </c>
      <c r="AA37" s="24">
        <f t="shared" si="66"/>
        <v>5593031</v>
      </c>
      <c r="AB37" s="24">
        <f t="shared" ref="AB37:AC37" si="67">AB13+AB26</f>
        <v>5424063</v>
      </c>
      <c r="AC37" s="24">
        <f t="shared" si="67"/>
        <v>5684713</v>
      </c>
      <c r="AD37" s="24">
        <f t="shared" ref="AD37:AE37" si="68">AD13+AD26</f>
        <v>3023535</v>
      </c>
      <c r="AE37" s="24">
        <f t="shared" si="68"/>
        <v>5486452</v>
      </c>
      <c r="AF37" s="24">
        <f t="shared" ref="AF37:AG37" si="69">AF13+AF26</f>
        <v>2889347</v>
      </c>
      <c r="AG37" s="24">
        <f t="shared" si="69"/>
        <v>2758673</v>
      </c>
      <c r="AH37" s="24">
        <f t="shared" ref="AH37:AI37" si="70">AH13+AH26</f>
        <v>1972473</v>
      </c>
      <c r="AI37" s="24">
        <f t="shared" si="70"/>
        <v>2211066</v>
      </c>
      <c r="AJ37" s="24">
        <f t="shared" ref="AJ37:AK37" si="71">AJ13+AJ26</f>
        <v>2629454</v>
      </c>
      <c r="AK37" s="24">
        <f t="shared" si="71"/>
        <v>3221568</v>
      </c>
      <c r="AL37" s="22"/>
    </row>
    <row r="38" spans="1:38" ht="13.5" customHeight="1" x14ac:dyDescent="0.2">
      <c r="A38" s="15"/>
      <c r="E38" s="21"/>
      <c r="F38" s="21">
        <f t="shared" ref="F38:L38" si="72">F35+F36+F37</f>
        <v>19588680</v>
      </c>
      <c r="G38" s="21">
        <f t="shared" si="72"/>
        <v>22087936</v>
      </c>
      <c r="H38" s="21">
        <f t="shared" si="72"/>
        <v>26560541</v>
      </c>
      <c r="I38" s="21">
        <f t="shared" si="72"/>
        <v>31986162</v>
      </c>
      <c r="J38" s="21">
        <f t="shared" si="72"/>
        <v>34910898</v>
      </c>
      <c r="K38" s="21">
        <f t="shared" si="72"/>
        <v>36520381</v>
      </c>
      <c r="L38" s="21">
        <f t="shared" si="72"/>
        <v>36072337</v>
      </c>
      <c r="M38" s="21">
        <f t="shared" ref="M38:AA38" si="73">SUM(M35:M37)</f>
        <v>38759139</v>
      </c>
      <c r="N38" s="21">
        <f t="shared" si="73"/>
        <v>39703779</v>
      </c>
      <c r="O38" s="21">
        <f t="shared" si="73"/>
        <v>43424143</v>
      </c>
      <c r="P38" s="21">
        <f t="shared" si="73"/>
        <v>49844128</v>
      </c>
      <c r="Q38" s="21">
        <f t="shared" si="73"/>
        <v>56786560</v>
      </c>
      <c r="R38" s="21">
        <f t="shared" si="73"/>
        <v>63930033</v>
      </c>
      <c r="S38" s="21">
        <f t="shared" si="73"/>
        <v>67436802</v>
      </c>
      <c r="T38" s="21">
        <f t="shared" si="73"/>
        <v>67847356</v>
      </c>
      <c r="U38" s="21">
        <f t="shared" si="73"/>
        <v>68990630</v>
      </c>
      <c r="V38" s="21">
        <f t="shared" si="73"/>
        <v>80742091</v>
      </c>
      <c r="W38" s="21">
        <f t="shared" si="73"/>
        <v>94725419</v>
      </c>
      <c r="X38" s="21">
        <f t="shared" si="73"/>
        <v>98892758</v>
      </c>
      <c r="Y38" s="21">
        <f t="shared" si="73"/>
        <v>99461795</v>
      </c>
      <c r="Z38" s="21">
        <f t="shared" si="73"/>
        <v>97965377</v>
      </c>
      <c r="AA38" s="21">
        <f t="shared" si="73"/>
        <v>98662531</v>
      </c>
      <c r="AB38" s="21">
        <f t="shared" ref="AB38:AC38" si="74">SUM(AB35:AB37)</f>
        <v>94865011</v>
      </c>
      <c r="AC38" s="21">
        <f t="shared" si="74"/>
        <v>94364267</v>
      </c>
      <c r="AD38" s="21">
        <f t="shared" ref="AD38:AE38" si="75">SUM(AD35:AD37)</f>
        <v>89141208</v>
      </c>
      <c r="AE38" s="21">
        <f t="shared" si="75"/>
        <v>94625432</v>
      </c>
      <c r="AF38" s="21">
        <f t="shared" ref="AF38:AG38" si="76">SUM(AF35:AF37)</f>
        <v>85418062</v>
      </c>
      <c r="AG38" s="21">
        <f t="shared" si="76"/>
        <v>84442163</v>
      </c>
      <c r="AH38" s="21">
        <f t="shared" ref="AH38:AI38" si="77">SUM(AH35:AH37)</f>
        <v>80286943</v>
      </c>
      <c r="AI38" s="21">
        <f t="shared" si="77"/>
        <v>80167496</v>
      </c>
      <c r="AJ38" s="21">
        <f t="shared" ref="AJ38:AK38" si="78">SUM(AJ35:AJ37)</f>
        <v>87164475</v>
      </c>
      <c r="AK38" s="21">
        <f t="shared" si="78"/>
        <v>93250745</v>
      </c>
      <c r="AL38" s="22"/>
    </row>
    <row r="39" spans="1:38" ht="13.5" customHeight="1" x14ac:dyDescent="0.2">
      <c r="A39" s="15"/>
      <c r="C39" s="2" t="s">
        <v>37</v>
      </c>
      <c r="D39" s="2"/>
      <c r="AL39" s="17"/>
    </row>
    <row r="40" spans="1:38" ht="13.5" customHeight="1" x14ac:dyDescent="0.2">
      <c r="A40" s="15"/>
      <c r="D40" s="1" t="s">
        <v>38</v>
      </c>
      <c r="F40" s="32">
        <v>2138</v>
      </c>
      <c r="G40" s="32">
        <v>2052</v>
      </c>
      <c r="H40" s="32"/>
      <c r="I40" s="32">
        <v>2441</v>
      </c>
      <c r="J40" s="32">
        <v>2744</v>
      </c>
      <c r="K40" s="32">
        <v>2869</v>
      </c>
      <c r="L40" s="32">
        <v>2820</v>
      </c>
      <c r="M40" s="32">
        <v>3123</v>
      </c>
      <c r="N40" s="32">
        <v>3219</v>
      </c>
      <c r="O40" s="32">
        <v>3105</v>
      </c>
      <c r="P40" s="32">
        <v>3736</v>
      </c>
      <c r="Q40" s="32">
        <v>4170</v>
      </c>
      <c r="R40" s="32">
        <v>4490</v>
      </c>
      <c r="S40" s="32">
        <v>4580</v>
      </c>
      <c r="T40" s="32">
        <v>4379</v>
      </c>
      <c r="U40" s="32">
        <v>4429</v>
      </c>
      <c r="V40" s="32">
        <v>4662</v>
      </c>
      <c r="W40" s="32">
        <v>5331</v>
      </c>
      <c r="X40" s="32">
        <v>5820</v>
      </c>
      <c r="Y40" s="32">
        <v>6032</v>
      </c>
      <c r="Z40" s="32">
        <v>5825</v>
      </c>
      <c r="AA40" s="32">
        <v>5671</v>
      </c>
      <c r="AB40" s="32">
        <v>5259</v>
      </c>
      <c r="AC40" s="32">
        <v>5119</v>
      </c>
      <c r="AD40" s="32">
        <v>4876</v>
      </c>
      <c r="AE40" s="32">
        <v>4808</v>
      </c>
      <c r="AF40" s="32">
        <v>4634</v>
      </c>
      <c r="AG40" s="32">
        <v>4336</v>
      </c>
      <c r="AH40" s="32">
        <v>4061</v>
      </c>
      <c r="AI40" s="32">
        <v>3978</v>
      </c>
      <c r="AJ40" s="32">
        <v>3867</v>
      </c>
      <c r="AK40" s="32">
        <v>4143</v>
      </c>
      <c r="AL40" s="17"/>
    </row>
    <row r="41" spans="1:38" ht="13.5" customHeight="1" x14ac:dyDescent="0.2">
      <c r="A41" s="15"/>
      <c r="D41" s="1" t="s">
        <v>39</v>
      </c>
      <c r="E41" s="23"/>
      <c r="F41" s="33">
        <v>2188</v>
      </c>
      <c r="G41" s="33">
        <v>3130</v>
      </c>
      <c r="H41" s="33"/>
      <c r="I41" s="33">
        <v>6322</v>
      </c>
      <c r="J41" s="33">
        <v>5021</v>
      </c>
      <c r="K41" s="33">
        <v>2485</v>
      </c>
      <c r="L41" s="33">
        <v>2585</v>
      </c>
      <c r="M41" s="33">
        <v>2477</v>
      </c>
      <c r="N41" s="33">
        <v>2228</v>
      </c>
      <c r="O41" s="33">
        <v>2860</v>
      </c>
      <c r="P41" s="33">
        <v>2500</v>
      </c>
      <c r="Q41" s="33">
        <v>2563</v>
      </c>
      <c r="R41" s="33">
        <v>2556</v>
      </c>
      <c r="S41" s="33">
        <v>2686</v>
      </c>
      <c r="T41" s="33">
        <v>2620</v>
      </c>
      <c r="U41" s="33">
        <v>1829</v>
      </c>
      <c r="V41" s="33">
        <v>2257</v>
      </c>
      <c r="W41" s="33">
        <v>2309</v>
      </c>
      <c r="X41" s="33">
        <v>2005</v>
      </c>
      <c r="Y41" s="33">
        <v>1915</v>
      </c>
      <c r="Z41" s="33">
        <v>2078</v>
      </c>
      <c r="AA41" s="33">
        <v>2166</v>
      </c>
      <c r="AB41" s="33">
        <v>2271</v>
      </c>
      <c r="AC41" s="33">
        <v>2285</v>
      </c>
      <c r="AD41" s="33">
        <v>2391</v>
      </c>
      <c r="AE41" s="33">
        <v>2406</v>
      </c>
      <c r="AF41" s="33">
        <v>2276</v>
      </c>
      <c r="AG41" s="33">
        <v>2550</v>
      </c>
      <c r="AH41" s="33">
        <v>2521</v>
      </c>
      <c r="AI41" s="33">
        <v>2612</v>
      </c>
      <c r="AJ41" s="33">
        <v>2630</v>
      </c>
      <c r="AK41" s="33">
        <v>2441</v>
      </c>
      <c r="AL41" s="17"/>
    </row>
    <row r="42" spans="1:38" ht="13.5" customHeight="1" x14ac:dyDescent="0.2">
      <c r="A42" s="15"/>
      <c r="E42" s="23"/>
      <c r="F42" s="32">
        <f t="shared" ref="F42:AA42" si="79">SUM(F40:F41)</f>
        <v>4326</v>
      </c>
      <c r="G42" s="32">
        <f t="shared" si="79"/>
        <v>5182</v>
      </c>
      <c r="H42" s="32"/>
      <c r="I42" s="32">
        <f t="shared" si="79"/>
        <v>8763</v>
      </c>
      <c r="J42" s="32">
        <f t="shared" si="79"/>
        <v>7765</v>
      </c>
      <c r="K42" s="32">
        <f t="shared" si="79"/>
        <v>5354</v>
      </c>
      <c r="L42" s="32">
        <f t="shared" si="79"/>
        <v>5405</v>
      </c>
      <c r="M42" s="32">
        <f t="shared" si="79"/>
        <v>5600</v>
      </c>
      <c r="N42" s="32">
        <f t="shared" si="79"/>
        <v>5447</v>
      </c>
      <c r="O42" s="32">
        <f t="shared" si="79"/>
        <v>5965</v>
      </c>
      <c r="P42" s="32">
        <f t="shared" si="79"/>
        <v>6236</v>
      </c>
      <c r="Q42" s="32">
        <f t="shared" si="79"/>
        <v>6733</v>
      </c>
      <c r="R42" s="32">
        <f t="shared" si="79"/>
        <v>7046</v>
      </c>
      <c r="S42" s="32">
        <f t="shared" si="79"/>
        <v>7266</v>
      </c>
      <c r="T42" s="32">
        <f t="shared" si="79"/>
        <v>6999</v>
      </c>
      <c r="U42" s="32">
        <f t="shared" si="79"/>
        <v>6258</v>
      </c>
      <c r="V42" s="32">
        <f t="shared" si="79"/>
        <v>6919</v>
      </c>
      <c r="W42" s="32">
        <f t="shared" si="79"/>
        <v>7640</v>
      </c>
      <c r="X42" s="32">
        <f t="shared" si="79"/>
        <v>7825</v>
      </c>
      <c r="Y42" s="32">
        <f t="shared" si="79"/>
        <v>7947</v>
      </c>
      <c r="Z42" s="32">
        <f t="shared" si="79"/>
        <v>7903</v>
      </c>
      <c r="AA42" s="32">
        <f t="shared" si="79"/>
        <v>7837</v>
      </c>
      <c r="AB42" s="32">
        <f t="shared" ref="AB42:AC42" si="80">SUM(AB40:AB41)</f>
        <v>7530</v>
      </c>
      <c r="AC42" s="32">
        <f t="shared" si="80"/>
        <v>7404</v>
      </c>
      <c r="AD42" s="32">
        <f t="shared" ref="AD42:AE42" si="81">SUM(AD40:AD41)</f>
        <v>7267</v>
      </c>
      <c r="AE42" s="32">
        <f t="shared" si="81"/>
        <v>7214</v>
      </c>
      <c r="AF42" s="32">
        <f t="shared" ref="AF42:AG42" si="82">SUM(AF40:AF41)</f>
        <v>6910</v>
      </c>
      <c r="AG42" s="32">
        <f t="shared" si="82"/>
        <v>6886</v>
      </c>
      <c r="AH42" s="32">
        <f t="shared" ref="AH42:AI42" si="83">SUM(AH40:AH41)</f>
        <v>6582</v>
      </c>
      <c r="AI42" s="32">
        <f t="shared" si="83"/>
        <v>6590</v>
      </c>
      <c r="AJ42" s="32">
        <f t="shared" ref="AJ42:AK42" si="84">SUM(AJ40:AJ41)</f>
        <v>6497</v>
      </c>
      <c r="AK42" s="32">
        <f t="shared" si="84"/>
        <v>6584</v>
      </c>
      <c r="AL42" s="17"/>
    </row>
    <row r="43" spans="1:38" ht="13.5" customHeight="1" x14ac:dyDescent="0.2">
      <c r="A43" s="15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17"/>
    </row>
    <row r="44" spans="1:38" ht="13.5" customHeight="1" x14ac:dyDescent="0.2">
      <c r="A44" s="15"/>
      <c r="B44" s="42" t="s">
        <v>40</v>
      </c>
      <c r="C44" s="43"/>
      <c r="D44" s="43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17"/>
    </row>
    <row r="45" spans="1:38" ht="13.5" customHeight="1" x14ac:dyDescent="0.2">
      <c r="A45" s="15"/>
      <c r="C45" s="2" t="s">
        <v>26</v>
      </c>
      <c r="D45" s="2"/>
      <c r="E45" s="21"/>
      <c r="AL45" s="17"/>
    </row>
    <row r="46" spans="1:38" ht="13.5" customHeight="1" x14ac:dyDescent="0.2">
      <c r="A46" s="15"/>
      <c r="D46" s="1" t="s">
        <v>27</v>
      </c>
      <c r="E46" s="21"/>
      <c r="F46" s="21">
        <v>357763</v>
      </c>
      <c r="G46" s="21">
        <v>281451</v>
      </c>
      <c r="H46" s="21"/>
      <c r="I46" s="21">
        <v>586169</v>
      </c>
      <c r="J46" s="21">
        <v>657368</v>
      </c>
      <c r="K46" s="21">
        <v>1093410</v>
      </c>
      <c r="L46" s="21">
        <v>1174219</v>
      </c>
      <c r="M46" s="21">
        <v>1446778</v>
      </c>
      <c r="N46" s="21">
        <v>1107063</v>
      </c>
      <c r="O46" s="21">
        <v>1383113</v>
      </c>
      <c r="P46" s="21">
        <v>1053170</v>
      </c>
      <c r="Q46" s="21">
        <v>956773</v>
      </c>
      <c r="R46" s="21">
        <f>1635214</f>
        <v>1635214</v>
      </c>
      <c r="S46" s="21">
        <f>1703317</f>
        <v>1703317</v>
      </c>
      <c r="T46" s="21">
        <f>1699333</f>
        <v>1699333</v>
      </c>
      <c r="U46" s="21">
        <f>1548050</f>
        <v>1548050</v>
      </c>
      <c r="V46" s="21">
        <f>0+0+139937+0+18638</f>
        <v>158575</v>
      </c>
      <c r="W46" s="21">
        <f>0+18000+1257518+0+0+0+31916</f>
        <v>1307434</v>
      </c>
      <c r="X46" s="21">
        <f>0+36500+713741+0+0+0+32112</f>
        <v>782353</v>
      </c>
      <c r="Y46" s="21">
        <f>0+36000+838363+0+0+0+45062</f>
        <v>919425</v>
      </c>
      <c r="Z46" s="21">
        <f>0+18000+1218042+0+0+0+39464</f>
        <v>1275506</v>
      </c>
      <c r="AA46" s="21">
        <f>0+19960+1337191+0+0+0+25798</f>
        <v>1382949</v>
      </c>
      <c r="AB46" s="21">
        <f>0+25687+711040+0+0+0+45830</f>
        <v>782557</v>
      </c>
      <c r="AC46" s="21">
        <f>0+6970+865699+0+0+0+32782</f>
        <v>905451</v>
      </c>
      <c r="AD46" s="21">
        <f>0+2793+1469350+0+0+0+10333</f>
        <v>1482476</v>
      </c>
      <c r="AE46" s="21">
        <f>0+3730+771873+0+0+0+42753</f>
        <v>818356</v>
      </c>
      <c r="AF46" s="21">
        <f>0+28599+815063+0+0+0+51391</f>
        <v>895053</v>
      </c>
      <c r="AG46" s="21">
        <f>0+75224+1309652+0+0+0+49245</f>
        <v>1434121</v>
      </c>
      <c r="AH46" s="21">
        <f>0+9989+101304+1395901+0+0+0+1835925</f>
        <v>3343119</v>
      </c>
      <c r="AI46" s="21">
        <f>0+97129+904177+0+0+0+122003</f>
        <v>1123309</v>
      </c>
      <c r="AJ46" s="21">
        <f>0+69295+2074373+0+0+0+190902</f>
        <v>2334570</v>
      </c>
      <c r="AK46" s="21">
        <f>0+39135+2312435+0+0+0+138266</f>
        <v>2489836</v>
      </c>
      <c r="AL46" s="17"/>
    </row>
    <row r="47" spans="1:38" ht="13.5" customHeight="1" x14ac:dyDescent="0.2">
      <c r="A47" s="15"/>
      <c r="D47" s="1" t="s">
        <v>28</v>
      </c>
      <c r="E47" s="23"/>
      <c r="F47" s="23">
        <v>12996327</v>
      </c>
      <c r="G47" s="23">
        <v>15909485</v>
      </c>
      <c r="H47" s="23"/>
      <c r="I47" s="23">
        <v>21190790</v>
      </c>
      <c r="J47" s="23">
        <v>26675672</v>
      </c>
      <c r="K47" s="23">
        <v>29413042</v>
      </c>
      <c r="L47" s="23">
        <v>30760107</v>
      </c>
      <c r="M47" s="23">
        <v>32031833</v>
      </c>
      <c r="N47" s="23">
        <v>33094695</v>
      </c>
      <c r="O47" s="23">
        <v>35773249</v>
      </c>
      <c r="P47" s="23">
        <v>41586643</v>
      </c>
      <c r="Q47" s="23">
        <v>50201417</v>
      </c>
      <c r="R47" s="23">
        <f>998582+18831464+32834452+0+0+0+1495105+0+0</f>
        <v>54159603</v>
      </c>
      <c r="S47" s="23">
        <f>680253+19925387+34373450+42519+0+0+0+2597182+0+0</f>
        <v>57618791</v>
      </c>
      <c r="T47" s="23">
        <f>66458+20092974+36024184+2817528+0+0+0+691085+0+0</f>
        <v>59692229</v>
      </c>
      <c r="U47" s="23">
        <f>269844+20095865+38570513+5352208+535847</f>
        <v>64824277</v>
      </c>
      <c r="V47" s="23">
        <f>0+0+0+539656+0+70670+200491+7558089+19998768+38856637+0+0+35830</f>
        <v>67260141</v>
      </c>
      <c r="W47" s="23">
        <f>21442325+40261427+11371738+631361+0+121778+37999</f>
        <v>73866628</v>
      </c>
      <c r="X47" s="23">
        <f>22435467+40927343+15251575+646893+28760+148548+0+0+0+0+0+0+62485</f>
        <v>79501071</v>
      </c>
      <c r="Y47" s="23">
        <f>22712940+40982601+16074062+939225+72000+53696+44334+0+0+0+0+0+94053</f>
        <v>80972911</v>
      </c>
      <c r="Z47" s="23">
        <f>63173585+15501764+1080115+36000+87110+60659+0+0+0+0+0+0</f>
        <v>79939233</v>
      </c>
      <c r="AA47" s="23">
        <f>0+61730605+14126749+3136287+70000+62252+90227+0+0+0+0+0+0</f>
        <v>79216120</v>
      </c>
      <c r="AB47" s="23">
        <f>0+59226051+12539432+3073451+45000+504736+53101+0+0+0+0+0+0</f>
        <v>75441771</v>
      </c>
      <c r="AC47" s="23">
        <f>0+58653734+13361326+770792+30000+442027+27743+0+0+0+0+0+0</f>
        <v>73285622</v>
      </c>
      <c r="AD47" s="23">
        <f>0+59236632+14798226+288500+178000+326168+0+0+0+0+0+0+0</f>
        <v>74827526</v>
      </c>
      <c r="AE47" s="23">
        <f>59901205+14736643+1418100+314691+236818+0+0+0+0+0+0+0</f>
        <v>76607457</v>
      </c>
      <c r="AF47" s="23">
        <f>0+59960409+16036753+1544524+165000+401392+0+0+0+0+0</f>
        <v>78108078</v>
      </c>
      <c r="AG47" s="23">
        <f>60648460+15065351+2438297+78750+477410+0+0+0+0+0</f>
        <v>78708268</v>
      </c>
      <c r="AH47" s="23">
        <f>0+59617416+16276143+2633620+185850+358709+0+0+0+0+0</f>
        <v>79071738</v>
      </c>
      <c r="AI47" s="23">
        <f>0+60158808+17702227+1519000+79200+278364+0+0+0+0+0</f>
        <v>79737599</v>
      </c>
      <c r="AJ47" s="23">
        <f>58089665+21434430+1102500+188592+342867+0+0</f>
        <v>81158054</v>
      </c>
      <c r="AK47" s="23">
        <f>0+56688180+24772813+1897638+220000+490646+0+0+0+0+0</f>
        <v>84069277</v>
      </c>
      <c r="AL47" s="47"/>
    </row>
    <row r="48" spans="1:38" ht="13.5" customHeight="1" x14ac:dyDescent="0.2">
      <c r="A48" s="15"/>
      <c r="D48" s="1" t="s">
        <v>29</v>
      </c>
      <c r="E48" s="23"/>
      <c r="F48" s="24">
        <v>123820</v>
      </c>
      <c r="G48" s="24">
        <v>113486</v>
      </c>
      <c r="H48" s="24"/>
      <c r="I48" s="24">
        <v>92539</v>
      </c>
      <c r="J48" s="24">
        <v>69924</v>
      </c>
      <c r="K48" s="24">
        <v>137209</v>
      </c>
      <c r="L48" s="24">
        <v>68412</v>
      </c>
      <c r="M48" s="24">
        <v>147966</v>
      </c>
      <c r="N48" s="24">
        <v>148114</v>
      </c>
      <c r="O48" s="24">
        <v>109645</v>
      </c>
      <c r="P48" s="24">
        <v>99949</v>
      </c>
      <c r="Q48" s="24">
        <v>76306</v>
      </c>
      <c r="R48" s="24">
        <f>73854</f>
        <v>73854</v>
      </c>
      <c r="S48" s="24">
        <f>113305</f>
        <v>113305</v>
      </c>
      <c r="T48" s="24">
        <f>135899</f>
        <v>135899</v>
      </c>
      <c r="U48" s="24">
        <f>97584</f>
        <v>97584</v>
      </c>
      <c r="V48" s="24">
        <f>50703</f>
        <v>50703</v>
      </c>
      <c r="W48" s="24">
        <f>87834</f>
        <v>87834</v>
      </c>
      <c r="X48" s="24">
        <f>32351</f>
        <v>32351</v>
      </c>
      <c r="Y48" s="24">
        <f>47816</f>
        <v>47816</v>
      </c>
      <c r="Z48" s="24">
        <f>39692</f>
        <v>39692</v>
      </c>
      <c r="AA48" s="24">
        <f>26459</f>
        <v>26459</v>
      </c>
      <c r="AB48" s="24">
        <f>30821</f>
        <v>30821</v>
      </c>
      <c r="AC48" s="24">
        <v>18141</v>
      </c>
      <c r="AD48" s="24">
        <v>29728</v>
      </c>
      <c r="AE48" s="24">
        <v>51566</v>
      </c>
      <c r="AF48" s="24">
        <v>33264</v>
      </c>
      <c r="AG48" s="24">
        <v>28407</v>
      </c>
      <c r="AH48" s="24">
        <v>85355</v>
      </c>
      <c r="AI48" s="24">
        <v>87682</v>
      </c>
      <c r="AJ48" s="24">
        <v>50432</v>
      </c>
      <c r="AK48" s="24">
        <v>48375</v>
      </c>
      <c r="AL48" s="47"/>
    </row>
    <row r="49" spans="1:38" ht="13.5" customHeight="1" x14ac:dyDescent="0.2">
      <c r="A49" s="15"/>
      <c r="E49" s="21"/>
      <c r="F49" s="21">
        <f>SUM(F46:F48)</f>
        <v>13477910</v>
      </c>
      <c r="G49" s="21">
        <f>SUM(G46:G48)</f>
        <v>16304422</v>
      </c>
      <c r="H49" s="21"/>
      <c r="I49" s="21">
        <f t="shared" ref="I49:AA49" si="85">SUM(I46:I48)</f>
        <v>21869498</v>
      </c>
      <c r="J49" s="21">
        <f t="shared" si="85"/>
        <v>27402964</v>
      </c>
      <c r="K49" s="21">
        <f t="shared" si="85"/>
        <v>30643661</v>
      </c>
      <c r="L49" s="21">
        <f t="shared" si="85"/>
        <v>32002738</v>
      </c>
      <c r="M49" s="21">
        <f t="shared" si="85"/>
        <v>33626577</v>
      </c>
      <c r="N49" s="21">
        <f t="shared" si="85"/>
        <v>34349872</v>
      </c>
      <c r="O49" s="21">
        <f t="shared" si="85"/>
        <v>37266007</v>
      </c>
      <c r="P49" s="21">
        <f t="shared" si="85"/>
        <v>42739762</v>
      </c>
      <c r="Q49" s="21">
        <f t="shared" si="85"/>
        <v>51234496</v>
      </c>
      <c r="R49" s="21">
        <f t="shared" si="85"/>
        <v>55868671</v>
      </c>
      <c r="S49" s="21">
        <f t="shared" si="85"/>
        <v>59435413</v>
      </c>
      <c r="T49" s="21">
        <f t="shared" si="85"/>
        <v>61527461</v>
      </c>
      <c r="U49" s="21">
        <f t="shared" si="85"/>
        <v>66469911</v>
      </c>
      <c r="V49" s="21">
        <f t="shared" si="85"/>
        <v>67469419</v>
      </c>
      <c r="W49" s="21">
        <f t="shared" si="85"/>
        <v>75261896</v>
      </c>
      <c r="X49" s="21">
        <f t="shared" si="85"/>
        <v>80315775</v>
      </c>
      <c r="Y49" s="21">
        <f t="shared" si="85"/>
        <v>81940152</v>
      </c>
      <c r="Z49" s="21">
        <f t="shared" si="85"/>
        <v>81254431</v>
      </c>
      <c r="AA49" s="21">
        <f t="shared" si="85"/>
        <v>80625528</v>
      </c>
      <c r="AB49" s="21">
        <f t="shared" ref="AB49:AC49" si="86">SUM(AB46:AB48)</f>
        <v>76255149</v>
      </c>
      <c r="AC49" s="21">
        <f t="shared" si="86"/>
        <v>74209214</v>
      </c>
      <c r="AD49" s="21">
        <f t="shared" ref="AD49:AE49" si="87">SUM(AD46:AD48)</f>
        <v>76339730</v>
      </c>
      <c r="AE49" s="21">
        <f t="shared" si="87"/>
        <v>77477379</v>
      </c>
      <c r="AF49" s="21">
        <f t="shared" ref="AF49:AG49" si="88">SUM(AF46:AF48)</f>
        <v>79036395</v>
      </c>
      <c r="AG49" s="21">
        <f t="shared" si="88"/>
        <v>80170796</v>
      </c>
      <c r="AH49" s="21">
        <f t="shared" ref="AH49:AI49" si="89">SUM(AH46:AH48)</f>
        <v>82500212</v>
      </c>
      <c r="AI49" s="21">
        <f t="shared" si="89"/>
        <v>80948590</v>
      </c>
      <c r="AJ49" s="21">
        <f t="shared" ref="AJ49:AK49" si="90">SUM(AJ46:AJ48)</f>
        <v>83543056</v>
      </c>
      <c r="AK49" s="21">
        <f t="shared" si="90"/>
        <v>86607488</v>
      </c>
      <c r="AL49" s="17"/>
    </row>
    <row r="50" spans="1:38" ht="13.5" hidden="1" customHeight="1" x14ac:dyDescent="0.2">
      <c r="A50" s="15"/>
      <c r="D50" s="26"/>
      <c r="E50" s="37"/>
      <c r="F50" s="28">
        <v>-42356</v>
      </c>
      <c r="G50" s="28">
        <v>-47887</v>
      </c>
      <c r="H50" s="30"/>
      <c r="I50" s="28">
        <v>-38361</v>
      </c>
      <c r="J50" s="28">
        <v>-212419</v>
      </c>
      <c r="K50" s="28">
        <v>-44355</v>
      </c>
      <c r="L50" s="28">
        <v>-22804</v>
      </c>
      <c r="M50" s="28">
        <v>-45505</v>
      </c>
      <c r="N50" s="28">
        <v>-46761</v>
      </c>
      <c r="O50" s="28">
        <v>-35220</v>
      </c>
      <c r="P50" s="28">
        <v>-32732</v>
      </c>
      <c r="Q50" s="28">
        <v>-27342</v>
      </c>
      <c r="R50" s="28">
        <v>-28447</v>
      </c>
      <c r="S50" s="28">
        <v>-28326</v>
      </c>
      <c r="T50" s="28">
        <v>-33975</v>
      </c>
      <c r="U50" s="28">
        <v>-24396</v>
      </c>
      <c r="V50" s="28">
        <v>-12853</v>
      </c>
      <c r="W50" s="28">
        <v>-21959</v>
      </c>
      <c r="X50" s="28">
        <v>-8088</v>
      </c>
      <c r="Y50" s="28">
        <v>-16305</v>
      </c>
      <c r="Z50" s="28">
        <v>-13597</v>
      </c>
      <c r="AA50" s="28">
        <v>-6653</v>
      </c>
      <c r="AB50" s="28">
        <v>-7705</v>
      </c>
      <c r="AC50" s="28">
        <v>-4535</v>
      </c>
      <c r="AD50" s="28">
        <v>-7432</v>
      </c>
      <c r="AE50" s="28">
        <v>-12892</v>
      </c>
      <c r="AF50" s="28">
        <v>-8316</v>
      </c>
      <c r="AG50" s="28">
        <v>-5482</v>
      </c>
      <c r="AH50" s="28">
        <v>-23836</v>
      </c>
      <c r="AI50" s="28">
        <v>-21921</v>
      </c>
      <c r="AJ50" s="28">
        <v>-12608</v>
      </c>
      <c r="AK50" s="28">
        <v>0</v>
      </c>
      <c r="AL50" s="17"/>
    </row>
    <row r="51" spans="1:38" ht="13.5" customHeight="1" x14ac:dyDescent="0.2">
      <c r="A51" s="3"/>
      <c r="D51" s="26"/>
      <c r="E51" s="27" t="s">
        <v>30</v>
      </c>
      <c r="F51" s="29">
        <f t="shared" ref="F51:AA51" si="91">SUM(F49:F50)</f>
        <v>13435554</v>
      </c>
      <c r="G51" s="29">
        <f t="shared" si="91"/>
        <v>16256535</v>
      </c>
      <c r="H51" s="29"/>
      <c r="I51" s="29">
        <f t="shared" si="91"/>
        <v>21831137</v>
      </c>
      <c r="J51" s="29">
        <f t="shared" si="91"/>
        <v>27190545</v>
      </c>
      <c r="K51" s="29">
        <f t="shared" si="91"/>
        <v>30599306</v>
      </c>
      <c r="L51" s="29">
        <f t="shared" si="91"/>
        <v>31979934</v>
      </c>
      <c r="M51" s="29">
        <f t="shared" si="91"/>
        <v>33581072</v>
      </c>
      <c r="N51" s="29">
        <f t="shared" si="91"/>
        <v>34303111</v>
      </c>
      <c r="O51" s="29">
        <f t="shared" si="91"/>
        <v>37230787</v>
      </c>
      <c r="P51" s="29">
        <f t="shared" si="91"/>
        <v>42707030</v>
      </c>
      <c r="Q51" s="29">
        <f t="shared" si="91"/>
        <v>51207154</v>
      </c>
      <c r="R51" s="29">
        <f t="shared" si="91"/>
        <v>55840224</v>
      </c>
      <c r="S51" s="29">
        <f t="shared" si="91"/>
        <v>59407087</v>
      </c>
      <c r="T51" s="29">
        <f t="shared" si="91"/>
        <v>61493486</v>
      </c>
      <c r="U51" s="29">
        <f t="shared" si="91"/>
        <v>66445515</v>
      </c>
      <c r="V51" s="29">
        <f t="shared" si="91"/>
        <v>67456566</v>
      </c>
      <c r="W51" s="29">
        <f t="shared" si="91"/>
        <v>75239937</v>
      </c>
      <c r="X51" s="29">
        <f t="shared" si="91"/>
        <v>80307687</v>
      </c>
      <c r="Y51" s="29">
        <f t="shared" si="91"/>
        <v>81923847</v>
      </c>
      <c r="Z51" s="29">
        <f t="shared" si="91"/>
        <v>81240834</v>
      </c>
      <c r="AA51" s="29">
        <f t="shared" si="91"/>
        <v>80618875</v>
      </c>
      <c r="AB51" s="29">
        <f t="shared" ref="AB51:AC51" si="92">SUM(AB49:AB50)</f>
        <v>76247444</v>
      </c>
      <c r="AC51" s="29">
        <f t="shared" si="92"/>
        <v>74204679</v>
      </c>
      <c r="AD51" s="29">
        <f t="shared" ref="AD51:AE51" si="93">SUM(AD49:AD50)</f>
        <v>76332298</v>
      </c>
      <c r="AE51" s="29">
        <f t="shared" si="93"/>
        <v>77464487</v>
      </c>
      <c r="AF51" s="29">
        <f t="shared" ref="AF51:AG51" si="94">SUM(AF49:AF50)</f>
        <v>79028079</v>
      </c>
      <c r="AG51" s="29">
        <f t="shared" si="94"/>
        <v>80165314</v>
      </c>
      <c r="AH51" s="29">
        <f t="shared" ref="AH51:AI51" si="95">SUM(AH49:AH50)</f>
        <v>82476376</v>
      </c>
      <c r="AI51" s="29">
        <f t="shared" si="95"/>
        <v>80926669</v>
      </c>
      <c r="AJ51" s="29">
        <f t="shared" ref="AJ51:AK51" si="96">SUM(AJ49:AJ50)</f>
        <v>83530448</v>
      </c>
      <c r="AK51" s="29">
        <f t="shared" si="96"/>
        <v>86607488</v>
      </c>
      <c r="AL51" s="5"/>
    </row>
    <row r="52" spans="1:38" ht="13.5" customHeight="1" x14ac:dyDescent="0.2">
      <c r="A52" s="15"/>
      <c r="C52" s="2" t="s">
        <v>31</v>
      </c>
      <c r="E52" s="21"/>
      <c r="AL52" s="17"/>
    </row>
    <row r="53" spans="1:38" ht="13.5" customHeight="1" x14ac:dyDescent="0.2">
      <c r="A53" s="15"/>
      <c r="D53" s="1" t="s">
        <v>27</v>
      </c>
      <c r="E53" s="21"/>
      <c r="F53" s="21">
        <v>107776</v>
      </c>
      <c r="G53" s="21">
        <v>240942</v>
      </c>
      <c r="H53" s="21"/>
      <c r="I53" s="21">
        <v>206173</v>
      </c>
      <c r="J53" s="21">
        <v>304412</v>
      </c>
      <c r="K53" s="21">
        <v>614213</v>
      </c>
      <c r="L53" s="21">
        <v>400835</v>
      </c>
      <c r="M53" s="21">
        <v>440973</v>
      </c>
      <c r="N53" s="21">
        <v>644264</v>
      </c>
      <c r="O53" s="21">
        <v>200229</v>
      </c>
      <c r="P53" s="21">
        <v>230390</v>
      </c>
      <c r="Q53" s="21">
        <v>430070</v>
      </c>
      <c r="R53" s="21">
        <f>0+170525+200000</f>
        <v>370525</v>
      </c>
      <c r="S53" s="21">
        <f>0+266276+190000</f>
        <v>456276</v>
      </c>
      <c r="T53" s="21">
        <f>0+283501+200000</f>
        <v>483501</v>
      </c>
      <c r="U53" s="21">
        <f>6000+295994+204002</f>
        <v>505996</v>
      </c>
      <c r="V53" s="21">
        <f>0+2000+6000+0+281002+0+10201</f>
        <v>299203</v>
      </c>
      <c r="W53" s="21">
        <f>0+0+0+3000+0+224106+0+21416</f>
        <v>248522</v>
      </c>
      <c r="X53" s="21">
        <f>0+0+0+3000+0+159189+0+16118</f>
        <v>178307</v>
      </c>
      <c r="Y53" s="21">
        <f>0+0+0+527+0+193574+0+12286</f>
        <v>206387</v>
      </c>
      <c r="Z53" s="21">
        <f>0+0+0+0+0+0+0+221957+8000+8458</f>
        <v>238415</v>
      </c>
      <c r="AA53" s="21">
        <f>0+0+0+0+0+0+0+244155+0+0</f>
        <v>244155</v>
      </c>
      <c r="AB53" s="21">
        <f>0+0+0+0+0+0+0+172741+0+0</f>
        <v>172741</v>
      </c>
      <c r="AC53" s="21">
        <f>0+0+0+0+0+0+0+176435+0+0</f>
        <v>176435</v>
      </c>
      <c r="AD53" s="21">
        <f>0+0+0+0+0+0+0+184054+0+0</f>
        <v>184054</v>
      </c>
      <c r="AE53" s="21">
        <f>0+0+0+0+0+0+0+162004+0+9365</f>
        <v>171369</v>
      </c>
      <c r="AF53" s="21">
        <f>0+0+0+0+0+146753+0+9807</f>
        <v>156560</v>
      </c>
      <c r="AG53" s="21">
        <f>0+0+0+0+0+132370+0+0</f>
        <v>132370</v>
      </c>
      <c r="AH53" s="21">
        <f>0+0+0+0+0+154189+0+85217</f>
        <v>239406</v>
      </c>
      <c r="AI53" s="21">
        <f>0+0+0+0+0+204543+0+32712</f>
        <v>237255</v>
      </c>
      <c r="AJ53" s="21">
        <f>0+0+0+0+0+205987+0+23258</f>
        <v>229245</v>
      </c>
      <c r="AK53" s="21">
        <f>0+0+0+0+0+230100+0+56860</f>
        <v>286960</v>
      </c>
      <c r="AL53" s="17"/>
    </row>
    <row r="54" spans="1:38" ht="13.5" customHeight="1" x14ac:dyDescent="0.2">
      <c r="A54" s="15"/>
      <c r="D54" s="1" t="s">
        <v>28</v>
      </c>
      <c r="E54" s="23"/>
      <c r="F54" s="24">
        <v>0</v>
      </c>
      <c r="G54" s="24">
        <v>0</v>
      </c>
      <c r="H54" s="24"/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f>0</f>
        <v>0</v>
      </c>
      <c r="S54" s="24">
        <f>0</f>
        <v>0</v>
      </c>
      <c r="T54" s="24">
        <f>0</f>
        <v>0</v>
      </c>
      <c r="U54" s="24">
        <f>0</f>
        <v>0</v>
      </c>
      <c r="V54" s="24">
        <f>0+160000+0+0</f>
        <v>160000</v>
      </c>
      <c r="W54" s="24">
        <f>0+80000+0+0</f>
        <v>80000</v>
      </c>
      <c r="X54" s="24">
        <f>0+40000+0+0</f>
        <v>40000</v>
      </c>
      <c r="Y54" s="24">
        <f>0</f>
        <v>0</v>
      </c>
      <c r="Z54" s="24">
        <f>0+20000+0+0</f>
        <v>20000</v>
      </c>
      <c r="AA54" s="24">
        <f>0+45000+0+0</f>
        <v>45000</v>
      </c>
      <c r="AB54" s="24">
        <f>0+20000+0+0</f>
        <v>20000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47"/>
    </row>
    <row r="55" spans="1:38" ht="13.5" customHeight="1" x14ac:dyDescent="0.2">
      <c r="A55" s="15"/>
      <c r="E55" s="21"/>
      <c r="F55" s="21">
        <f t="shared" ref="F55:L55" si="97">SUM(F53:F54)</f>
        <v>107776</v>
      </c>
      <c r="G55" s="21">
        <f t="shared" si="97"/>
        <v>240942</v>
      </c>
      <c r="H55" s="21"/>
      <c r="I55" s="21">
        <f t="shared" si="97"/>
        <v>206173</v>
      </c>
      <c r="J55" s="21">
        <f t="shared" si="97"/>
        <v>304412</v>
      </c>
      <c r="K55" s="21">
        <f t="shared" si="97"/>
        <v>614213</v>
      </c>
      <c r="L55" s="21">
        <f t="shared" si="97"/>
        <v>400835</v>
      </c>
      <c r="M55" s="21">
        <f t="shared" ref="M55:AA55" si="98">SUM(M53:M54)</f>
        <v>440973</v>
      </c>
      <c r="N55" s="21">
        <f t="shared" si="98"/>
        <v>644264</v>
      </c>
      <c r="O55" s="21">
        <f t="shared" si="98"/>
        <v>200229</v>
      </c>
      <c r="P55" s="21">
        <f t="shared" si="98"/>
        <v>230390</v>
      </c>
      <c r="Q55" s="21">
        <f t="shared" si="98"/>
        <v>430070</v>
      </c>
      <c r="R55" s="21">
        <f t="shared" si="98"/>
        <v>370525</v>
      </c>
      <c r="S55" s="21">
        <f t="shared" si="98"/>
        <v>456276</v>
      </c>
      <c r="T55" s="21">
        <f t="shared" si="98"/>
        <v>483501</v>
      </c>
      <c r="U55" s="21">
        <f t="shared" si="98"/>
        <v>505996</v>
      </c>
      <c r="V55" s="21">
        <f t="shared" si="98"/>
        <v>459203</v>
      </c>
      <c r="W55" s="21">
        <f t="shared" si="98"/>
        <v>328522</v>
      </c>
      <c r="X55" s="21">
        <f t="shared" si="98"/>
        <v>218307</v>
      </c>
      <c r="Y55" s="21">
        <f t="shared" si="98"/>
        <v>206387</v>
      </c>
      <c r="Z55" s="21">
        <f t="shared" si="98"/>
        <v>258415</v>
      </c>
      <c r="AA55" s="21">
        <f t="shared" si="98"/>
        <v>289155</v>
      </c>
      <c r="AB55" s="21">
        <f t="shared" ref="AB55:AC55" si="99">SUM(AB53:AB54)</f>
        <v>192741</v>
      </c>
      <c r="AC55" s="21">
        <f t="shared" si="99"/>
        <v>176435</v>
      </c>
      <c r="AD55" s="21">
        <f t="shared" ref="AD55:AE55" si="100">SUM(AD53:AD54)</f>
        <v>184054</v>
      </c>
      <c r="AE55" s="21">
        <f t="shared" si="100"/>
        <v>171369</v>
      </c>
      <c r="AF55" s="21">
        <f t="shared" ref="AF55:AG55" si="101">SUM(AF53:AF54)</f>
        <v>156560</v>
      </c>
      <c r="AG55" s="21">
        <f t="shared" si="101"/>
        <v>132370</v>
      </c>
      <c r="AH55" s="21">
        <f t="shared" ref="AH55:AI55" si="102">SUM(AH53:AH54)</f>
        <v>239406</v>
      </c>
      <c r="AI55" s="21">
        <f t="shared" si="102"/>
        <v>237255</v>
      </c>
      <c r="AJ55" s="21">
        <f t="shared" ref="AJ55:AK55" si="103">SUM(AJ53:AJ54)</f>
        <v>229245</v>
      </c>
      <c r="AK55" s="21">
        <f t="shared" si="103"/>
        <v>286960</v>
      </c>
      <c r="AL55" s="17"/>
    </row>
    <row r="56" spans="1:38" ht="13.5" hidden="1" customHeight="1" x14ac:dyDescent="0.2">
      <c r="A56" s="15"/>
      <c r="D56" s="26"/>
      <c r="E56" s="37"/>
      <c r="F56" s="28">
        <f>0</f>
        <v>0</v>
      </c>
      <c r="G56" s="28">
        <f>0</f>
        <v>0</v>
      </c>
      <c r="H56" s="30"/>
      <c r="I56" s="28">
        <f>0</f>
        <v>0</v>
      </c>
      <c r="J56" s="28">
        <f>0</f>
        <v>0</v>
      </c>
      <c r="K56" s="28">
        <f>0</f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17"/>
    </row>
    <row r="57" spans="1:38" ht="13.5" customHeight="1" x14ac:dyDescent="0.2">
      <c r="A57" s="3"/>
      <c r="D57" s="26"/>
      <c r="E57" s="27" t="s">
        <v>30</v>
      </c>
      <c r="F57" s="29">
        <f t="shared" ref="F57:AA57" si="104">SUM(F55:F56)</f>
        <v>107776</v>
      </c>
      <c r="G57" s="29">
        <f t="shared" si="104"/>
        <v>240942</v>
      </c>
      <c r="H57" s="29"/>
      <c r="I57" s="29">
        <f t="shared" si="104"/>
        <v>206173</v>
      </c>
      <c r="J57" s="29">
        <f t="shared" si="104"/>
        <v>304412</v>
      </c>
      <c r="K57" s="29">
        <f t="shared" si="104"/>
        <v>614213</v>
      </c>
      <c r="L57" s="29">
        <f t="shared" si="104"/>
        <v>400835</v>
      </c>
      <c r="M57" s="29">
        <f t="shared" si="104"/>
        <v>440973</v>
      </c>
      <c r="N57" s="29">
        <f t="shared" si="104"/>
        <v>644264</v>
      </c>
      <c r="O57" s="29">
        <f t="shared" si="104"/>
        <v>200229</v>
      </c>
      <c r="P57" s="29">
        <f t="shared" si="104"/>
        <v>230390</v>
      </c>
      <c r="Q57" s="29">
        <f t="shared" si="104"/>
        <v>430070</v>
      </c>
      <c r="R57" s="29">
        <f t="shared" si="104"/>
        <v>370525</v>
      </c>
      <c r="S57" s="29">
        <f t="shared" si="104"/>
        <v>456276</v>
      </c>
      <c r="T57" s="29">
        <f t="shared" si="104"/>
        <v>483501</v>
      </c>
      <c r="U57" s="29">
        <f t="shared" si="104"/>
        <v>505996</v>
      </c>
      <c r="V57" s="29">
        <f t="shared" si="104"/>
        <v>459203</v>
      </c>
      <c r="W57" s="29">
        <f t="shared" si="104"/>
        <v>328522</v>
      </c>
      <c r="X57" s="29">
        <f t="shared" si="104"/>
        <v>218307</v>
      </c>
      <c r="Y57" s="29">
        <f t="shared" si="104"/>
        <v>206387</v>
      </c>
      <c r="Z57" s="29">
        <f t="shared" si="104"/>
        <v>258415</v>
      </c>
      <c r="AA57" s="29">
        <f t="shared" si="104"/>
        <v>289155</v>
      </c>
      <c r="AB57" s="29">
        <f t="shared" ref="AB57:AC57" si="105">SUM(AB55:AB56)</f>
        <v>192741</v>
      </c>
      <c r="AC57" s="29">
        <f t="shared" si="105"/>
        <v>176435</v>
      </c>
      <c r="AD57" s="29">
        <f t="shared" ref="AD57:AE57" si="106">SUM(AD55:AD56)</f>
        <v>184054</v>
      </c>
      <c r="AE57" s="29">
        <f t="shared" si="106"/>
        <v>171369</v>
      </c>
      <c r="AF57" s="29">
        <f t="shared" ref="AF57:AG57" si="107">SUM(AF55:AF56)</f>
        <v>156560</v>
      </c>
      <c r="AG57" s="29">
        <f t="shared" si="107"/>
        <v>132370</v>
      </c>
      <c r="AH57" s="29">
        <f t="shared" ref="AH57:AI57" si="108">SUM(AH55:AH56)</f>
        <v>239406</v>
      </c>
      <c r="AI57" s="29">
        <f t="shared" si="108"/>
        <v>237255</v>
      </c>
      <c r="AJ57" s="29">
        <f t="shared" ref="AJ57:AK57" si="109">SUM(AJ55:AJ56)</f>
        <v>229245</v>
      </c>
      <c r="AK57" s="29">
        <f t="shared" si="109"/>
        <v>286960</v>
      </c>
      <c r="AL57" s="5"/>
    </row>
    <row r="58" spans="1:38" ht="13.5" customHeight="1" x14ac:dyDescent="0.2">
      <c r="A58" s="15"/>
      <c r="C58" s="2" t="s">
        <v>32</v>
      </c>
      <c r="D58" s="2"/>
      <c r="E58" s="21"/>
      <c r="AL58" s="17"/>
    </row>
    <row r="59" spans="1:38" ht="13.5" customHeight="1" x14ac:dyDescent="0.2">
      <c r="A59" s="15"/>
      <c r="D59" s="1" t="s">
        <v>27</v>
      </c>
      <c r="E59" s="21"/>
      <c r="F59" s="21">
        <v>4405623</v>
      </c>
      <c r="G59" s="21">
        <v>4817418</v>
      </c>
      <c r="H59" s="21"/>
      <c r="I59" s="21">
        <v>6890629</v>
      </c>
      <c r="J59" s="21">
        <v>6721814</v>
      </c>
      <c r="K59" s="21">
        <v>8095505</v>
      </c>
      <c r="L59" s="21">
        <v>8626593</v>
      </c>
      <c r="M59" s="21">
        <v>10480387</v>
      </c>
      <c r="N59" s="21">
        <v>11619590</v>
      </c>
      <c r="O59" s="21">
        <v>12395119</v>
      </c>
      <c r="P59" s="21">
        <v>13727876</v>
      </c>
      <c r="Q59" s="21">
        <v>14394720</v>
      </c>
      <c r="R59" s="21">
        <f>50973+2628938+216324+11484900+2079</f>
        <v>14383214</v>
      </c>
      <c r="S59" s="21">
        <f>48667+2971721+145943+12186888+4344</f>
        <v>15357563</v>
      </c>
      <c r="T59" s="21">
        <f>106111+2653616+95212+13575437+3500</f>
        <v>16433876</v>
      </c>
      <c r="U59" s="21">
        <f>51038+1961401+100122+12770297+1658</f>
        <v>14884516</v>
      </c>
      <c r="V59" s="21">
        <f>28631+9081359+100651+6925939+0</f>
        <v>16136580</v>
      </c>
      <c r="W59" s="21">
        <f>434685+9119618+145416+6291893+270</f>
        <v>15991882</v>
      </c>
      <c r="X59" s="21">
        <f>281920+8728688+193403+5763741+0</f>
        <v>14967752</v>
      </c>
      <c r="Y59" s="21">
        <f>92000+9133032+171628+5358665+0</f>
        <v>14755325</v>
      </c>
      <c r="Z59" s="21">
        <f>594487+8007209+212139+5931362+0</f>
        <v>14745197</v>
      </c>
      <c r="AA59" s="21">
        <f>624579+9186296+251809+4769076+11842</f>
        <v>14843602</v>
      </c>
      <c r="AB59" s="21">
        <f>725165+9025976+253591+4499803+1000</f>
        <v>14505535</v>
      </c>
      <c r="AC59" s="21">
        <f>193380+10428132+356885+6557252+2000</f>
        <v>17537649</v>
      </c>
      <c r="AD59" s="21">
        <f>173025+11074499+361913+6900365+9376</f>
        <v>18519178</v>
      </c>
      <c r="AE59" s="21">
        <f>219610+11472798+417026+7231936+1065</f>
        <v>19342435</v>
      </c>
      <c r="AF59" s="21">
        <f>261515+10859799+354114+8141898+3000</f>
        <v>19620326</v>
      </c>
      <c r="AG59" s="21">
        <f>311581+15156641+372502+8508145+3122</f>
        <v>24351991</v>
      </c>
      <c r="AH59" s="21">
        <f>230236+16251745+341383+9327993+6836</f>
        <v>26158193</v>
      </c>
      <c r="AI59" s="21">
        <f>430293+23309783+476540+9001821+106928</f>
        <v>33325365</v>
      </c>
      <c r="AJ59" s="21">
        <f>207469+22911427+488362+9794577+98338</f>
        <v>33500173</v>
      </c>
      <c r="AK59" s="21">
        <f>342147+21398606+672269+10386191+179288</f>
        <v>32978501</v>
      </c>
      <c r="AL59" s="17"/>
    </row>
    <row r="60" spans="1:38" ht="13.5" customHeight="1" x14ac:dyDescent="0.2">
      <c r="A60" s="15"/>
      <c r="D60" s="1" t="s">
        <v>28</v>
      </c>
      <c r="E60" s="23"/>
      <c r="F60" s="23">
        <v>251770</v>
      </c>
      <c r="G60" s="23">
        <v>154250</v>
      </c>
      <c r="H60" s="23"/>
      <c r="I60" s="23">
        <v>228668</v>
      </c>
      <c r="J60" s="23">
        <v>300487</v>
      </c>
      <c r="K60" s="23">
        <v>285944</v>
      </c>
      <c r="L60" s="23">
        <v>192241</v>
      </c>
      <c r="M60" s="23">
        <v>398216</v>
      </c>
      <c r="N60" s="23">
        <v>293769</v>
      </c>
      <c r="O60" s="23">
        <v>215635</v>
      </c>
      <c r="P60" s="23">
        <v>251641</v>
      </c>
      <c r="Q60" s="23">
        <v>296603</v>
      </c>
      <c r="R60" s="23">
        <f>290308+7500</f>
        <v>297808</v>
      </c>
      <c r="S60" s="23">
        <f>452603+5000</f>
        <v>457603</v>
      </c>
      <c r="T60" s="23">
        <f>322335+16584</f>
        <v>338919</v>
      </c>
      <c r="U60" s="23">
        <f>134207+19802</f>
        <v>154009</v>
      </c>
      <c r="V60" s="23">
        <f>236480+25249</f>
        <v>261729</v>
      </c>
      <c r="W60" s="23">
        <f>268405+32000</f>
        <v>300405</v>
      </c>
      <c r="X60" s="23">
        <f>130000+35469</f>
        <v>165469</v>
      </c>
      <c r="Y60" s="23">
        <f>108500+43952</f>
        <v>152452</v>
      </c>
      <c r="Z60" s="23">
        <f>186709+11096</f>
        <v>197805</v>
      </c>
      <c r="AA60" s="23">
        <f>194348+17960</f>
        <v>212308</v>
      </c>
      <c r="AB60" s="23">
        <f>217998+800</f>
        <v>218798</v>
      </c>
      <c r="AC60" s="23">
        <f>173600+43434</f>
        <v>217034</v>
      </c>
      <c r="AD60" s="23">
        <f>166888+6525</f>
        <v>173413</v>
      </c>
      <c r="AE60" s="23">
        <f>214419+3500</f>
        <v>217919</v>
      </c>
      <c r="AF60" s="23">
        <f>193800+32000</f>
        <v>225800</v>
      </c>
      <c r="AG60" s="23">
        <f>163112+12916</f>
        <v>176028</v>
      </c>
      <c r="AH60" s="23">
        <f>113808+4800</f>
        <v>118608</v>
      </c>
      <c r="AI60" s="23">
        <f>130600+5429</f>
        <v>136029</v>
      </c>
      <c r="AJ60" s="23">
        <f>239000+0</f>
        <v>239000</v>
      </c>
      <c r="AK60" s="23">
        <f>252500+68815</f>
        <v>321315</v>
      </c>
      <c r="AL60" s="47"/>
    </row>
    <row r="61" spans="1:38" ht="13.5" customHeight="1" x14ac:dyDescent="0.2">
      <c r="A61" s="15"/>
      <c r="D61" s="1" t="s">
        <v>29</v>
      </c>
      <c r="E61" s="23"/>
      <c r="F61" s="24">
        <v>1801544</v>
      </c>
      <c r="G61" s="24">
        <v>1928166</v>
      </c>
      <c r="H61" s="24"/>
      <c r="I61" s="24">
        <v>1857047</v>
      </c>
      <c r="J61" s="24">
        <v>1725213</v>
      </c>
      <c r="K61" s="24">
        <v>3314325</v>
      </c>
      <c r="L61" s="24">
        <v>2332123</v>
      </c>
      <c r="M61" s="24">
        <v>2131623</v>
      </c>
      <c r="N61" s="24">
        <v>1772954</v>
      </c>
      <c r="O61" s="24">
        <v>1846236</v>
      </c>
      <c r="P61" s="24">
        <v>1109118</v>
      </c>
      <c r="Q61" s="24">
        <v>1111896</v>
      </c>
      <c r="R61" s="24">
        <f>0+1358174</f>
        <v>1358174</v>
      </c>
      <c r="S61" s="24">
        <f>0+1535598</f>
        <v>1535598</v>
      </c>
      <c r="T61" s="24">
        <f>4100+2151549</f>
        <v>2155649</v>
      </c>
      <c r="U61" s="24">
        <f>5476372</f>
        <v>5476372</v>
      </c>
      <c r="V61" s="24">
        <f>0+6188396</f>
        <v>6188396</v>
      </c>
      <c r="W61" s="24">
        <f>0+4293169</f>
        <v>4293169</v>
      </c>
      <c r="X61" s="24">
        <f>0+4568790</f>
        <v>4568790</v>
      </c>
      <c r="Y61" s="24">
        <f>0+4633451</f>
        <v>4633451</v>
      </c>
      <c r="Z61" s="24">
        <f>0+4621142</f>
        <v>4621142</v>
      </c>
      <c r="AA61" s="24">
        <f>4719892</f>
        <v>4719892</v>
      </c>
      <c r="AB61" s="24">
        <f>4797696</f>
        <v>4797696</v>
      </c>
      <c r="AC61" s="24">
        <f>0+4996696</f>
        <v>4996696</v>
      </c>
      <c r="AD61" s="24">
        <f>0+7671247</f>
        <v>7671247</v>
      </c>
      <c r="AE61" s="24">
        <f>0+4907375</f>
        <v>4907375</v>
      </c>
      <c r="AF61" s="24">
        <f>0+7268168</f>
        <v>7268168</v>
      </c>
      <c r="AG61" s="24">
        <f>0+7079085</f>
        <v>7079085</v>
      </c>
      <c r="AH61" s="24">
        <v>6255097</v>
      </c>
      <c r="AI61" s="24">
        <f>0+7386518</f>
        <v>7386518</v>
      </c>
      <c r="AJ61" s="24">
        <f>0+8214681</f>
        <v>8214681</v>
      </c>
      <c r="AK61" s="24">
        <f>0+9803189</f>
        <v>9803189</v>
      </c>
      <c r="AL61" s="47"/>
    </row>
    <row r="62" spans="1:38" ht="13.5" customHeight="1" x14ac:dyDescent="0.2">
      <c r="A62" s="15"/>
      <c r="E62" s="21"/>
      <c r="F62" s="21">
        <f>SUM(F59:F61)</f>
        <v>6458937</v>
      </c>
      <c r="G62" s="21">
        <f>SUM(G59:G61)</f>
        <v>6899834</v>
      </c>
      <c r="H62" s="21"/>
      <c r="I62" s="21">
        <f t="shared" ref="I62:AA62" si="110">SUM(I59:I61)</f>
        <v>8976344</v>
      </c>
      <c r="J62" s="21">
        <f t="shared" si="110"/>
        <v>8747514</v>
      </c>
      <c r="K62" s="21">
        <f t="shared" si="110"/>
        <v>11695774</v>
      </c>
      <c r="L62" s="21">
        <f t="shared" si="110"/>
        <v>11150957</v>
      </c>
      <c r="M62" s="21">
        <f t="shared" si="110"/>
        <v>13010226</v>
      </c>
      <c r="N62" s="21">
        <f t="shared" si="110"/>
        <v>13686313</v>
      </c>
      <c r="O62" s="21">
        <f t="shared" si="110"/>
        <v>14456990</v>
      </c>
      <c r="P62" s="21">
        <f t="shared" si="110"/>
        <v>15088635</v>
      </c>
      <c r="Q62" s="21">
        <f t="shared" si="110"/>
        <v>15803219</v>
      </c>
      <c r="R62" s="21">
        <f t="shared" si="110"/>
        <v>16039196</v>
      </c>
      <c r="S62" s="21">
        <f t="shared" si="110"/>
        <v>17350764</v>
      </c>
      <c r="T62" s="21">
        <f t="shared" si="110"/>
        <v>18928444</v>
      </c>
      <c r="U62" s="21">
        <f t="shared" si="110"/>
        <v>20514897</v>
      </c>
      <c r="V62" s="21">
        <f t="shared" si="110"/>
        <v>22586705</v>
      </c>
      <c r="W62" s="21">
        <f t="shared" si="110"/>
        <v>20585456</v>
      </c>
      <c r="X62" s="21">
        <f t="shared" si="110"/>
        <v>19702011</v>
      </c>
      <c r="Y62" s="21">
        <f t="shared" si="110"/>
        <v>19541228</v>
      </c>
      <c r="Z62" s="21">
        <f t="shared" si="110"/>
        <v>19564144</v>
      </c>
      <c r="AA62" s="21">
        <f t="shared" si="110"/>
        <v>19775802</v>
      </c>
      <c r="AB62" s="21">
        <f t="shared" ref="AB62:AC62" si="111">SUM(AB59:AB61)</f>
        <v>19522029</v>
      </c>
      <c r="AC62" s="21">
        <f t="shared" si="111"/>
        <v>22751379</v>
      </c>
      <c r="AD62" s="21">
        <f t="shared" ref="AD62:AE62" si="112">SUM(AD59:AD61)</f>
        <v>26363838</v>
      </c>
      <c r="AE62" s="21">
        <f t="shared" si="112"/>
        <v>24467729</v>
      </c>
      <c r="AF62" s="21">
        <f t="shared" ref="AF62:AG62" si="113">SUM(AF59:AF61)</f>
        <v>27114294</v>
      </c>
      <c r="AG62" s="21">
        <f t="shared" si="113"/>
        <v>31607104</v>
      </c>
      <c r="AH62" s="21">
        <f t="shared" ref="AH62:AI62" si="114">SUM(AH59:AH61)</f>
        <v>32531898</v>
      </c>
      <c r="AI62" s="21">
        <f t="shared" si="114"/>
        <v>40847912</v>
      </c>
      <c r="AJ62" s="21">
        <f t="shared" ref="AJ62" si="115">SUM(AJ59:AJ61)</f>
        <v>41953854</v>
      </c>
      <c r="AK62" s="21">
        <f>SUM(AK59:AK61)</f>
        <v>43103005</v>
      </c>
      <c r="AL62" s="17"/>
    </row>
    <row r="63" spans="1:38" ht="13.5" hidden="1" customHeight="1" x14ac:dyDescent="0.2">
      <c r="A63" s="15"/>
      <c r="D63" s="26"/>
      <c r="E63" s="37"/>
      <c r="F63" s="28">
        <f>(F50+F56)*-1</f>
        <v>42356</v>
      </c>
      <c r="G63" s="28">
        <f>(G50+G56)*-1</f>
        <v>47887</v>
      </c>
      <c r="H63" s="30"/>
      <c r="I63" s="28">
        <f t="shared" ref="I63:AA63" si="116">(I50+I56)*-1</f>
        <v>38361</v>
      </c>
      <c r="J63" s="28">
        <f t="shared" si="116"/>
        <v>212419</v>
      </c>
      <c r="K63" s="28">
        <f t="shared" si="116"/>
        <v>44355</v>
      </c>
      <c r="L63" s="28">
        <f t="shared" si="116"/>
        <v>22804</v>
      </c>
      <c r="M63" s="28">
        <f t="shared" si="116"/>
        <v>45505</v>
      </c>
      <c r="N63" s="28">
        <f t="shared" si="116"/>
        <v>46761</v>
      </c>
      <c r="O63" s="28">
        <f t="shared" si="116"/>
        <v>35220</v>
      </c>
      <c r="P63" s="28">
        <f t="shared" si="116"/>
        <v>32732</v>
      </c>
      <c r="Q63" s="28">
        <f t="shared" si="116"/>
        <v>27342</v>
      </c>
      <c r="R63" s="28">
        <f t="shared" si="116"/>
        <v>28447</v>
      </c>
      <c r="S63" s="28">
        <f t="shared" si="116"/>
        <v>28326</v>
      </c>
      <c r="T63" s="28">
        <f t="shared" si="116"/>
        <v>33975</v>
      </c>
      <c r="U63" s="28">
        <f t="shared" si="116"/>
        <v>24396</v>
      </c>
      <c r="V63" s="28">
        <f t="shared" si="116"/>
        <v>12853</v>
      </c>
      <c r="W63" s="28">
        <f t="shared" si="116"/>
        <v>21959</v>
      </c>
      <c r="X63" s="28">
        <f t="shared" si="116"/>
        <v>8088</v>
      </c>
      <c r="Y63" s="28">
        <f t="shared" si="116"/>
        <v>16305</v>
      </c>
      <c r="Z63" s="28">
        <f t="shared" si="116"/>
        <v>13597</v>
      </c>
      <c r="AA63" s="28">
        <f t="shared" si="116"/>
        <v>6653</v>
      </c>
      <c r="AB63" s="28">
        <f t="shared" ref="AB63:AC63" si="117">(AB50+AB56)*-1</f>
        <v>7705</v>
      </c>
      <c r="AC63" s="28">
        <f t="shared" si="117"/>
        <v>4535</v>
      </c>
      <c r="AD63" s="28">
        <f t="shared" ref="AD63:AE63" si="118">(AD50+AD56)*-1</f>
        <v>7432</v>
      </c>
      <c r="AE63" s="28">
        <f t="shared" si="118"/>
        <v>12892</v>
      </c>
      <c r="AF63" s="28">
        <f t="shared" ref="AF63:AH63" si="119">(AF50+AF56)*-1</f>
        <v>8316</v>
      </c>
      <c r="AG63" s="28">
        <f t="shared" si="119"/>
        <v>5482</v>
      </c>
      <c r="AH63" s="28">
        <f t="shared" si="119"/>
        <v>23836</v>
      </c>
      <c r="AI63" s="28">
        <f t="shared" ref="AI63:AJ63" si="120">(AI50+AI56)*-1</f>
        <v>21921</v>
      </c>
      <c r="AJ63" s="28">
        <f t="shared" si="120"/>
        <v>12608</v>
      </c>
      <c r="AK63" s="28">
        <f t="shared" ref="AK63" si="121">(AK50+AK56)*-1</f>
        <v>0</v>
      </c>
      <c r="AL63" s="17"/>
    </row>
    <row r="64" spans="1:38" ht="13.5" customHeight="1" x14ac:dyDescent="0.2">
      <c r="A64" s="3"/>
      <c r="D64" s="26"/>
      <c r="E64" s="27" t="s">
        <v>33</v>
      </c>
      <c r="F64" s="29">
        <f t="shared" ref="F64:L64" si="122">SUM(F62:F63)</f>
        <v>6501293</v>
      </c>
      <c r="G64" s="29">
        <f t="shared" si="122"/>
        <v>6947721</v>
      </c>
      <c r="H64" s="29"/>
      <c r="I64" s="29">
        <f t="shared" si="122"/>
        <v>9014705</v>
      </c>
      <c r="J64" s="29">
        <f t="shared" si="122"/>
        <v>8959933</v>
      </c>
      <c r="K64" s="29">
        <f t="shared" si="122"/>
        <v>11740129</v>
      </c>
      <c r="L64" s="29">
        <f t="shared" si="122"/>
        <v>11173761</v>
      </c>
      <c r="M64" s="29">
        <f t="shared" ref="M64:AA64" si="123">SUM(M62:M63)</f>
        <v>13055731</v>
      </c>
      <c r="N64" s="29">
        <f t="shared" si="123"/>
        <v>13733074</v>
      </c>
      <c r="O64" s="29">
        <f t="shared" si="123"/>
        <v>14492210</v>
      </c>
      <c r="P64" s="29">
        <f t="shared" si="123"/>
        <v>15121367</v>
      </c>
      <c r="Q64" s="29">
        <f t="shared" si="123"/>
        <v>15830561</v>
      </c>
      <c r="R64" s="29">
        <f t="shared" si="123"/>
        <v>16067643</v>
      </c>
      <c r="S64" s="29">
        <f t="shared" si="123"/>
        <v>17379090</v>
      </c>
      <c r="T64" s="29">
        <f t="shared" si="123"/>
        <v>18962419</v>
      </c>
      <c r="U64" s="29">
        <f t="shared" si="123"/>
        <v>20539293</v>
      </c>
      <c r="V64" s="29">
        <f t="shared" si="123"/>
        <v>22599558</v>
      </c>
      <c r="W64" s="29">
        <f t="shared" si="123"/>
        <v>20607415</v>
      </c>
      <c r="X64" s="29">
        <f t="shared" si="123"/>
        <v>19710099</v>
      </c>
      <c r="Y64" s="29">
        <f t="shared" si="123"/>
        <v>19557533</v>
      </c>
      <c r="Z64" s="29">
        <f t="shared" si="123"/>
        <v>19577741</v>
      </c>
      <c r="AA64" s="29">
        <f t="shared" si="123"/>
        <v>19782455</v>
      </c>
      <c r="AB64" s="29">
        <f t="shared" ref="AB64:AC64" si="124">SUM(AB62:AB63)</f>
        <v>19529734</v>
      </c>
      <c r="AC64" s="29">
        <f t="shared" si="124"/>
        <v>22755914</v>
      </c>
      <c r="AD64" s="29">
        <f t="shared" ref="AD64:AE64" si="125">SUM(AD62:AD63)</f>
        <v>26371270</v>
      </c>
      <c r="AE64" s="29">
        <f t="shared" si="125"/>
        <v>24480621</v>
      </c>
      <c r="AF64" s="29">
        <f t="shared" ref="AF64:AG64" si="126">SUM(AF62:AF63)</f>
        <v>27122610</v>
      </c>
      <c r="AG64" s="29">
        <f t="shared" si="126"/>
        <v>31612586</v>
      </c>
      <c r="AH64" s="29">
        <f t="shared" ref="AH64:AI64" si="127">SUM(AH62:AH63)</f>
        <v>32555734</v>
      </c>
      <c r="AI64" s="29">
        <f t="shared" si="127"/>
        <v>40869833</v>
      </c>
      <c r="AJ64" s="29">
        <f t="shared" ref="AJ64:AK64" si="128">SUM(AJ62:AJ63)</f>
        <v>41966462</v>
      </c>
      <c r="AK64" s="29">
        <f t="shared" si="128"/>
        <v>43103005</v>
      </c>
      <c r="AL64" s="5"/>
    </row>
    <row r="65" spans="1:40" ht="13.5" customHeight="1" x14ac:dyDescent="0.2">
      <c r="A65" s="15"/>
      <c r="C65" s="2" t="s">
        <v>34</v>
      </c>
      <c r="D65" s="2"/>
      <c r="E65" s="21"/>
      <c r="AL65" s="17"/>
    </row>
    <row r="66" spans="1:40" ht="13.5" customHeight="1" x14ac:dyDescent="0.2">
      <c r="A66" s="15"/>
      <c r="D66" s="1" t="s">
        <v>27</v>
      </c>
      <c r="E66" s="21"/>
      <c r="F66" s="21">
        <v>1358359</v>
      </c>
      <c r="G66" s="21">
        <v>644744</v>
      </c>
      <c r="H66" s="21"/>
      <c r="I66" s="21">
        <v>1348238</v>
      </c>
      <c r="J66" s="21">
        <v>1289138</v>
      </c>
      <c r="K66" s="21">
        <v>2008877</v>
      </c>
      <c r="L66" s="21">
        <v>1918664</v>
      </c>
      <c r="M66" s="21">
        <v>1793395</v>
      </c>
      <c r="N66" s="21">
        <v>2046934</v>
      </c>
      <c r="O66" s="21">
        <v>2537780</v>
      </c>
      <c r="P66" s="21">
        <v>3169804</v>
      </c>
      <c r="Q66" s="21">
        <v>1309835</v>
      </c>
      <c r="R66" s="21">
        <f>1472865</f>
        <v>1472865</v>
      </c>
      <c r="S66" s="21">
        <f>1510017</f>
        <v>1510017</v>
      </c>
      <c r="T66" s="21">
        <f>1690261</f>
        <v>1690261</v>
      </c>
      <c r="U66" s="21">
        <f>885084</f>
        <v>885084</v>
      </c>
      <c r="V66" s="21">
        <f>0+0+567190</f>
        <v>567190</v>
      </c>
      <c r="W66" s="21">
        <f>0+0</f>
        <v>0</v>
      </c>
      <c r="X66" s="21">
        <f>0+0</f>
        <v>0</v>
      </c>
      <c r="Y66" s="21">
        <f>0+0</f>
        <v>0</v>
      </c>
      <c r="Z66" s="21">
        <f>0+403342</f>
        <v>403342</v>
      </c>
      <c r="AA66" s="21">
        <f>0+395580</f>
        <v>395580</v>
      </c>
      <c r="AB66" s="21">
        <f>0+615067</f>
        <v>615067</v>
      </c>
      <c r="AC66" s="21">
        <f>0+606707</f>
        <v>606707</v>
      </c>
      <c r="AD66" s="21">
        <f>73845+540673</f>
        <v>614518</v>
      </c>
      <c r="AE66" s="21">
        <f>47069+738256</f>
        <v>785325</v>
      </c>
      <c r="AF66" s="21">
        <f>47932+607812</f>
        <v>655744</v>
      </c>
      <c r="AG66" s="21">
        <f>38401+541374</f>
        <v>579775</v>
      </c>
      <c r="AH66" s="21">
        <f>45152+515542</f>
        <v>560694</v>
      </c>
      <c r="AI66" s="21">
        <f>49242+609467</f>
        <v>658709</v>
      </c>
      <c r="AJ66" s="21">
        <f>68025+667945</f>
        <v>735970</v>
      </c>
      <c r="AK66" s="21">
        <f>54064+765394</f>
        <v>819458</v>
      </c>
      <c r="AL66" s="17"/>
    </row>
    <row r="67" spans="1:40" ht="13.5" customHeight="1" x14ac:dyDescent="0.2">
      <c r="A67" s="15"/>
      <c r="D67" s="1" t="s">
        <v>28</v>
      </c>
      <c r="E67" s="23"/>
      <c r="F67" s="31" t="s">
        <v>35</v>
      </c>
      <c r="G67" s="31" t="s">
        <v>35</v>
      </c>
      <c r="H67" s="31" t="s">
        <v>35</v>
      </c>
      <c r="I67" s="31" t="s">
        <v>35</v>
      </c>
      <c r="J67" s="31" t="s">
        <v>35</v>
      </c>
      <c r="K67" s="31" t="s">
        <v>35</v>
      </c>
      <c r="L67" s="31" t="s">
        <v>35</v>
      </c>
      <c r="M67" s="31" t="s">
        <v>35</v>
      </c>
      <c r="N67" s="31" t="s">
        <v>35</v>
      </c>
      <c r="O67" s="31" t="s">
        <v>35</v>
      </c>
      <c r="P67" s="31" t="s">
        <v>35</v>
      </c>
      <c r="Q67" s="24">
        <v>1967843</v>
      </c>
      <c r="R67" s="24">
        <f>1210871</f>
        <v>1210871</v>
      </c>
      <c r="S67" s="24">
        <f>2749579</f>
        <v>2749579</v>
      </c>
      <c r="T67" s="24">
        <f>1937262</f>
        <v>1937262</v>
      </c>
      <c r="U67" s="24">
        <f>660736</f>
        <v>660736</v>
      </c>
      <c r="V67" s="24">
        <f>371870</f>
        <v>371870</v>
      </c>
      <c r="W67" s="24">
        <f>376953+514255</f>
        <v>891208</v>
      </c>
      <c r="X67" s="24">
        <f>358476+659381</f>
        <v>1017857</v>
      </c>
      <c r="Y67" s="24">
        <f>377214+705327</f>
        <v>1082541</v>
      </c>
      <c r="Z67" s="24">
        <f>647692+665342</f>
        <v>1313034</v>
      </c>
      <c r="AA67" s="24">
        <f>810876+1679209</f>
        <v>2490085</v>
      </c>
      <c r="AB67" s="24">
        <f>565657+1859859</f>
        <v>2425516</v>
      </c>
      <c r="AC67" s="24">
        <f>564079+1056359</f>
        <v>1620438</v>
      </c>
      <c r="AD67" s="24">
        <f>450601+1094713</f>
        <v>1545314</v>
      </c>
      <c r="AE67" s="24">
        <f>401935+1339608</f>
        <v>1741543</v>
      </c>
      <c r="AF67" s="24">
        <f>417645+1094324</f>
        <v>1511969</v>
      </c>
      <c r="AG67" s="24">
        <f>725457+1053894</f>
        <v>1779351</v>
      </c>
      <c r="AH67" s="24">
        <f>800795+461831</f>
        <v>1262626</v>
      </c>
      <c r="AI67" s="24">
        <f>700971+1093380</f>
        <v>1794351</v>
      </c>
      <c r="AJ67" s="24">
        <f>1621770+2055940</f>
        <v>3677710</v>
      </c>
      <c r="AK67" s="24">
        <f>1997852+2469095</f>
        <v>4466947</v>
      </c>
      <c r="AL67" s="47"/>
    </row>
    <row r="68" spans="1:40" ht="13.5" customHeight="1" x14ac:dyDescent="0.2">
      <c r="A68" s="15"/>
      <c r="E68" s="21"/>
      <c r="F68" s="21">
        <f t="shared" ref="F68:L68" si="129">SUM(F66:F67)</f>
        <v>1358359</v>
      </c>
      <c r="G68" s="21">
        <f t="shared" si="129"/>
        <v>644744</v>
      </c>
      <c r="H68" s="21"/>
      <c r="I68" s="21">
        <f t="shared" si="129"/>
        <v>1348238</v>
      </c>
      <c r="J68" s="21">
        <f t="shared" si="129"/>
        <v>1289138</v>
      </c>
      <c r="K68" s="21">
        <f t="shared" si="129"/>
        <v>2008877</v>
      </c>
      <c r="L68" s="21">
        <f t="shared" si="129"/>
        <v>1918664</v>
      </c>
      <c r="M68" s="21">
        <f t="shared" ref="M68:O68" si="130">M66</f>
        <v>1793395</v>
      </c>
      <c r="N68" s="21">
        <f t="shared" si="130"/>
        <v>2046934</v>
      </c>
      <c r="O68" s="21">
        <f t="shared" si="130"/>
        <v>2537780</v>
      </c>
      <c r="P68" s="21">
        <f>P66</f>
        <v>3169804</v>
      </c>
      <c r="Q68" s="21">
        <f t="shared" ref="Q68:AA68" si="131">SUM(Q66:Q67)</f>
        <v>3277678</v>
      </c>
      <c r="R68" s="21">
        <f t="shared" si="131"/>
        <v>2683736</v>
      </c>
      <c r="S68" s="21">
        <f t="shared" si="131"/>
        <v>4259596</v>
      </c>
      <c r="T68" s="21">
        <f t="shared" si="131"/>
        <v>3627523</v>
      </c>
      <c r="U68" s="21">
        <f t="shared" si="131"/>
        <v>1545820</v>
      </c>
      <c r="V68" s="21">
        <f t="shared" si="131"/>
        <v>939060</v>
      </c>
      <c r="W68" s="21">
        <f t="shared" si="131"/>
        <v>891208</v>
      </c>
      <c r="X68" s="21">
        <f t="shared" si="131"/>
        <v>1017857</v>
      </c>
      <c r="Y68" s="21">
        <f t="shared" si="131"/>
        <v>1082541</v>
      </c>
      <c r="Z68" s="21">
        <f t="shared" si="131"/>
        <v>1716376</v>
      </c>
      <c r="AA68" s="21">
        <f t="shared" si="131"/>
        <v>2885665</v>
      </c>
      <c r="AB68" s="21">
        <f t="shared" ref="AB68:AC68" si="132">SUM(AB66:AB67)</f>
        <v>3040583</v>
      </c>
      <c r="AC68" s="21">
        <f t="shared" si="132"/>
        <v>2227145</v>
      </c>
      <c r="AD68" s="21">
        <f t="shared" ref="AD68:AE68" si="133">SUM(AD66:AD67)</f>
        <v>2159832</v>
      </c>
      <c r="AE68" s="21">
        <f t="shared" si="133"/>
        <v>2526868</v>
      </c>
      <c r="AF68" s="21">
        <f t="shared" ref="AF68:AG68" si="134">SUM(AF66:AF67)</f>
        <v>2167713</v>
      </c>
      <c r="AG68" s="21">
        <f t="shared" si="134"/>
        <v>2359126</v>
      </c>
      <c r="AH68" s="21">
        <f t="shared" ref="AH68:AI68" si="135">SUM(AH66:AH67)</f>
        <v>1823320</v>
      </c>
      <c r="AI68" s="21">
        <f t="shared" si="135"/>
        <v>2453060</v>
      </c>
      <c r="AJ68" s="21">
        <f t="shared" ref="AJ68:AK68" si="136">SUM(AJ66:AJ67)</f>
        <v>4413680</v>
      </c>
      <c r="AK68" s="21">
        <f t="shared" si="136"/>
        <v>5286405</v>
      </c>
      <c r="AL68" s="17"/>
    </row>
    <row r="69" spans="1:40" ht="13.5" customHeight="1" x14ac:dyDescent="0.2">
      <c r="A69" s="15"/>
      <c r="C69" s="2" t="s">
        <v>36</v>
      </c>
      <c r="D69" s="2"/>
      <c r="E69" s="21"/>
      <c r="AL69" s="17"/>
    </row>
    <row r="70" spans="1:40" ht="13.5" customHeight="1" x14ac:dyDescent="0.2">
      <c r="A70" s="15"/>
      <c r="D70" s="1" t="s">
        <v>27</v>
      </c>
      <c r="E70" s="21"/>
      <c r="F70" s="21">
        <f>F46+F53+F59+F66</f>
        <v>6229521</v>
      </c>
      <c r="G70" s="21">
        <f>G46+G53+G59+G66</f>
        <v>5984555</v>
      </c>
      <c r="H70" s="21"/>
      <c r="I70" s="21">
        <f t="shared" ref="I70:AA71" si="137">I46+I53+I59+I66</f>
        <v>9031209</v>
      </c>
      <c r="J70" s="21">
        <f t="shared" si="137"/>
        <v>8972732</v>
      </c>
      <c r="K70" s="21">
        <f t="shared" si="137"/>
        <v>11812005</v>
      </c>
      <c r="L70" s="21">
        <f t="shared" si="137"/>
        <v>12120311</v>
      </c>
      <c r="M70" s="21">
        <f t="shared" si="137"/>
        <v>14161533</v>
      </c>
      <c r="N70" s="21">
        <f t="shared" si="137"/>
        <v>15417851</v>
      </c>
      <c r="O70" s="21">
        <f t="shared" si="137"/>
        <v>16516241</v>
      </c>
      <c r="P70" s="21">
        <f t="shared" si="137"/>
        <v>18181240</v>
      </c>
      <c r="Q70" s="21">
        <f t="shared" si="137"/>
        <v>17091398</v>
      </c>
      <c r="R70" s="21">
        <f t="shared" si="137"/>
        <v>17861818</v>
      </c>
      <c r="S70" s="21">
        <f t="shared" si="137"/>
        <v>19027173</v>
      </c>
      <c r="T70" s="21">
        <f t="shared" si="137"/>
        <v>20306971</v>
      </c>
      <c r="U70" s="21">
        <f t="shared" si="137"/>
        <v>17823646</v>
      </c>
      <c r="V70" s="21">
        <f t="shared" si="137"/>
        <v>17161548</v>
      </c>
      <c r="W70" s="21">
        <f t="shared" si="137"/>
        <v>17547838</v>
      </c>
      <c r="X70" s="21">
        <f t="shared" si="137"/>
        <v>15928412</v>
      </c>
      <c r="Y70" s="21">
        <f t="shared" si="137"/>
        <v>15881137</v>
      </c>
      <c r="Z70" s="21">
        <f t="shared" si="137"/>
        <v>16662460</v>
      </c>
      <c r="AA70" s="21">
        <f t="shared" si="137"/>
        <v>16866286</v>
      </c>
      <c r="AB70" s="21">
        <f t="shared" ref="AB70:AC70" si="138">AB46+AB53+AB59+AB66</f>
        <v>16075900</v>
      </c>
      <c r="AC70" s="21">
        <f t="shared" si="138"/>
        <v>19226242</v>
      </c>
      <c r="AD70" s="21">
        <f t="shared" ref="AD70:AE70" si="139">AD46+AD53+AD59+AD66</f>
        <v>20800226</v>
      </c>
      <c r="AE70" s="21">
        <f t="shared" si="139"/>
        <v>21117485</v>
      </c>
      <c r="AF70" s="21">
        <f t="shared" ref="AF70:AG70" si="140">AF46+AF53+AF59+AF66</f>
        <v>21327683</v>
      </c>
      <c r="AG70" s="21">
        <f t="shared" si="140"/>
        <v>26498257</v>
      </c>
      <c r="AH70" s="21">
        <f t="shared" ref="AH70:AI70" si="141">AH46+AH53+AH59+AH66</f>
        <v>30301412</v>
      </c>
      <c r="AI70" s="21">
        <f t="shared" si="141"/>
        <v>35344638</v>
      </c>
      <c r="AJ70" s="21">
        <f t="shared" ref="AJ70:AK70" si="142">AJ46+AJ53+AJ59+AJ66</f>
        <v>36799958</v>
      </c>
      <c r="AK70" s="21">
        <f t="shared" si="142"/>
        <v>36574755</v>
      </c>
      <c r="AL70" s="17"/>
    </row>
    <row r="71" spans="1:40" ht="13.5" customHeight="1" x14ac:dyDescent="0.2">
      <c r="A71" s="15"/>
      <c r="D71" s="1" t="s">
        <v>28</v>
      </c>
      <c r="E71" s="23"/>
      <c r="F71" s="23">
        <f>F47+F54+F60</f>
        <v>13248097</v>
      </c>
      <c r="G71" s="23">
        <f>G47+G54+G60</f>
        <v>16063735</v>
      </c>
      <c r="H71" s="23"/>
      <c r="I71" s="23">
        <f t="shared" ref="I71:N71" si="143">I47+I54+I60</f>
        <v>21419458</v>
      </c>
      <c r="J71" s="23">
        <f t="shared" si="143"/>
        <v>26976159</v>
      </c>
      <c r="K71" s="23">
        <f t="shared" si="143"/>
        <v>29698986</v>
      </c>
      <c r="L71" s="23">
        <f t="shared" si="143"/>
        <v>30952348</v>
      </c>
      <c r="M71" s="23">
        <f t="shared" si="143"/>
        <v>32430049</v>
      </c>
      <c r="N71" s="23">
        <f t="shared" si="143"/>
        <v>33388464</v>
      </c>
      <c r="O71" s="23">
        <f>O47+O54+O60</f>
        <v>35988884</v>
      </c>
      <c r="P71" s="23">
        <f>P47+P54+P60</f>
        <v>41838284</v>
      </c>
      <c r="Q71" s="23">
        <f>Q47+Q54+Q60+Q67</f>
        <v>52465863</v>
      </c>
      <c r="R71" s="23">
        <f>R47+R54+R60+R67</f>
        <v>55668282</v>
      </c>
      <c r="S71" s="23">
        <f>S47+S54+S60+S67</f>
        <v>60825973</v>
      </c>
      <c r="T71" s="23">
        <f>T47+T54+T60+T67</f>
        <v>61968410</v>
      </c>
      <c r="U71" s="23">
        <f t="shared" si="137"/>
        <v>65639022</v>
      </c>
      <c r="V71" s="23">
        <f t="shared" si="137"/>
        <v>68053740</v>
      </c>
      <c r="W71" s="23">
        <f t="shared" si="137"/>
        <v>75138241</v>
      </c>
      <c r="X71" s="23">
        <f t="shared" si="137"/>
        <v>80724397</v>
      </c>
      <c r="Y71" s="23">
        <f t="shared" si="137"/>
        <v>82207904</v>
      </c>
      <c r="Z71" s="23">
        <f t="shared" si="137"/>
        <v>81470072</v>
      </c>
      <c r="AA71" s="23">
        <f t="shared" si="137"/>
        <v>81963513</v>
      </c>
      <c r="AB71" s="23">
        <f t="shared" ref="AB71:AC71" si="144">AB47+AB54+AB60+AB67</f>
        <v>78106085</v>
      </c>
      <c r="AC71" s="23">
        <f t="shared" si="144"/>
        <v>75123094</v>
      </c>
      <c r="AD71" s="23">
        <f t="shared" ref="AD71:AE71" si="145">AD47+AD54+AD60+AD67</f>
        <v>76546253</v>
      </c>
      <c r="AE71" s="23">
        <f t="shared" si="145"/>
        <v>78566919</v>
      </c>
      <c r="AF71" s="23">
        <f t="shared" ref="AF71:AG71" si="146">AF47+AF54+AF60+AF67</f>
        <v>79845847</v>
      </c>
      <c r="AG71" s="23">
        <f t="shared" si="146"/>
        <v>80663647</v>
      </c>
      <c r="AH71" s="23">
        <f t="shared" ref="AH71:AI71" si="147">AH47+AH54+AH60+AH67</f>
        <v>80452972</v>
      </c>
      <c r="AI71" s="23">
        <f t="shared" si="147"/>
        <v>81667979</v>
      </c>
      <c r="AJ71" s="23">
        <f t="shared" ref="AJ71" si="148">AJ47+AJ54+AJ60+AJ67</f>
        <v>85074764</v>
      </c>
      <c r="AK71" s="23">
        <f>AK47+AK54+AK60+AK67</f>
        <v>88857539</v>
      </c>
      <c r="AL71" s="47"/>
    </row>
    <row r="72" spans="1:40" ht="13.5" customHeight="1" x14ac:dyDescent="0.2">
      <c r="A72" s="15"/>
      <c r="D72" s="1" t="s">
        <v>29</v>
      </c>
      <c r="E72" s="23"/>
      <c r="F72" s="24">
        <f>F48+F61</f>
        <v>1925364</v>
      </c>
      <c r="G72" s="24">
        <f>G48+G61</f>
        <v>2041652</v>
      </c>
      <c r="H72" s="24"/>
      <c r="I72" s="24">
        <f t="shared" ref="I72:AA72" si="149">I48+I61</f>
        <v>1949586</v>
      </c>
      <c r="J72" s="24">
        <f t="shared" si="149"/>
        <v>1795137</v>
      </c>
      <c r="K72" s="24">
        <f t="shared" si="149"/>
        <v>3451534</v>
      </c>
      <c r="L72" s="24">
        <f t="shared" si="149"/>
        <v>2400535</v>
      </c>
      <c r="M72" s="24">
        <f t="shared" si="149"/>
        <v>2279589</v>
      </c>
      <c r="N72" s="24">
        <f t="shared" si="149"/>
        <v>1921068</v>
      </c>
      <c r="O72" s="24">
        <f t="shared" si="149"/>
        <v>1955881</v>
      </c>
      <c r="P72" s="24">
        <f t="shared" si="149"/>
        <v>1209067</v>
      </c>
      <c r="Q72" s="24">
        <f t="shared" si="149"/>
        <v>1188202</v>
      </c>
      <c r="R72" s="24">
        <f t="shared" si="149"/>
        <v>1432028</v>
      </c>
      <c r="S72" s="24">
        <f t="shared" si="149"/>
        <v>1648903</v>
      </c>
      <c r="T72" s="24">
        <f t="shared" si="149"/>
        <v>2291548</v>
      </c>
      <c r="U72" s="24">
        <f t="shared" si="149"/>
        <v>5573956</v>
      </c>
      <c r="V72" s="24">
        <f t="shared" si="149"/>
        <v>6239099</v>
      </c>
      <c r="W72" s="24">
        <f t="shared" si="149"/>
        <v>4381003</v>
      </c>
      <c r="X72" s="24">
        <f t="shared" si="149"/>
        <v>4601141</v>
      </c>
      <c r="Y72" s="24">
        <f t="shared" si="149"/>
        <v>4681267</v>
      </c>
      <c r="Z72" s="24">
        <f t="shared" si="149"/>
        <v>4660834</v>
      </c>
      <c r="AA72" s="24">
        <f t="shared" si="149"/>
        <v>4746351</v>
      </c>
      <c r="AB72" s="24">
        <f t="shared" ref="AB72" si="150">AB48+AB61</f>
        <v>4828517</v>
      </c>
      <c r="AC72" s="24">
        <f>AC48+AC61</f>
        <v>5014837</v>
      </c>
      <c r="AD72" s="24">
        <f t="shared" ref="AD72:AE72" si="151">AD48+AD61</f>
        <v>7700975</v>
      </c>
      <c r="AE72" s="24">
        <f t="shared" si="151"/>
        <v>4958941</v>
      </c>
      <c r="AF72" s="24">
        <f t="shared" ref="AF72:AG72" si="152">AF48+AF61</f>
        <v>7301432</v>
      </c>
      <c r="AG72" s="24">
        <f t="shared" si="152"/>
        <v>7107492</v>
      </c>
      <c r="AH72" s="24">
        <f t="shared" ref="AH72:AI72" si="153">AH48+AH61</f>
        <v>6340452</v>
      </c>
      <c r="AI72" s="24">
        <f t="shared" si="153"/>
        <v>7474200</v>
      </c>
      <c r="AJ72" s="24">
        <f t="shared" ref="AJ72" si="154">AJ48+AJ61</f>
        <v>8265113</v>
      </c>
      <c r="AK72" s="24">
        <f>AK48+AK61</f>
        <v>9851564</v>
      </c>
      <c r="AL72" s="47"/>
    </row>
    <row r="73" spans="1:40" ht="13.5" customHeight="1" x14ac:dyDescent="0.2">
      <c r="A73" s="15"/>
      <c r="E73" s="21"/>
      <c r="F73" s="21">
        <f t="shared" ref="F73:L73" si="155">SUM(F70:F72)</f>
        <v>21402982</v>
      </c>
      <c r="G73" s="21">
        <f t="shared" si="155"/>
        <v>24089942</v>
      </c>
      <c r="H73" s="21">
        <v>29481628</v>
      </c>
      <c r="I73" s="21">
        <f t="shared" si="155"/>
        <v>32400253</v>
      </c>
      <c r="J73" s="21">
        <f t="shared" si="155"/>
        <v>37744028</v>
      </c>
      <c r="K73" s="21">
        <f t="shared" si="155"/>
        <v>44962525</v>
      </c>
      <c r="L73" s="21">
        <f t="shared" si="155"/>
        <v>45473194</v>
      </c>
      <c r="M73" s="21">
        <f t="shared" ref="M73:AA73" si="156">SUM(M70:M72)</f>
        <v>48871171</v>
      </c>
      <c r="N73" s="21">
        <f t="shared" si="156"/>
        <v>50727383</v>
      </c>
      <c r="O73" s="21">
        <f t="shared" si="156"/>
        <v>54461006</v>
      </c>
      <c r="P73" s="21">
        <f t="shared" si="156"/>
        <v>61228591</v>
      </c>
      <c r="Q73" s="21">
        <f t="shared" si="156"/>
        <v>70745463</v>
      </c>
      <c r="R73" s="21">
        <f t="shared" si="156"/>
        <v>74962128</v>
      </c>
      <c r="S73" s="21">
        <f t="shared" si="156"/>
        <v>81502049</v>
      </c>
      <c r="T73" s="21">
        <f t="shared" si="156"/>
        <v>84566929</v>
      </c>
      <c r="U73" s="21">
        <f t="shared" si="156"/>
        <v>89036624</v>
      </c>
      <c r="V73" s="21">
        <f t="shared" si="156"/>
        <v>91454387</v>
      </c>
      <c r="W73" s="21">
        <f t="shared" si="156"/>
        <v>97067082</v>
      </c>
      <c r="X73" s="21">
        <f t="shared" si="156"/>
        <v>101253950</v>
      </c>
      <c r="Y73" s="21">
        <f t="shared" si="156"/>
        <v>102770308</v>
      </c>
      <c r="Z73" s="21">
        <f t="shared" si="156"/>
        <v>102793366</v>
      </c>
      <c r="AA73" s="21">
        <f t="shared" si="156"/>
        <v>103576150</v>
      </c>
      <c r="AB73" s="21">
        <f t="shared" ref="AB73:AC73" si="157">SUM(AB70:AB72)</f>
        <v>99010502</v>
      </c>
      <c r="AC73" s="21">
        <f t="shared" si="157"/>
        <v>99364173</v>
      </c>
      <c r="AD73" s="21">
        <f t="shared" ref="AD73:AE73" si="158">SUM(AD70:AD72)</f>
        <v>105047454</v>
      </c>
      <c r="AE73" s="21">
        <f t="shared" si="158"/>
        <v>104643345</v>
      </c>
      <c r="AF73" s="21">
        <f t="shared" ref="AF73:AG73" si="159">SUM(AF70:AF72)</f>
        <v>108474962</v>
      </c>
      <c r="AG73" s="21">
        <f t="shared" si="159"/>
        <v>114269396</v>
      </c>
      <c r="AH73" s="21">
        <f t="shared" ref="AH73:AI73" si="160">SUM(AH70:AH72)</f>
        <v>117094836</v>
      </c>
      <c r="AI73" s="21">
        <f t="shared" si="160"/>
        <v>124486817</v>
      </c>
      <c r="AJ73" s="21">
        <f t="shared" ref="AJ73:AK73" si="161">SUM(AJ70:AJ72)</f>
        <v>130139835</v>
      </c>
      <c r="AK73" s="21">
        <f t="shared" si="161"/>
        <v>135283858</v>
      </c>
      <c r="AL73" s="17"/>
    </row>
    <row r="74" spans="1:40" ht="13.5" customHeight="1" x14ac:dyDescent="0.2">
      <c r="A74" s="3"/>
      <c r="C74" s="2" t="s">
        <v>37</v>
      </c>
      <c r="D74" s="2"/>
      <c r="L74" s="21"/>
      <c r="AL74" s="5"/>
    </row>
    <row r="75" spans="1:40" ht="13.5" customHeight="1" x14ac:dyDescent="0.2">
      <c r="A75" s="3"/>
      <c r="D75" s="1" t="s">
        <v>38</v>
      </c>
      <c r="F75" s="32">
        <v>1256</v>
      </c>
      <c r="G75" s="32">
        <v>1326</v>
      </c>
      <c r="H75" s="32"/>
      <c r="I75" s="32">
        <v>1537</v>
      </c>
      <c r="J75" s="32">
        <v>1726</v>
      </c>
      <c r="K75" s="32">
        <v>1814</v>
      </c>
      <c r="L75" s="32">
        <v>1870</v>
      </c>
      <c r="M75" s="32">
        <v>2058</v>
      </c>
      <c r="N75" s="32">
        <v>2046</v>
      </c>
      <c r="O75" s="32">
        <v>2074</v>
      </c>
      <c r="P75" s="32">
        <v>2201</v>
      </c>
      <c r="Q75" s="32">
        <v>2442</v>
      </c>
      <c r="R75" s="32">
        <v>2513</v>
      </c>
      <c r="S75" s="32">
        <v>2617</v>
      </c>
      <c r="T75" s="32">
        <v>2653</v>
      </c>
      <c r="U75" s="32">
        <v>2652</v>
      </c>
      <c r="V75" s="32">
        <v>2658</v>
      </c>
      <c r="W75" s="32">
        <v>2838</v>
      </c>
      <c r="X75" s="32">
        <v>2929</v>
      </c>
      <c r="Y75" s="32">
        <v>2912</v>
      </c>
      <c r="Z75" s="32">
        <v>373</v>
      </c>
      <c r="AA75" s="32">
        <v>481</v>
      </c>
      <c r="AB75" s="32">
        <v>497</v>
      </c>
      <c r="AC75" s="32">
        <v>346</v>
      </c>
      <c r="AD75" s="32">
        <v>311</v>
      </c>
      <c r="AE75" s="32">
        <v>356</v>
      </c>
      <c r="AF75" s="32">
        <v>361</v>
      </c>
      <c r="AG75" s="32">
        <v>408</v>
      </c>
      <c r="AH75" s="32">
        <v>367</v>
      </c>
      <c r="AI75" s="32">
        <v>394</v>
      </c>
      <c r="AJ75" s="32">
        <v>364</v>
      </c>
      <c r="AK75" s="32">
        <v>442</v>
      </c>
      <c r="AL75" s="5"/>
      <c r="AN75" s="32"/>
    </row>
    <row r="76" spans="1:40" ht="13.5" customHeight="1" x14ac:dyDescent="0.2">
      <c r="A76" s="15"/>
      <c r="D76" s="1" t="s">
        <v>39</v>
      </c>
      <c r="F76" s="33">
        <v>1478</v>
      </c>
      <c r="G76" s="33">
        <v>1613</v>
      </c>
      <c r="H76" s="33"/>
      <c r="I76" s="33">
        <v>3228</v>
      </c>
      <c r="J76" s="33">
        <v>2971</v>
      </c>
      <c r="K76" s="33">
        <v>2630</v>
      </c>
      <c r="L76" s="33">
        <v>2927</v>
      </c>
      <c r="M76" s="33">
        <v>2293</v>
      </c>
      <c r="N76" s="33">
        <v>2706</v>
      </c>
      <c r="O76" s="33">
        <v>2539</v>
      </c>
      <c r="P76" s="33">
        <v>3043</v>
      </c>
      <c r="Q76" s="33">
        <v>2301</v>
      </c>
      <c r="R76" s="33">
        <v>1910</v>
      </c>
      <c r="S76" s="33">
        <v>1881</v>
      </c>
      <c r="T76" s="33">
        <v>1914</v>
      </c>
      <c r="U76" s="33">
        <v>1267</v>
      </c>
      <c r="V76" s="33">
        <v>1691</v>
      </c>
      <c r="W76" s="33">
        <v>1586</v>
      </c>
      <c r="X76" s="33">
        <v>1291</v>
      </c>
      <c r="Y76" s="33">
        <v>1146</v>
      </c>
      <c r="Z76" s="33">
        <v>3590</v>
      </c>
      <c r="AA76" s="33">
        <v>3569</v>
      </c>
      <c r="AB76" s="33">
        <v>3371</v>
      </c>
      <c r="AC76" s="33">
        <v>3394</v>
      </c>
      <c r="AD76" s="33">
        <v>3479</v>
      </c>
      <c r="AE76" s="33">
        <v>3412</v>
      </c>
      <c r="AF76" s="33">
        <v>3615</v>
      </c>
      <c r="AG76" s="33">
        <v>4026</v>
      </c>
      <c r="AH76" s="33">
        <v>4492</v>
      </c>
      <c r="AI76" s="33">
        <v>4926</v>
      </c>
      <c r="AJ76" s="33">
        <v>4998</v>
      </c>
      <c r="AK76" s="33">
        <v>4492</v>
      </c>
      <c r="AL76" s="5"/>
    </row>
    <row r="77" spans="1:40" ht="13.5" customHeight="1" x14ac:dyDescent="0.2">
      <c r="A77" s="15"/>
      <c r="F77" s="32">
        <f t="shared" ref="F77:AA77" si="162">SUM(F75:F76)</f>
        <v>2734</v>
      </c>
      <c r="G77" s="32">
        <f t="shared" si="162"/>
        <v>2939</v>
      </c>
      <c r="H77" s="32"/>
      <c r="I77" s="32">
        <f t="shared" si="162"/>
        <v>4765</v>
      </c>
      <c r="J77" s="32">
        <f t="shared" si="162"/>
        <v>4697</v>
      </c>
      <c r="K77" s="32">
        <f t="shared" si="162"/>
        <v>4444</v>
      </c>
      <c r="L77" s="32">
        <f t="shared" si="162"/>
        <v>4797</v>
      </c>
      <c r="M77" s="32">
        <f t="shared" si="162"/>
        <v>4351</v>
      </c>
      <c r="N77" s="32">
        <f t="shared" si="162"/>
        <v>4752</v>
      </c>
      <c r="O77" s="32">
        <f t="shared" si="162"/>
        <v>4613</v>
      </c>
      <c r="P77" s="32">
        <f t="shared" si="162"/>
        <v>5244</v>
      </c>
      <c r="Q77" s="32">
        <f t="shared" si="162"/>
        <v>4743</v>
      </c>
      <c r="R77" s="32">
        <f t="shared" si="162"/>
        <v>4423</v>
      </c>
      <c r="S77" s="32">
        <f t="shared" si="162"/>
        <v>4498</v>
      </c>
      <c r="T77" s="32">
        <f t="shared" si="162"/>
        <v>4567</v>
      </c>
      <c r="U77" s="32">
        <f t="shared" si="162"/>
        <v>3919</v>
      </c>
      <c r="V77" s="32">
        <f t="shared" si="162"/>
        <v>4349</v>
      </c>
      <c r="W77" s="32">
        <f t="shared" si="162"/>
        <v>4424</v>
      </c>
      <c r="X77" s="32">
        <f t="shared" si="162"/>
        <v>4220</v>
      </c>
      <c r="Y77" s="32">
        <f t="shared" si="162"/>
        <v>4058</v>
      </c>
      <c r="Z77" s="32">
        <f t="shared" si="162"/>
        <v>3963</v>
      </c>
      <c r="AA77" s="32">
        <f t="shared" si="162"/>
        <v>4050</v>
      </c>
      <c r="AB77" s="32">
        <f t="shared" ref="AB77:AC77" si="163">SUM(AB75:AB76)</f>
        <v>3868</v>
      </c>
      <c r="AC77" s="32">
        <f t="shared" si="163"/>
        <v>3740</v>
      </c>
      <c r="AD77" s="32">
        <f t="shared" ref="AD77:AE77" si="164">SUM(AD75:AD76)</f>
        <v>3790</v>
      </c>
      <c r="AE77" s="32">
        <f t="shared" si="164"/>
        <v>3768</v>
      </c>
      <c r="AF77" s="32">
        <f t="shared" ref="AF77:AG77" si="165">SUM(AF75:AF76)</f>
        <v>3976</v>
      </c>
      <c r="AG77" s="32">
        <f t="shared" si="165"/>
        <v>4434</v>
      </c>
      <c r="AH77" s="32">
        <f t="shared" ref="AH77:AI77" si="166">SUM(AH75:AH76)</f>
        <v>4859</v>
      </c>
      <c r="AI77" s="32">
        <f t="shared" si="166"/>
        <v>5320</v>
      </c>
      <c r="AJ77" s="32">
        <f t="shared" ref="AJ77:AK77" si="167">SUM(AJ75:AJ76)</f>
        <v>5362</v>
      </c>
      <c r="AK77" s="32">
        <f t="shared" si="167"/>
        <v>4934</v>
      </c>
      <c r="AL77" s="5"/>
    </row>
    <row r="78" spans="1:40" ht="13.5" customHeight="1" x14ac:dyDescent="0.2">
      <c r="A78" s="15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47"/>
    </row>
    <row r="79" spans="1:40" ht="13.5" customHeight="1" x14ac:dyDescent="0.2">
      <c r="A79" s="15"/>
      <c r="AL79" s="17"/>
    </row>
    <row r="80" spans="1:40" ht="13.5" customHeight="1" x14ac:dyDescent="0.2">
      <c r="A80" s="15"/>
      <c r="F80" s="36" t="s">
        <v>3</v>
      </c>
      <c r="G80" s="36" t="s">
        <v>4</v>
      </c>
      <c r="H80" s="36" t="s">
        <v>5</v>
      </c>
      <c r="I80" s="36" t="s">
        <v>6</v>
      </c>
      <c r="J80" s="36" t="s">
        <v>7</v>
      </c>
      <c r="K80" s="36" t="s">
        <v>8</v>
      </c>
      <c r="L80" s="36" t="s">
        <v>9</v>
      </c>
      <c r="M80" s="36" t="s">
        <v>10</v>
      </c>
      <c r="N80" s="36" t="s">
        <v>11</v>
      </c>
      <c r="O80" s="36" t="s">
        <v>12</v>
      </c>
      <c r="P80" s="36" t="s">
        <v>13</v>
      </c>
      <c r="Q80" s="36" t="s">
        <v>14</v>
      </c>
      <c r="R80" s="36" t="s">
        <v>15</v>
      </c>
      <c r="S80" s="36" t="s">
        <v>16</v>
      </c>
      <c r="T80" s="36" t="s">
        <v>17</v>
      </c>
      <c r="U80" s="36" t="s">
        <v>18</v>
      </c>
      <c r="V80" s="36" t="s">
        <v>19</v>
      </c>
      <c r="W80" s="36" t="s">
        <v>20</v>
      </c>
      <c r="X80" s="36" t="s">
        <v>21</v>
      </c>
      <c r="Y80" s="36" t="s">
        <v>22</v>
      </c>
      <c r="Z80" s="36" t="s">
        <v>23</v>
      </c>
      <c r="AA80" s="36" t="s">
        <v>24</v>
      </c>
      <c r="AB80" s="36" t="s">
        <v>51</v>
      </c>
      <c r="AC80" s="36" t="s">
        <v>52</v>
      </c>
      <c r="AD80" s="36" t="s">
        <v>53</v>
      </c>
      <c r="AE80" s="36" t="s">
        <v>54</v>
      </c>
      <c r="AF80" s="36" t="s">
        <v>55</v>
      </c>
      <c r="AG80" s="36" t="s">
        <v>56</v>
      </c>
      <c r="AH80" s="36" t="s">
        <v>57</v>
      </c>
      <c r="AI80" s="36" t="s">
        <v>58</v>
      </c>
      <c r="AJ80" s="36" t="s">
        <v>59</v>
      </c>
      <c r="AK80" s="36" t="s">
        <v>60</v>
      </c>
      <c r="AL80" s="17"/>
    </row>
    <row r="81" spans="1:38" ht="13.5" customHeight="1" x14ac:dyDescent="0.2">
      <c r="A81" s="15"/>
      <c r="AL81" s="17"/>
    </row>
    <row r="82" spans="1:38" ht="13.5" customHeight="1" x14ac:dyDescent="0.2">
      <c r="A82" s="15"/>
      <c r="B82" s="42" t="s">
        <v>41</v>
      </c>
      <c r="C82" s="43"/>
      <c r="D82" s="43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17"/>
    </row>
    <row r="83" spans="1:38" ht="13.5" customHeight="1" x14ac:dyDescent="0.2">
      <c r="A83" s="15"/>
      <c r="C83" s="2" t="s">
        <v>26</v>
      </c>
      <c r="D83" s="2"/>
      <c r="AL83" s="17"/>
    </row>
    <row r="84" spans="1:38" ht="13.5" customHeight="1" x14ac:dyDescent="0.2">
      <c r="A84" s="15"/>
      <c r="D84" s="1" t="s">
        <v>27</v>
      </c>
      <c r="E84" s="21"/>
      <c r="F84" s="21">
        <f t="shared" ref="F84:G86" si="168">F11+F46</f>
        <v>2941595</v>
      </c>
      <c r="G84" s="21">
        <f t="shared" si="168"/>
        <v>2174842</v>
      </c>
      <c r="H84" s="21"/>
      <c r="I84" s="21">
        <f t="shared" ref="I84:AA86" si="169">I11+I46</f>
        <v>2830460</v>
      </c>
      <c r="J84" s="21">
        <f t="shared" si="169"/>
        <v>3208186</v>
      </c>
      <c r="K84" s="21">
        <f t="shared" si="169"/>
        <v>3895178</v>
      </c>
      <c r="L84" s="21">
        <f t="shared" si="169"/>
        <v>4398230</v>
      </c>
      <c r="M84" s="21">
        <f t="shared" si="169"/>
        <v>4845647</v>
      </c>
      <c r="N84" s="21">
        <f t="shared" si="169"/>
        <v>4551774</v>
      </c>
      <c r="O84" s="21">
        <f t="shared" si="169"/>
        <v>5993392</v>
      </c>
      <c r="P84" s="21">
        <f t="shared" si="169"/>
        <v>6315506</v>
      </c>
      <c r="Q84" s="21">
        <f t="shared" si="169"/>
        <v>6781851</v>
      </c>
      <c r="R84" s="21">
        <f t="shared" si="169"/>
        <v>8693190</v>
      </c>
      <c r="S84" s="21">
        <f t="shared" si="169"/>
        <v>9059112</v>
      </c>
      <c r="T84" s="21">
        <f t="shared" si="169"/>
        <v>9480283</v>
      </c>
      <c r="U84" s="21">
        <f t="shared" si="169"/>
        <v>9101135</v>
      </c>
      <c r="V84" s="21">
        <f t="shared" si="169"/>
        <v>8592285</v>
      </c>
      <c r="W84" s="21">
        <f t="shared" si="169"/>
        <v>14633611</v>
      </c>
      <c r="X84" s="21">
        <f t="shared" si="169"/>
        <v>16426545</v>
      </c>
      <c r="Y84" s="21">
        <f t="shared" si="169"/>
        <v>15898509</v>
      </c>
      <c r="Z84" s="21">
        <f t="shared" si="169"/>
        <v>17051425</v>
      </c>
      <c r="AA84" s="21">
        <f t="shared" si="169"/>
        <v>16732984</v>
      </c>
      <c r="AB84" s="21">
        <f t="shared" ref="AB84:AC84" si="170">AB11+AB46</f>
        <v>17670992</v>
      </c>
      <c r="AC84" s="21">
        <f t="shared" si="170"/>
        <v>17179877</v>
      </c>
      <c r="AD84" s="21">
        <f t="shared" ref="AD84:AE84" si="171">AD11+AD46</f>
        <v>14600746</v>
      </c>
      <c r="AE84" s="21">
        <f t="shared" si="171"/>
        <v>17342884</v>
      </c>
      <c r="AF84" s="21">
        <f t="shared" ref="AF84:AG84" si="172">AF11+AF46</f>
        <v>16997225</v>
      </c>
      <c r="AG84" s="21">
        <f t="shared" si="172"/>
        <v>16991312</v>
      </c>
      <c r="AH84" s="21">
        <f t="shared" ref="AH84:AI84" si="173">AH11+AH46</f>
        <v>20233088</v>
      </c>
      <c r="AI84" s="21">
        <f t="shared" si="173"/>
        <v>15913222</v>
      </c>
      <c r="AJ84" s="21">
        <f t="shared" ref="AJ84:AK84" si="174">AJ11+AJ46</f>
        <v>18174901</v>
      </c>
      <c r="AK84" s="21">
        <f t="shared" si="174"/>
        <v>20701520</v>
      </c>
      <c r="AL84" s="17"/>
    </row>
    <row r="85" spans="1:38" ht="13.5" customHeight="1" x14ac:dyDescent="0.2">
      <c r="A85" s="15"/>
      <c r="D85" s="1" t="s">
        <v>28</v>
      </c>
      <c r="E85" s="23"/>
      <c r="F85" s="23">
        <f t="shared" si="168"/>
        <v>19978230</v>
      </c>
      <c r="G85" s="23">
        <f t="shared" si="168"/>
        <v>25304504</v>
      </c>
      <c r="H85" s="23"/>
      <c r="I85" s="23">
        <f t="shared" si="169"/>
        <v>37181923</v>
      </c>
      <c r="J85" s="23">
        <f t="shared" si="169"/>
        <v>45590531</v>
      </c>
      <c r="K85" s="23">
        <f t="shared" si="169"/>
        <v>49289154</v>
      </c>
      <c r="L85" s="23">
        <f t="shared" si="169"/>
        <v>49295547</v>
      </c>
      <c r="M85" s="23">
        <f t="shared" si="169"/>
        <v>51608547</v>
      </c>
      <c r="N85" s="23">
        <f t="shared" si="169"/>
        <v>51416043</v>
      </c>
      <c r="O85" s="23">
        <f t="shared" si="169"/>
        <v>54746457</v>
      </c>
      <c r="P85" s="23">
        <f t="shared" si="169"/>
        <v>65856682</v>
      </c>
      <c r="Q85" s="23">
        <f t="shared" si="169"/>
        <v>78586670</v>
      </c>
      <c r="R85" s="23">
        <f t="shared" si="169"/>
        <v>85936666</v>
      </c>
      <c r="S85" s="23">
        <f t="shared" si="169"/>
        <v>90007423</v>
      </c>
      <c r="T85" s="23">
        <f t="shared" si="169"/>
        <v>91356285</v>
      </c>
      <c r="U85" s="23">
        <f t="shared" si="169"/>
        <v>97152393</v>
      </c>
      <c r="V85" s="23">
        <f t="shared" si="169"/>
        <v>107598825</v>
      </c>
      <c r="W85" s="23">
        <f t="shared" si="169"/>
        <v>123728301</v>
      </c>
      <c r="X85" s="23">
        <f t="shared" si="169"/>
        <v>132595851</v>
      </c>
      <c r="Y85" s="23">
        <f t="shared" si="169"/>
        <v>135413266</v>
      </c>
      <c r="Z85" s="23">
        <f t="shared" si="169"/>
        <v>131387385</v>
      </c>
      <c r="AA85" s="23">
        <f t="shared" si="169"/>
        <v>129566642</v>
      </c>
      <c r="AB85" s="23">
        <f t="shared" ref="AB85:AC85" si="175">AB12+AB47</f>
        <v>120021592</v>
      </c>
      <c r="AC85" s="23">
        <f t="shared" si="175"/>
        <v>116455375</v>
      </c>
      <c r="AD85" s="23">
        <f t="shared" ref="AD85:AE85" si="176">AD12+AD47</f>
        <v>116103588</v>
      </c>
      <c r="AE85" s="23">
        <f t="shared" si="176"/>
        <v>115131136</v>
      </c>
      <c r="AF85" s="23">
        <f t="shared" ref="AF85:AG85" si="177">AF12+AF47</f>
        <v>112563529</v>
      </c>
      <c r="AG85" s="23">
        <f t="shared" si="177"/>
        <v>110496130</v>
      </c>
      <c r="AH85" s="23">
        <f t="shared" ref="AH85:AI85" si="178">AH12+AH47</f>
        <v>106225151</v>
      </c>
      <c r="AI85" s="23">
        <f t="shared" si="178"/>
        <v>105253754</v>
      </c>
      <c r="AJ85" s="23">
        <f t="shared" ref="AJ85:AK85" si="179">AJ12+AJ47</f>
        <v>104885289</v>
      </c>
      <c r="AK85" s="23">
        <f t="shared" si="179"/>
        <v>105882643</v>
      </c>
      <c r="AL85" s="17"/>
    </row>
    <row r="86" spans="1:38" ht="13.5" customHeight="1" x14ac:dyDescent="0.2">
      <c r="A86" s="15"/>
      <c r="D86" s="1" t="s">
        <v>29</v>
      </c>
      <c r="E86" s="23"/>
      <c r="F86" s="24">
        <f t="shared" si="168"/>
        <v>591375</v>
      </c>
      <c r="G86" s="24">
        <f t="shared" si="168"/>
        <v>532924</v>
      </c>
      <c r="H86" s="24"/>
      <c r="I86" s="24">
        <f t="shared" si="169"/>
        <v>545808</v>
      </c>
      <c r="J86" s="24">
        <f t="shared" si="169"/>
        <v>679723</v>
      </c>
      <c r="K86" s="24">
        <f t="shared" si="169"/>
        <v>962845</v>
      </c>
      <c r="L86" s="24">
        <f t="shared" si="169"/>
        <v>478400</v>
      </c>
      <c r="M86" s="24">
        <f t="shared" si="169"/>
        <v>646014</v>
      </c>
      <c r="N86" s="24">
        <f t="shared" si="169"/>
        <v>811784</v>
      </c>
      <c r="O86" s="24">
        <f t="shared" si="169"/>
        <v>1036204</v>
      </c>
      <c r="P86" s="24">
        <f t="shared" si="169"/>
        <v>1292072</v>
      </c>
      <c r="Q86" s="24">
        <f t="shared" si="169"/>
        <v>1107814</v>
      </c>
      <c r="R86" s="24">
        <f t="shared" si="169"/>
        <v>1291886</v>
      </c>
      <c r="S86" s="24">
        <f t="shared" si="169"/>
        <v>1449637</v>
      </c>
      <c r="T86" s="24">
        <f t="shared" si="169"/>
        <v>1482408</v>
      </c>
      <c r="U86" s="24">
        <f t="shared" si="169"/>
        <v>1424658</v>
      </c>
      <c r="V86" s="24">
        <f t="shared" si="169"/>
        <v>1509388</v>
      </c>
      <c r="W86" s="24">
        <f t="shared" si="169"/>
        <v>1708833</v>
      </c>
      <c r="X86" s="24">
        <f t="shared" si="169"/>
        <v>1068784</v>
      </c>
      <c r="Y86" s="24">
        <f t="shared" si="169"/>
        <v>1283528</v>
      </c>
      <c r="Z86" s="24">
        <f t="shared" si="169"/>
        <v>1168568</v>
      </c>
      <c r="AA86" s="24">
        <f t="shared" si="169"/>
        <v>1084692</v>
      </c>
      <c r="AB86" s="24">
        <f t="shared" ref="AB86:AC86" si="180">AB13+AB48</f>
        <v>1026241</v>
      </c>
      <c r="AC86" s="24">
        <f t="shared" si="180"/>
        <v>1090519</v>
      </c>
      <c r="AD86" s="24">
        <f t="shared" ref="AD86:AE86" si="181">AD13+AD48</f>
        <v>1112411</v>
      </c>
      <c r="AE86" s="24">
        <f t="shared" si="181"/>
        <v>1186195</v>
      </c>
      <c r="AF86" s="24">
        <f t="shared" ref="AF86:AG86" si="182">AF13+AF48</f>
        <v>1156394</v>
      </c>
      <c r="AG86" s="24">
        <f t="shared" si="182"/>
        <v>1065112</v>
      </c>
      <c r="AH86" s="24">
        <f t="shared" ref="AH86:AI86" si="183">AH13+AH48</f>
        <v>791090</v>
      </c>
      <c r="AI86" s="24">
        <f t="shared" si="183"/>
        <v>811719</v>
      </c>
      <c r="AJ86" s="24">
        <f t="shared" ref="AJ86:AK86" si="184">AJ13+AJ48</f>
        <v>796069</v>
      </c>
      <c r="AK86" s="24">
        <f t="shared" si="184"/>
        <v>1013316</v>
      </c>
      <c r="AL86" s="17"/>
    </row>
    <row r="87" spans="1:38" ht="13.5" customHeight="1" x14ac:dyDescent="0.2">
      <c r="A87" s="15"/>
      <c r="F87" s="21">
        <f>SUM(F84:F86)</f>
        <v>23511200</v>
      </c>
      <c r="G87" s="21">
        <f>SUM(G84:G86)</f>
        <v>28012270</v>
      </c>
      <c r="H87" s="21"/>
      <c r="I87" s="21">
        <f t="shared" ref="I87:AA87" si="185">SUM(I84:I86)</f>
        <v>40558191</v>
      </c>
      <c r="J87" s="21">
        <f t="shared" si="185"/>
        <v>49478440</v>
      </c>
      <c r="K87" s="21">
        <f t="shared" si="185"/>
        <v>54147177</v>
      </c>
      <c r="L87" s="21">
        <f t="shared" si="185"/>
        <v>54172177</v>
      </c>
      <c r="M87" s="21">
        <f t="shared" si="185"/>
        <v>57100208</v>
      </c>
      <c r="N87" s="21">
        <f t="shared" si="185"/>
        <v>56779601</v>
      </c>
      <c r="O87" s="21">
        <f t="shared" si="185"/>
        <v>61776053</v>
      </c>
      <c r="P87" s="21">
        <f t="shared" si="185"/>
        <v>73464260</v>
      </c>
      <c r="Q87" s="21">
        <f t="shared" si="185"/>
        <v>86476335</v>
      </c>
      <c r="R87" s="21">
        <f t="shared" si="185"/>
        <v>95921742</v>
      </c>
      <c r="S87" s="21">
        <f t="shared" si="185"/>
        <v>100516172</v>
      </c>
      <c r="T87" s="21">
        <f t="shared" si="185"/>
        <v>102318976</v>
      </c>
      <c r="U87" s="21">
        <f t="shared" si="185"/>
        <v>107678186</v>
      </c>
      <c r="V87" s="21">
        <f t="shared" si="185"/>
        <v>117700498</v>
      </c>
      <c r="W87" s="21">
        <f t="shared" si="185"/>
        <v>140070745</v>
      </c>
      <c r="X87" s="21">
        <f t="shared" si="185"/>
        <v>150091180</v>
      </c>
      <c r="Y87" s="21">
        <f t="shared" si="185"/>
        <v>152595303</v>
      </c>
      <c r="Z87" s="21">
        <f t="shared" si="185"/>
        <v>149607378</v>
      </c>
      <c r="AA87" s="21">
        <f t="shared" si="185"/>
        <v>147384318</v>
      </c>
      <c r="AB87" s="21">
        <f t="shared" ref="AB87:AC87" si="186">SUM(AB84:AB86)</f>
        <v>138718825</v>
      </c>
      <c r="AC87" s="21">
        <f t="shared" si="186"/>
        <v>134725771</v>
      </c>
      <c r="AD87" s="21">
        <f t="shared" ref="AD87:AE87" si="187">SUM(AD84:AD86)</f>
        <v>131816745</v>
      </c>
      <c r="AE87" s="21">
        <f t="shared" si="187"/>
        <v>133660215</v>
      </c>
      <c r="AF87" s="21">
        <f t="shared" ref="AF87:AG87" si="188">SUM(AF84:AF86)</f>
        <v>130717148</v>
      </c>
      <c r="AG87" s="21">
        <f t="shared" si="188"/>
        <v>128552554</v>
      </c>
      <c r="AH87" s="21">
        <f t="shared" ref="AH87:AI87" si="189">SUM(AH84:AH86)</f>
        <v>127249329</v>
      </c>
      <c r="AI87" s="21">
        <f t="shared" si="189"/>
        <v>121978695</v>
      </c>
      <c r="AJ87" s="21">
        <f t="shared" ref="AJ87:AK87" si="190">SUM(AJ84:AJ86)</f>
        <v>123856259</v>
      </c>
      <c r="AK87" s="21">
        <f t="shared" si="190"/>
        <v>127597479</v>
      </c>
      <c r="AL87" s="17"/>
    </row>
    <row r="88" spans="1:38" ht="13.5" hidden="1" customHeight="1" x14ac:dyDescent="0.2">
      <c r="A88" s="15"/>
      <c r="D88" s="26"/>
      <c r="E88" s="27"/>
      <c r="F88" s="28">
        <f>F15+F50</f>
        <v>-241484</v>
      </c>
      <c r="G88" s="28">
        <f>G15+G50</f>
        <v>-254768</v>
      </c>
      <c r="H88" s="26"/>
      <c r="I88" s="28">
        <f t="shared" ref="I88:AA88" si="191">I15+I50</f>
        <v>-283034</v>
      </c>
      <c r="J88" s="28">
        <f t="shared" si="191"/>
        <v>-424838</v>
      </c>
      <c r="K88" s="28">
        <f t="shared" si="191"/>
        <v>-322762</v>
      </c>
      <c r="L88" s="28">
        <f t="shared" si="191"/>
        <v>-288800</v>
      </c>
      <c r="M88" s="28">
        <f t="shared" si="191"/>
        <v>-320001</v>
      </c>
      <c r="N88" s="28">
        <f t="shared" si="191"/>
        <v>-362456</v>
      </c>
      <c r="O88" s="28">
        <f t="shared" si="191"/>
        <v>-406401</v>
      </c>
      <c r="P88" s="28">
        <f t="shared" si="191"/>
        <v>-459552</v>
      </c>
      <c r="Q88" s="28">
        <f t="shared" si="191"/>
        <v>-414326</v>
      </c>
      <c r="R88" s="28">
        <f t="shared" si="191"/>
        <v>-461926</v>
      </c>
      <c r="S88" s="28">
        <f t="shared" si="191"/>
        <v>-493813</v>
      </c>
      <c r="T88" s="28">
        <f t="shared" si="191"/>
        <v>-482398</v>
      </c>
      <c r="U88" s="28">
        <f t="shared" si="191"/>
        <v>-471724</v>
      </c>
      <c r="V88" s="28">
        <f t="shared" si="191"/>
        <v>-490505</v>
      </c>
      <c r="W88" s="28">
        <f t="shared" si="191"/>
        <v>-560008</v>
      </c>
      <c r="X88" s="28">
        <f t="shared" si="191"/>
        <v>-409520</v>
      </c>
      <c r="Y88" s="28">
        <f t="shared" si="191"/>
        <v>-437685</v>
      </c>
      <c r="Z88" s="28">
        <f t="shared" si="191"/>
        <v>-400316</v>
      </c>
      <c r="AA88" s="28">
        <f t="shared" si="191"/>
        <v>-369902</v>
      </c>
      <c r="AB88" s="28">
        <f t="shared" ref="AB88:AC88" si="192">AB15+AB50</f>
        <v>-369519</v>
      </c>
      <c r="AC88" s="28">
        <f t="shared" si="192"/>
        <v>-384937</v>
      </c>
      <c r="AD88" s="28">
        <f t="shared" ref="AD88:AE88" si="193">AD15+AD50</f>
        <v>-389978</v>
      </c>
      <c r="AE88" s="28">
        <f t="shared" si="193"/>
        <v>-420335</v>
      </c>
      <c r="AF88" s="28">
        <f t="shared" ref="AF88:AG88" si="194">AF15+AF50</f>
        <v>-414910</v>
      </c>
      <c r="AG88" s="28">
        <f t="shared" si="194"/>
        <v>-318297</v>
      </c>
      <c r="AH88" s="28">
        <f t="shared" ref="AH88:AI88" si="195">AH15+AH50</f>
        <v>-390460</v>
      </c>
      <c r="AI88" s="28">
        <f t="shared" si="195"/>
        <v>-202930</v>
      </c>
      <c r="AJ88" s="28">
        <f t="shared" ref="AJ88:AK88" si="196">AJ15+AJ50</f>
        <v>-199017</v>
      </c>
      <c r="AK88" s="28">
        <f t="shared" si="196"/>
        <v>0</v>
      </c>
      <c r="AL88" s="5"/>
    </row>
    <row r="89" spans="1:38" ht="13.5" customHeight="1" x14ac:dyDescent="0.2">
      <c r="A89" s="15"/>
      <c r="D89" s="26"/>
      <c r="E89" s="27" t="s">
        <v>30</v>
      </c>
      <c r="F89" s="29">
        <f>SUM(F87:F88)</f>
        <v>23269716</v>
      </c>
      <c r="G89" s="29">
        <f>SUM(G87:G88)</f>
        <v>27757502</v>
      </c>
      <c r="H89" s="26"/>
      <c r="I89" s="29">
        <f t="shared" ref="I89:AA89" si="197">SUM(I87:I88)</f>
        <v>40275157</v>
      </c>
      <c r="J89" s="29">
        <f t="shared" si="197"/>
        <v>49053602</v>
      </c>
      <c r="K89" s="29">
        <f t="shared" si="197"/>
        <v>53824415</v>
      </c>
      <c r="L89" s="29">
        <f t="shared" si="197"/>
        <v>53883377</v>
      </c>
      <c r="M89" s="29">
        <f t="shared" si="197"/>
        <v>56780207</v>
      </c>
      <c r="N89" s="29">
        <f t="shared" si="197"/>
        <v>56417145</v>
      </c>
      <c r="O89" s="29">
        <f t="shared" si="197"/>
        <v>61369652</v>
      </c>
      <c r="P89" s="29">
        <f t="shared" si="197"/>
        <v>73004708</v>
      </c>
      <c r="Q89" s="29">
        <f t="shared" si="197"/>
        <v>86062009</v>
      </c>
      <c r="R89" s="29">
        <f t="shared" si="197"/>
        <v>95459816</v>
      </c>
      <c r="S89" s="29">
        <f t="shared" si="197"/>
        <v>100022359</v>
      </c>
      <c r="T89" s="29">
        <f t="shared" si="197"/>
        <v>101836578</v>
      </c>
      <c r="U89" s="29">
        <f t="shared" si="197"/>
        <v>107206462</v>
      </c>
      <c r="V89" s="29">
        <f t="shared" si="197"/>
        <v>117209993</v>
      </c>
      <c r="W89" s="29">
        <f t="shared" si="197"/>
        <v>139510737</v>
      </c>
      <c r="X89" s="29">
        <f t="shared" si="197"/>
        <v>149681660</v>
      </c>
      <c r="Y89" s="29">
        <f t="shared" si="197"/>
        <v>152157618</v>
      </c>
      <c r="Z89" s="29">
        <f t="shared" si="197"/>
        <v>149207062</v>
      </c>
      <c r="AA89" s="29">
        <f t="shared" si="197"/>
        <v>147014416</v>
      </c>
      <c r="AB89" s="29">
        <f t="shared" ref="AB89:AC89" si="198">SUM(AB87:AB88)</f>
        <v>138349306</v>
      </c>
      <c r="AC89" s="29">
        <f t="shared" si="198"/>
        <v>134340834</v>
      </c>
      <c r="AD89" s="29">
        <f t="shared" ref="AD89:AE89" si="199">SUM(AD87:AD88)</f>
        <v>131426767</v>
      </c>
      <c r="AE89" s="29">
        <f t="shared" si="199"/>
        <v>133239880</v>
      </c>
      <c r="AF89" s="29">
        <f t="shared" ref="AF89:AG89" si="200">SUM(AF87:AF88)</f>
        <v>130302238</v>
      </c>
      <c r="AG89" s="29">
        <f t="shared" si="200"/>
        <v>128234257</v>
      </c>
      <c r="AH89" s="29">
        <f t="shared" ref="AH89:AI89" si="201">SUM(AH87:AH88)</f>
        <v>126858869</v>
      </c>
      <c r="AI89" s="29">
        <f t="shared" si="201"/>
        <v>121775765</v>
      </c>
      <c r="AJ89" s="29">
        <f t="shared" ref="AJ89:AK89" si="202">SUM(AJ87:AJ88)</f>
        <v>123657242</v>
      </c>
      <c r="AK89" s="29">
        <f t="shared" si="202"/>
        <v>127597479</v>
      </c>
      <c r="AL89" s="5"/>
    </row>
    <row r="90" spans="1:38" ht="13.5" customHeight="1" x14ac:dyDescent="0.2">
      <c r="A90" s="15"/>
      <c r="C90" s="2" t="s">
        <v>31</v>
      </c>
      <c r="AL90" s="17"/>
    </row>
    <row r="91" spans="1:38" ht="13.5" customHeight="1" x14ac:dyDescent="0.2">
      <c r="A91" s="15"/>
      <c r="D91" s="1" t="s">
        <v>27</v>
      </c>
      <c r="E91" s="21"/>
      <c r="F91" s="21">
        <f>F18+F53</f>
        <v>972259</v>
      </c>
      <c r="G91" s="21">
        <f>G18+G53</f>
        <v>1117218</v>
      </c>
      <c r="H91" s="21"/>
      <c r="I91" s="21">
        <f t="shared" ref="I91:AA92" si="203">I18+I53</f>
        <v>1230281</v>
      </c>
      <c r="J91" s="21">
        <f t="shared" si="203"/>
        <v>1186484</v>
      </c>
      <c r="K91" s="21">
        <f t="shared" si="203"/>
        <v>1593708</v>
      </c>
      <c r="L91" s="21">
        <f t="shared" si="203"/>
        <v>1597802</v>
      </c>
      <c r="M91" s="21">
        <f t="shared" si="203"/>
        <v>1713849</v>
      </c>
      <c r="N91" s="21">
        <f t="shared" si="203"/>
        <v>1915015</v>
      </c>
      <c r="O91" s="21">
        <f t="shared" si="203"/>
        <v>1706524</v>
      </c>
      <c r="P91" s="21">
        <f t="shared" si="203"/>
        <v>1668122</v>
      </c>
      <c r="Q91" s="21">
        <f t="shared" si="203"/>
        <v>1870990</v>
      </c>
      <c r="R91" s="21">
        <f t="shared" si="203"/>
        <v>1751109</v>
      </c>
      <c r="S91" s="21">
        <f t="shared" si="203"/>
        <v>2037367</v>
      </c>
      <c r="T91" s="21">
        <f t="shared" si="203"/>
        <v>2144683</v>
      </c>
      <c r="U91" s="21">
        <f t="shared" si="203"/>
        <v>3852378</v>
      </c>
      <c r="V91" s="21">
        <f t="shared" si="203"/>
        <v>3479092</v>
      </c>
      <c r="W91" s="21">
        <f t="shared" si="203"/>
        <v>3360081</v>
      </c>
      <c r="X91" s="21">
        <f t="shared" si="203"/>
        <v>2379358</v>
      </c>
      <c r="Y91" s="21">
        <f t="shared" si="203"/>
        <v>2373811</v>
      </c>
      <c r="Z91" s="21">
        <f t="shared" si="203"/>
        <v>2881428</v>
      </c>
      <c r="AA91" s="21">
        <f t="shared" si="203"/>
        <v>2927669</v>
      </c>
      <c r="AB91" s="21">
        <f t="shared" ref="AB91:AC91" si="204">AB18+AB53</f>
        <v>2968051</v>
      </c>
      <c r="AC91" s="21">
        <f t="shared" si="204"/>
        <v>4221980</v>
      </c>
      <c r="AD91" s="21">
        <f t="shared" ref="AD91:AE91" si="205">AD18+AD53</f>
        <v>4275228</v>
      </c>
      <c r="AE91" s="21">
        <f t="shared" si="205"/>
        <v>4539194</v>
      </c>
      <c r="AF91" s="21">
        <f t="shared" ref="AF91:AG91" si="206">AF18+AF53</f>
        <v>4320129</v>
      </c>
      <c r="AG91" s="21">
        <f t="shared" si="206"/>
        <v>4289098</v>
      </c>
      <c r="AH91" s="21">
        <f t="shared" ref="AH91:AI91" si="207">AH18+AH53</f>
        <v>4144416</v>
      </c>
      <c r="AI91" s="21">
        <f t="shared" si="207"/>
        <v>4878328</v>
      </c>
      <c r="AJ91" s="21">
        <f t="shared" ref="AJ91:AK91" si="208">AJ18+AJ53</f>
        <v>5541953</v>
      </c>
      <c r="AK91" s="21">
        <f t="shared" si="208"/>
        <v>6021477</v>
      </c>
      <c r="AL91" s="17"/>
    </row>
    <row r="92" spans="1:38" ht="13.5" customHeight="1" x14ac:dyDescent="0.2">
      <c r="A92" s="15"/>
      <c r="D92" s="1" t="s">
        <v>28</v>
      </c>
      <c r="E92" s="23"/>
      <c r="F92" s="24">
        <f>F19+F54</f>
        <v>0</v>
      </c>
      <c r="G92" s="24">
        <f>G19+G54</f>
        <v>0</v>
      </c>
      <c r="H92" s="24"/>
      <c r="I92" s="24">
        <f t="shared" si="203"/>
        <v>0</v>
      </c>
      <c r="J92" s="24">
        <f t="shared" si="203"/>
        <v>0</v>
      </c>
      <c r="K92" s="24">
        <f t="shared" si="203"/>
        <v>0</v>
      </c>
      <c r="L92" s="24">
        <f t="shared" si="203"/>
        <v>0</v>
      </c>
      <c r="M92" s="24">
        <f t="shared" si="203"/>
        <v>48079</v>
      </c>
      <c r="N92" s="24">
        <f t="shared" si="203"/>
        <v>27616</v>
      </c>
      <c r="O92" s="24">
        <f t="shared" si="203"/>
        <v>17500</v>
      </c>
      <c r="P92" s="24">
        <f t="shared" si="203"/>
        <v>5000</v>
      </c>
      <c r="Q92" s="24">
        <f t="shared" si="203"/>
        <v>2500</v>
      </c>
      <c r="R92" s="24">
        <f t="shared" si="203"/>
        <v>0</v>
      </c>
      <c r="S92" s="24">
        <f t="shared" si="203"/>
        <v>0</v>
      </c>
      <c r="T92" s="24">
        <f t="shared" si="203"/>
        <v>0</v>
      </c>
      <c r="U92" s="24">
        <f t="shared" si="203"/>
        <v>0</v>
      </c>
      <c r="V92" s="24">
        <f t="shared" si="203"/>
        <v>165000</v>
      </c>
      <c r="W92" s="24">
        <f t="shared" si="203"/>
        <v>80000</v>
      </c>
      <c r="X92" s="24">
        <f t="shared" si="203"/>
        <v>40000</v>
      </c>
      <c r="Y92" s="24">
        <f t="shared" si="203"/>
        <v>0</v>
      </c>
      <c r="Z92" s="24">
        <f t="shared" si="203"/>
        <v>20000</v>
      </c>
      <c r="AA92" s="24">
        <f t="shared" si="203"/>
        <v>62500</v>
      </c>
      <c r="AB92" s="24">
        <f t="shared" ref="AB92:AC92" si="209">AB19+AB54</f>
        <v>30000</v>
      </c>
      <c r="AC92" s="24">
        <f t="shared" si="209"/>
        <v>0</v>
      </c>
      <c r="AD92" s="24">
        <f t="shared" ref="AD92:AE92" si="210">AD19+AD54</f>
        <v>0</v>
      </c>
      <c r="AE92" s="24">
        <f t="shared" si="210"/>
        <v>0</v>
      </c>
      <c r="AF92" s="24">
        <f t="shared" ref="AF92:AG92" si="211">AF19+AF54</f>
        <v>0</v>
      </c>
      <c r="AG92" s="24">
        <f t="shared" si="211"/>
        <v>0</v>
      </c>
      <c r="AH92" s="24">
        <f t="shared" ref="AH92:AI92" si="212">AH19+AH54</f>
        <v>0</v>
      </c>
      <c r="AI92" s="24">
        <f t="shared" si="212"/>
        <v>0</v>
      </c>
      <c r="AJ92" s="24">
        <f t="shared" ref="AJ92:AK92" si="213">AJ19+AJ54</f>
        <v>0</v>
      </c>
      <c r="AK92" s="24">
        <f t="shared" si="213"/>
        <v>0</v>
      </c>
      <c r="AL92" s="17"/>
    </row>
    <row r="93" spans="1:38" ht="13.5" customHeight="1" x14ac:dyDescent="0.2">
      <c r="A93" s="15"/>
      <c r="F93" s="21">
        <f>SUM(F91:F92)</f>
        <v>972259</v>
      </c>
      <c r="G93" s="21">
        <f>SUM(G91:G92)</f>
        <v>1117218</v>
      </c>
      <c r="I93" s="21">
        <f t="shared" ref="I93:AA93" si="214">SUM(I91:I92)</f>
        <v>1230281</v>
      </c>
      <c r="J93" s="21">
        <f t="shared" si="214"/>
        <v>1186484</v>
      </c>
      <c r="K93" s="21">
        <f t="shared" si="214"/>
        <v>1593708</v>
      </c>
      <c r="L93" s="21">
        <f t="shared" si="214"/>
        <v>1597802</v>
      </c>
      <c r="M93" s="21">
        <f t="shared" si="214"/>
        <v>1761928</v>
      </c>
      <c r="N93" s="21">
        <f t="shared" si="214"/>
        <v>1942631</v>
      </c>
      <c r="O93" s="21">
        <f t="shared" si="214"/>
        <v>1724024</v>
      </c>
      <c r="P93" s="21">
        <f t="shared" si="214"/>
        <v>1673122</v>
      </c>
      <c r="Q93" s="21">
        <f t="shared" si="214"/>
        <v>1873490</v>
      </c>
      <c r="R93" s="21">
        <f t="shared" si="214"/>
        <v>1751109</v>
      </c>
      <c r="S93" s="21">
        <f t="shared" si="214"/>
        <v>2037367</v>
      </c>
      <c r="T93" s="21">
        <f t="shared" si="214"/>
        <v>2144683</v>
      </c>
      <c r="U93" s="21">
        <f t="shared" si="214"/>
        <v>3852378</v>
      </c>
      <c r="V93" s="21">
        <f t="shared" si="214"/>
        <v>3644092</v>
      </c>
      <c r="W93" s="21">
        <f t="shared" si="214"/>
        <v>3440081</v>
      </c>
      <c r="X93" s="21">
        <f t="shared" si="214"/>
        <v>2419358</v>
      </c>
      <c r="Y93" s="21">
        <f t="shared" si="214"/>
        <v>2373811</v>
      </c>
      <c r="Z93" s="21">
        <f t="shared" si="214"/>
        <v>2901428</v>
      </c>
      <c r="AA93" s="21">
        <f t="shared" si="214"/>
        <v>2990169</v>
      </c>
      <c r="AB93" s="21">
        <f t="shared" ref="AB93:AC93" si="215">SUM(AB91:AB92)</f>
        <v>2998051</v>
      </c>
      <c r="AC93" s="21">
        <f t="shared" si="215"/>
        <v>4221980</v>
      </c>
      <c r="AD93" s="21">
        <f t="shared" ref="AD93:AE93" si="216">SUM(AD91:AD92)</f>
        <v>4275228</v>
      </c>
      <c r="AE93" s="21">
        <f t="shared" si="216"/>
        <v>4539194</v>
      </c>
      <c r="AF93" s="21">
        <f t="shared" ref="AF93:AG93" si="217">SUM(AF91:AF92)</f>
        <v>4320129</v>
      </c>
      <c r="AG93" s="21">
        <f t="shared" si="217"/>
        <v>4289098</v>
      </c>
      <c r="AH93" s="21">
        <f t="shared" ref="AH93:AI93" si="218">SUM(AH91:AH92)</f>
        <v>4144416</v>
      </c>
      <c r="AI93" s="21">
        <f t="shared" si="218"/>
        <v>4878328</v>
      </c>
      <c r="AJ93" s="21">
        <f t="shared" ref="AJ93:AK93" si="219">SUM(AJ91:AJ92)</f>
        <v>5541953</v>
      </c>
      <c r="AK93" s="21">
        <f t="shared" si="219"/>
        <v>6021477</v>
      </c>
      <c r="AL93" s="17"/>
    </row>
    <row r="94" spans="1:38" ht="13.5" hidden="1" customHeight="1" x14ac:dyDescent="0.2">
      <c r="A94" s="15"/>
      <c r="D94" s="26"/>
      <c r="E94" s="27"/>
      <c r="F94" s="28">
        <f>F21+F56</f>
        <v>-3000</v>
      </c>
      <c r="G94" s="28">
        <f>G21+G56</f>
        <v>-3000</v>
      </c>
      <c r="H94" s="26"/>
      <c r="I94" s="28">
        <f t="shared" ref="I94:AA94" si="220">I21+I56</f>
        <v>-4000</v>
      </c>
      <c r="J94" s="28">
        <f t="shared" si="220"/>
        <v>-6000</v>
      </c>
      <c r="K94" s="28">
        <f t="shared" si="220"/>
        <v>-2500</v>
      </c>
      <c r="L94" s="28">
        <f t="shared" si="220"/>
        <v>-2000</v>
      </c>
      <c r="M94" s="28">
        <f t="shared" si="220"/>
        <v>-9000</v>
      </c>
      <c r="N94" s="28">
        <f t="shared" si="220"/>
        <v>-5000</v>
      </c>
      <c r="O94" s="28">
        <f t="shared" si="220"/>
        <v>0</v>
      </c>
      <c r="P94" s="28">
        <f t="shared" si="220"/>
        <v>0</v>
      </c>
      <c r="Q94" s="28">
        <f t="shared" si="220"/>
        <v>-9319</v>
      </c>
      <c r="R94" s="28">
        <f t="shared" si="220"/>
        <v>0</v>
      </c>
      <c r="S94" s="28">
        <f t="shared" si="220"/>
        <v>-9000</v>
      </c>
      <c r="T94" s="28">
        <f t="shared" si="220"/>
        <v>0</v>
      </c>
      <c r="U94" s="28">
        <f t="shared" si="220"/>
        <v>0</v>
      </c>
      <c r="V94" s="28">
        <f t="shared" si="220"/>
        <v>0</v>
      </c>
      <c r="W94" s="28">
        <f t="shared" si="220"/>
        <v>0</v>
      </c>
      <c r="X94" s="28">
        <f t="shared" si="220"/>
        <v>0</v>
      </c>
      <c r="Y94" s="28">
        <f t="shared" si="220"/>
        <v>0</v>
      </c>
      <c r="Z94" s="28">
        <f t="shared" si="220"/>
        <v>0</v>
      </c>
      <c r="AA94" s="28">
        <f t="shared" si="220"/>
        <v>0</v>
      </c>
      <c r="AB94" s="28">
        <f t="shared" ref="AB94:AC94" si="221">AB21+AB56</f>
        <v>0</v>
      </c>
      <c r="AC94" s="28">
        <f t="shared" si="221"/>
        <v>0</v>
      </c>
      <c r="AD94" s="28">
        <f t="shared" ref="AD94:AE94" si="222">AD21+AD56</f>
        <v>0</v>
      </c>
      <c r="AE94" s="28">
        <f t="shared" si="222"/>
        <v>0</v>
      </c>
      <c r="AF94" s="28">
        <f t="shared" ref="AF94:AG94" si="223">AF21+AF56</f>
        <v>0</v>
      </c>
      <c r="AG94" s="28">
        <f t="shared" si="223"/>
        <v>0</v>
      </c>
      <c r="AH94" s="28">
        <f t="shared" ref="AH94:AI94" si="224">AH21+AH56</f>
        <v>0</v>
      </c>
      <c r="AI94" s="28">
        <f t="shared" si="224"/>
        <v>0</v>
      </c>
      <c r="AJ94" s="28">
        <f t="shared" ref="AJ94:AK94" si="225">AJ21+AJ56</f>
        <v>0</v>
      </c>
      <c r="AK94" s="28">
        <f t="shared" si="225"/>
        <v>0</v>
      </c>
      <c r="AL94" s="5"/>
    </row>
    <row r="95" spans="1:38" ht="13.5" customHeight="1" x14ac:dyDescent="0.2">
      <c r="A95" s="15"/>
      <c r="D95" s="26"/>
      <c r="E95" s="27" t="s">
        <v>30</v>
      </c>
      <c r="F95" s="29">
        <f>SUM(F93:F94)</f>
        <v>969259</v>
      </c>
      <c r="G95" s="29">
        <f>SUM(G93:G94)</f>
        <v>1114218</v>
      </c>
      <c r="H95" s="26"/>
      <c r="I95" s="29">
        <f t="shared" ref="I95:AA95" si="226">SUM(I93:I94)</f>
        <v>1226281</v>
      </c>
      <c r="J95" s="29">
        <f t="shared" si="226"/>
        <v>1180484</v>
      </c>
      <c r="K95" s="29">
        <f t="shared" si="226"/>
        <v>1591208</v>
      </c>
      <c r="L95" s="29">
        <f t="shared" si="226"/>
        <v>1595802</v>
      </c>
      <c r="M95" s="29">
        <f t="shared" si="226"/>
        <v>1752928</v>
      </c>
      <c r="N95" s="29">
        <f t="shared" si="226"/>
        <v>1937631</v>
      </c>
      <c r="O95" s="29">
        <f t="shared" si="226"/>
        <v>1724024</v>
      </c>
      <c r="P95" s="29">
        <f t="shared" si="226"/>
        <v>1673122</v>
      </c>
      <c r="Q95" s="29">
        <f t="shared" si="226"/>
        <v>1864171</v>
      </c>
      <c r="R95" s="29">
        <f t="shared" si="226"/>
        <v>1751109</v>
      </c>
      <c r="S95" s="29">
        <f t="shared" si="226"/>
        <v>2028367</v>
      </c>
      <c r="T95" s="29">
        <f t="shared" si="226"/>
        <v>2144683</v>
      </c>
      <c r="U95" s="29">
        <f t="shared" si="226"/>
        <v>3852378</v>
      </c>
      <c r="V95" s="29">
        <f t="shared" si="226"/>
        <v>3644092</v>
      </c>
      <c r="W95" s="29">
        <f t="shared" si="226"/>
        <v>3440081</v>
      </c>
      <c r="X95" s="29">
        <f t="shared" si="226"/>
        <v>2419358</v>
      </c>
      <c r="Y95" s="29">
        <f t="shared" si="226"/>
        <v>2373811</v>
      </c>
      <c r="Z95" s="29">
        <f t="shared" si="226"/>
        <v>2901428</v>
      </c>
      <c r="AA95" s="29">
        <f t="shared" si="226"/>
        <v>2990169</v>
      </c>
      <c r="AB95" s="29">
        <f t="shared" ref="AB95:AC95" si="227">SUM(AB93:AB94)</f>
        <v>2998051</v>
      </c>
      <c r="AC95" s="29">
        <f t="shared" si="227"/>
        <v>4221980</v>
      </c>
      <c r="AD95" s="29">
        <f t="shared" ref="AD95:AE95" si="228">SUM(AD93:AD94)</f>
        <v>4275228</v>
      </c>
      <c r="AE95" s="29">
        <f t="shared" si="228"/>
        <v>4539194</v>
      </c>
      <c r="AF95" s="29">
        <f t="shared" ref="AF95:AG95" si="229">SUM(AF93:AF94)</f>
        <v>4320129</v>
      </c>
      <c r="AG95" s="29">
        <f t="shared" si="229"/>
        <v>4289098</v>
      </c>
      <c r="AH95" s="29">
        <f t="shared" ref="AH95:AI95" si="230">SUM(AH93:AH94)</f>
        <v>4144416</v>
      </c>
      <c r="AI95" s="29">
        <f t="shared" si="230"/>
        <v>4878328</v>
      </c>
      <c r="AJ95" s="29">
        <f t="shared" ref="AJ95:AK95" si="231">SUM(AJ93:AJ94)</f>
        <v>5541953</v>
      </c>
      <c r="AK95" s="29">
        <f t="shared" si="231"/>
        <v>6021477</v>
      </c>
      <c r="AL95" s="5"/>
    </row>
    <row r="96" spans="1:38" ht="13.5" customHeight="1" x14ac:dyDescent="0.2">
      <c r="A96" s="15"/>
      <c r="C96" s="2" t="s">
        <v>32</v>
      </c>
      <c r="D96" s="2"/>
      <c r="AL96" s="17"/>
    </row>
    <row r="97" spans="1:38" ht="13.5" customHeight="1" x14ac:dyDescent="0.2">
      <c r="A97" s="15"/>
      <c r="D97" s="1" t="s">
        <v>27</v>
      </c>
      <c r="E97" s="21"/>
      <c r="F97" s="21">
        <f t="shared" ref="F97:G99" si="232">F24+F59</f>
        <v>9687219</v>
      </c>
      <c r="G97" s="21">
        <f t="shared" si="232"/>
        <v>10818720</v>
      </c>
      <c r="H97" s="21"/>
      <c r="I97" s="21">
        <f t="shared" ref="I97:AA99" si="233">I24+I59</f>
        <v>15522293</v>
      </c>
      <c r="J97" s="21">
        <f t="shared" si="233"/>
        <v>15097821</v>
      </c>
      <c r="K97" s="21">
        <f t="shared" si="233"/>
        <v>16131058</v>
      </c>
      <c r="L97" s="21">
        <f t="shared" si="233"/>
        <v>16818997</v>
      </c>
      <c r="M97" s="21">
        <f t="shared" si="233"/>
        <v>18759026</v>
      </c>
      <c r="N97" s="21">
        <f t="shared" si="233"/>
        <v>20479030</v>
      </c>
      <c r="O97" s="21">
        <f t="shared" si="233"/>
        <v>22675310</v>
      </c>
      <c r="P97" s="21">
        <f t="shared" si="233"/>
        <v>24011743</v>
      </c>
      <c r="Q97" s="21">
        <f t="shared" si="233"/>
        <v>24862179</v>
      </c>
      <c r="R97" s="21">
        <f t="shared" si="233"/>
        <v>26126151</v>
      </c>
      <c r="S97" s="21">
        <f t="shared" si="233"/>
        <v>27840405</v>
      </c>
      <c r="T97" s="21">
        <f t="shared" si="233"/>
        <v>29515425</v>
      </c>
      <c r="U97" s="21">
        <f t="shared" si="233"/>
        <v>29074084</v>
      </c>
      <c r="V97" s="21">
        <f t="shared" si="233"/>
        <v>31970500</v>
      </c>
      <c r="W97" s="21">
        <f t="shared" si="233"/>
        <v>32063752</v>
      </c>
      <c r="X97" s="21">
        <f t="shared" si="233"/>
        <v>31547574</v>
      </c>
      <c r="Y97" s="21">
        <f t="shared" si="233"/>
        <v>32262998</v>
      </c>
      <c r="Z97" s="21">
        <f t="shared" si="233"/>
        <v>31987733</v>
      </c>
      <c r="AA97" s="21">
        <f t="shared" si="233"/>
        <v>32068682</v>
      </c>
      <c r="AB97" s="21">
        <f t="shared" ref="AB97:AC97" si="234">AB24+AB59</f>
        <v>32425377</v>
      </c>
      <c r="AC97" s="21">
        <f t="shared" si="234"/>
        <v>36090204</v>
      </c>
      <c r="AD97" s="21">
        <f t="shared" ref="AD97:AE97" si="235">AD24+AD59</f>
        <v>38722783</v>
      </c>
      <c r="AE97" s="21">
        <f t="shared" si="235"/>
        <v>40781852</v>
      </c>
      <c r="AF97" s="21">
        <f t="shared" ref="AF97:AG97" si="236">AF24+AF59</f>
        <v>39166183</v>
      </c>
      <c r="AG97" s="21">
        <f t="shared" si="236"/>
        <v>46337665</v>
      </c>
      <c r="AH97" s="21">
        <f t="shared" ref="AH97:AI97" si="237">AH24+AH59</f>
        <v>48156674</v>
      </c>
      <c r="AI97" s="21">
        <f t="shared" si="237"/>
        <v>58196452</v>
      </c>
      <c r="AJ97" s="21">
        <f t="shared" ref="AJ97:AK97" si="238">AJ24+AJ59</f>
        <v>61679291</v>
      </c>
      <c r="AK97" s="21">
        <f t="shared" si="238"/>
        <v>63932385</v>
      </c>
      <c r="AL97" s="17"/>
    </row>
    <row r="98" spans="1:38" ht="13.5" customHeight="1" x14ac:dyDescent="0.2">
      <c r="A98" s="15"/>
      <c r="D98" s="1" t="s">
        <v>28</v>
      </c>
      <c r="E98" s="23"/>
      <c r="F98" s="23">
        <f t="shared" si="232"/>
        <v>282670</v>
      </c>
      <c r="G98" s="23">
        <f t="shared" si="232"/>
        <v>170600</v>
      </c>
      <c r="H98" s="23"/>
      <c r="I98" s="23">
        <f t="shared" si="233"/>
        <v>433925</v>
      </c>
      <c r="J98" s="23">
        <f t="shared" si="233"/>
        <v>398093</v>
      </c>
      <c r="K98" s="23">
        <f t="shared" si="233"/>
        <v>476334</v>
      </c>
      <c r="L98" s="23">
        <f t="shared" si="233"/>
        <v>319499</v>
      </c>
      <c r="M98" s="23">
        <f t="shared" si="233"/>
        <v>644086</v>
      </c>
      <c r="N98" s="23">
        <f t="shared" si="233"/>
        <v>555372</v>
      </c>
      <c r="O98" s="23">
        <f t="shared" si="233"/>
        <v>401952</v>
      </c>
      <c r="P98" s="23">
        <f t="shared" si="233"/>
        <v>497304</v>
      </c>
      <c r="Q98" s="23">
        <f t="shared" si="233"/>
        <v>475730</v>
      </c>
      <c r="R98" s="23">
        <f t="shared" si="233"/>
        <v>584518</v>
      </c>
      <c r="S98" s="23">
        <f t="shared" si="233"/>
        <v>754740</v>
      </c>
      <c r="T98" s="23">
        <f t="shared" si="233"/>
        <v>578380</v>
      </c>
      <c r="U98" s="23">
        <f t="shared" si="233"/>
        <v>258840</v>
      </c>
      <c r="V98" s="23">
        <f t="shared" si="233"/>
        <v>656052</v>
      </c>
      <c r="W98" s="23">
        <f t="shared" si="233"/>
        <v>561365</v>
      </c>
      <c r="X98" s="23">
        <f t="shared" si="233"/>
        <v>318257</v>
      </c>
      <c r="Y98" s="23">
        <f t="shared" si="233"/>
        <v>295722</v>
      </c>
      <c r="Z98" s="23">
        <f t="shared" si="233"/>
        <v>328075</v>
      </c>
      <c r="AA98" s="23">
        <f t="shared" si="233"/>
        <v>434941</v>
      </c>
      <c r="AB98" s="23">
        <f t="shared" ref="AB98:AC98" si="239">AB25+AB60</f>
        <v>284999</v>
      </c>
      <c r="AC98" s="23">
        <f t="shared" si="239"/>
        <v>332842</v>
      </c>
      <c r="AD98" s="23">
        <f t="shared" ref="AD98:AE98" si="240">AD25+AD60</f>
        <v>239984</v>
      </c>
      <c r="AE98" s="23">
        <f t="shared" si="240"/>
        <v>572431</v>
      </c>
      <c r="AF98" s="23">
        <f t="shared" ref="AF98:AG98" si="241">AF25+AF60</f>
        <v>597276</v>
      </c>
      <c r="AG98" s="23">
        <f t="shared" si="241"/>
        <v>358110</v>
      </c>
      <c r="AH98" s="23">
        <f t="shared" ref="AH98:AI98" si="242">AH25+AH60</f>
        <v>292301</v>
      </c>
      <c r="AI98" s="23">
        <f t="shared" si="242"/>
        <v>187956</v>
      </c>
      <c r="AJ98" s="23">
        <f t="shared" ref="AJ98" si="243">AJ25+AJ60</f>
        <v>257500</v>
      </c>
      <c r="AK98" s="23">
        <f>AK25+AK60</f>
        <v>433360</v>
      </c>
      <c r="AL98" s="17"/>
    </row>
    <row r="99" spans="1:38" ht="13.5" customHeight="1" x14ac:dyDescent="0.2">
      <c r="A99" s="15"/>
      <c r="D99" s="1" t="s">
        <v>29</v>
      </c>
      <c r="E99" s="23"/>
      <c r="F99" s="24">
        <f t="shared" si="232"/>
        <v>4503860</v>
      </c>
      <c r="G99" s="24">
        <f t="shared" si="232"/>
        <v>4820415</v>
      </c>
      <c r="H99" s="24"/>
      <c r="I99" s="24">
        <f t="shared" si="233"/>
        <v>4642619</v>
      </c>
      <c r="J99" s="24">
        <f t="shared" si="233"/>
        <v>4313034</v>
      </c>
      <c r="K99" s="24">
        <f t="shared" si="233"/>
        <v>5818645</v>
      </c>
      <c r="L99" s="24">
        <f t="shared" si="233"/>
        <v>4772060</v>
      </c>
      <c r="M99" s="24">
        <f t="shared" si="233"/>
        <v>4740559</v>
      </c>
      <c r="N99" s="24">
        <f t="shared" si="233"/>
        <v>4166911</v>
      </c>
      <c r="O99" s="24">
        <f t="shared" si="233"/>
        <v>3924002</v>
      </c>
      <c r="P99" s="24">
        <f t="shared" si="233"/>
        <v>1595979</v>
      </c>
      <c r="Q99" s="24">
        <f t="shared" si="233"/>
        <v>2100353</v>
      </c>
      <c r="R99" s="24">
        <f t="shared" si="233"/>
        <v>2431673</v>
      </c>
      <c r="S99" s="24">
        <f t="shared" si="233"/>
        <v>2029732</v>
      </c>
      <c r="T99" s="24">
        <f t="shared" si="233"/>
        <v>2770128</v>
      </c>
      <c r="U99" s="24">
        <f t="shared" si="233"/>
        <v>7020990</v>
      </c>
      <c r="V99" s="24">
        <f t="shared" si="233"/>
        <v>7933841</v>
      </c>
      <c r="W99" s="24">
        <f t="shared" si="233"/>
        <v>8417979</v>
      </c>
      <c r="X99" s="24">
        <f t="shared" si="233"/>
        <v>9037760</v>
      </c>
      <c r="Y99" s="24">
        <f t="shared" si="233"/>
        <v>9085198</v>
      </c>
      <c r="Z99" s="24">
        <f t="shared" si="233"/>
        <v>9061063</v>
      </c>
      <c r="AA99" s="24">
        <f t="shared" si="233"/>
        <v>9254690</v>
      </c>
      <c r="AB99" s="24">
        <f t="shared" ref="AB99:AC99" si="244">AB26+AB61</f>
        <v>9226339</v>
      </c>
      <c r="AC99" s="24">
        <f t="shared" si="244"/>
        <v>9609031</v>
      </c>
      <c r="AD99" s="24">
        <f t="shared" ref="AD99:AE99" si="245">AD26+AD61</f>
        <v>9612099</v>
      </c>
      <c r="AE99" s="24">
        <f t="shared" si="245"/>
        <v>9259198</v>
      </c>
      <c r="AF99" s="24">
        <f t="shared" ref="AF99:AG99" si="246">AF26+AF61</f>
        <v>9034385</v>
      </c>
      <c r="AG99" s="24">
        <f t="shared" si="246"/>
        <v>8801053</v>
      </c>
      <c r="AH99" s="24">
        <f t="shared" ref="AH99:AI99" si="247">AH26+AH61</f>
        <v>7521835</v>
      </c>
      <c r="AI99" s="24">
        <f t="shared" si="247"/>
        <v>8873547</v>
      </c>
      <c r="AJ99" s="24">
        <f t="shared" ref="AJ99" si="248">AJ26+AJ61</f>
        <v>10098498</v>
      </c>
      <c r="AK99" s="24">
        <f>AK26+AK61</f>
        <v>12059816</v>
      </c>
      <c r="AL99" s="17"/>
    </row>
    <row r="100" spans="1:38" ht="13.5" customHeight="1" x14ac:dyDescent="0.2">
      <c r="A100" s="15"/>
      <c r="E100" s="21"/>
      <c r="F100" s="21">
        <f>SUM(F97:F99)</f>
        <v>14473749</v>
      </c>
      <c r="G100" s="21">
        <f>SUM(G97:G99)</f>
        <v>15809735</v>
      </c>
      <c r="H100" s="21"/>
      <c r="I100" s="21">
        <f t="shared" ref="I100:AA100" si="249">SUM(I97:I99)</f>
        <v>20598837</v>
      </c>
      <c r="J100" s="21">
        <f t="shared" si="249"/>
        <v>19808948</v>
      </c>
      <c r="K100" s="21">
        <f t="shared" si="249"/>
        <v>22426037</v>
      </c>
      <c r="L100" s="21">
        <f t="shared" si="249"/>
        <v>21910556</v>
      </c>
      <c r="M100" s="21">
        <f t="shared" si="249"/>
        <v>24143671</v>
      </c>
      <c r="N100" s="21">
        <f t="shared" si="249"/>
        <v>25201313</v>
      </c>
      <c r="O100" s="21">
        <f t="shared" si="249"/>
        <v>27001264</v>
      </c>
      <c r="P100" s="21">
        <f t="shared" si="249"/>
        <v>26105026</v>
      </c>
      <c r="Q100" s="21">
        <f t="shared" si="249"/>
        <v>27438262</v>
      </c>
      <c r="R100" s="21">
        <f t="shared" si="249"/>
        <v>29142342</v>
      </c>
      <c r="S100" s="21">
        <f t="shared" si="249"/>
        <v>30624877</v>
      </c>
      <c r="T100" s="21">
        <f t="shared" si="249"/>
        <v>32863933</v>
      </c>
      <c r="U100" s="21">
        <f t="shared" si="249"/>
        <v>36353914</v>
      </c>
      <c r="V100" s="21">
        <f t="shared" si="249"/>
        <v>40560393</v>
      </c>
      <c r="W100" s="21">
        <f t="shared" si="249"/>
        <v>41043096</v>
      </c>
      <c r="X100" s="21">
        <f t="shared" si="249"/>
        <v>40903591</v>
      </c>
      <c r="Y100" s="21">
        <f t="shared" si="249"/>
        <v>41643918</v>
      </c>
      <c r="Z100" s="21">
        <f t="shared" si="249"/>
        <v>41376871</v>
      </c>
      <c r="AA100" s="21">
        <f t="shared" si="249"/>
        <v>41758313</v>
      </c>
      <c r="AB100" s="21">
        <f t="shared" ref="AB100:AC100" si="250">SUM(AB97:AB99)</f>
        <v>41936715</v>
      </c>
      <c r="AC100" s="21">
        <f t="shared" si="250"/>
        <v>46032077</v>
      </c>
      <c r="AD100" s="21">
        <f t="shared" ref="AD100:AE100" si="251">SUM(AD97:AD99)</f>
        <v>48574866</v>
      </c>
      <c r="AE100" s="21">
        <f t="shared" si="251"/>
        <v>50613481</v>
      </c>
      <c r="AF100" s="21">
        <f t="shared" ref="AF100:AG100" si="252">SUM(AF97:AF99)</f>
        <v>48797844</v>
      </c>
      <c r="AG100" s="21">
        <f t="shared" si="252"/>
        <v>55496828</v>
      </c>
      <c r="AH100" s="21">
        <f t="shared" ref="AH100:AI100" si="253">SUM(AH97:AH99)</f>
        <v>55970810</v>
      </c>
      <c r="AI100" s="21">
        <f t="shared" si="253"/>
        <v>67257955</v>
      </c>
      <c r="AJ100" s="21">
        <f t="shared" ref="AJ100:AK100" si="254">SUM(AJ97:AJ99)</f>
        <v>72035289</v>
      </c>
      <c r="AK100" s="21">
        <f t="shared" si="254"/>
        <v>76425561</v>
      </c>
      <c r="AL100" s="17"/>
    </row>
    <row r="101" spans="1:38" ht="13.5" hidden="1" customHeight="1" x14ac:dyDescent="0.2">
      <c r="A101" s="15"/>
      <c r="D101" s="26"/>
      <c r="E101" s="27"/>
      <c r="F101" s="28">
        <f>F28+F63</f>
        <v>244484</v>
      </c>
      <c r="G101" s="28">
        <f>G28+G63</f>
        <v>257768</v>
      </c>
      <c r="H101" s="37"/>
      <c r="I101" s="28">
        <f t="shared" ref="I101:AA101" si="255">I28+I63</f>
        <v>287034</v>
      </c>
      <c r="J101" s="28">
        <f t="shared" si="255"/>
        <v>430838</v>
      </c>
      <c r="K101" s="28">
        <f t="shared" si="255"/>
        <v>325262</v>
      </c>
      <c r="L101" s="28">
        <f t="shared" si="255"/>
        <v>290800</v>
      </c>
      <c r="M101" s="28">
        <f t="shared" si="255"/>
        <v>329001</v>
      </c>
      <c r="N101" s="28">
        <f t="shared" si="255"/>
        <v>367456</v>
      </c>
      <c r="O101" s="28">
        <f t="shared" si="255"/>
        <v>406401</v>
      </c>
      <c r="P101" s="28">
        <f t="shared" si="255"/>
        <v>459552</v>
      </c>
      <c r="Q101" s="28">
        <f t="shared" si="255"/>
        <v>423645</v>
      </c>
      <c r="R101" s="28">
        <f t="shared" si="255"/>
        <v>461926</v>
      </c>
      <c r="S101" s="28">
        <f t="shared" si="255"/>
        <v>502813</v>
      </c>
      <c r="T101" s="28">
        <f t="shared" si="255"/>
        <v>482398</v>
      </c>
      <c r="U101" s="28">
        <f t="shared" si="255"/>
        <v>471724</v>
      </c>
      <c r="V101" s="28">
        <f t="shared" si="255"/>
        <v>490505</v>
      </c>
      <c r="W101" s="28">
        <f t="shared" si="255"/>
        <v>560008</v>
      </c>
      <c r="X101" s="28">
        <f t="shared" si="255"/>
        <v>409520</v>
      </c>
      <c r="Y101" s="28">
        <f t="shared" si="255"/>
        <v>437685</v>
      </c>
      <c r="Z101" s="28">
        <f t="shared" si="255"/>
        <v>400316</v>
      </c>
      <c r="AA101" s="28">
        <f t="shared" si="255"/>
        <v>369902</v>
      </c>
      <c r="AB101" s="28">
        <f t="shared" ref="AB101:AC101" si="256">AB28+AB63</f>
        <v>369519</v>
      </c>
      <c r="AC101" s="28">
        <f t="shared" si="256"/>
        <v>384937</v>
      </c>
      <c r="AD101" s="28">
        <f t="shared" ref="AD101:AE101" si="257">AD28+AD63</f>
        <v>389978</v>
      </c>
      <c r="AE101" s="28">
        <f t="shared" si="257"/>
        <v>420335</v>
      </c>
      <c r="AF101" s="28">
        <f t="shared" ref="AF101:AG101" si="258">AF28+AF63</f>
        <v>414910</v>
      </c>
      <c r="AG101" s="28">
        <f t="shared" si="258"/>
        <v>318297</v>
      </c>
      <c r="AH101" s="28">
        <f t="shared" ref="AH101:AI101" si="259">AH28+AH63</f>
        <v>390460</v>
      </c>
      <c r="AI101" s="28">
        <f t="shared" si="259"/>
        <v>202930</v>
      </c>
      <c r="AJ101" s="28">
        <f t="shared" ref="AJ101:AK101" si="260">AJ28+AJ63</f>
        <v>199017</v>
      </c>
      <c r="AK101" s="28">
        <f t="shared" si="260"/>
        <v>0</v>
      </c>
      <c r="AL101" s="5"/>
    </row>
    <row r="102" spans="1:38" ht="13.5" customHeight="1" x14ac:dyDescent="0.2">
      <c r="A102" s="15"/>
      <c r="D102" s="26"/>
      <c r="E102" s="27" t="s">
        <v>33</v>
      </c>
      <c r="F102" s="29">
        <f>SUM(F100:F101)</f>
        <v>14718233</v>
      </c>
      <c r="G102" s="29">
        <f>SUM(G100:G101)</f>
        <v>16067503</v>
      </c>
      <c r="H102" s="37"/>
      <c r="I102" s="29">
        <f t="shared" ref="I102:AA102" si="261">SUM(I100:I101)</f>
        <v>20885871</v>
      </c>
      <c r="J102" s="29">
        <f t="shared" si="261"/>
        <v>20239786</v>
      </c>
      <c r="K102" s="29">
        <f t="shared" si="261"/>
        <v>22751299</v>
      </c>
      <c r="L102" s="29">
        <f t="shared" si="261"/>
        <v>22201356</v>
      </c>
      <c r="M102" s="29">
        <f t="shared" si="261"/>
        <v>24472672</v>
      </c>
      <c r="N102" s="29">
        <f t="shared" si="261"/>
        <v>25568769</v>
      </c>
      <c r="O102" s="29">
        <f t="shared" si="261"/>
        <v>27407665</v>
      </c>
      <c r="P102" s="29">
        <f t="shared" si="261"/>
        <v>26564578</v>
      </c>
      <c r="Q102" s="29">
        <f t="shared" si="261"/>
        <v>27861907</v>
      </c>
      <c r="R102" s="29">
        <f t="shared" si="261"/>
        <v>29604268</v>
      </c>
      <c r="S102" s="29">
        <f t="shared" si="261"/>
        <v>31127690</v>
      </c>
      <c r="T102" s="29">
        <f t="shared" si="261"/>
        <v>33346331</v>
      </c>
      <c r="U102" s="29">
        <f t="shared" si="261"/>
        <v>36825638</v>
      </c>
      <c r="V102" s="29">
        <f t="shared" si="261"/>
        <v>41050898</v>
      </c>
      <c r="W102" s="29">
        <f t="shared" si="261"/>
        <v>41603104</v>
      </c>
      <c r="X102" s="29">
        <f t="shared" si="261"/>
        <v>41313111</v>
      </c>
      <c r="Y102" s="29">
        <f t="shared" si="261"/>
        <v>42081603</v>
      </c>
      <c r="Z102" s="29">
        <f t="shared" si="261"/>
        <v>41777187</v>
      </c>
      <c r="AA102" s="29">
        <f t="shared" si="261"/>
        <v>42128215</v>
      </c>
      <c r="AB102" s="29">
        <f t="shared" ref="AB102:AC102" si="262">SUM(AB100:AB101)</f>
        <v>42306234</v>
      </c>
      <c r="AC102" s="29">
        <f t="shared" si="262"/>
        <v>46417014</v>
      </c>
      <c r="AD102" s="29">
        <f t="shared" ref="AD102:AE102" si="263">SUM(AD100:AD101)</f>
        <v>48964844</v>
      </c>
      <c r="AE102" s="29">
        <f t="shared" si="263"/>
        <v>51033816</v>
      </c>
      <c r="AF102" s="29">
        <f t="shared" ref="AF102:AG102" si="264">SUM(AF100:AF101)</f>
        <v>49212754</v>
      </c>
      <c r="AG102" s="29">
        <f t="shared" si="264"/>
        <v>55815125</v>
      </c>
      <c r="AH102" s="29">
        <f t="shared" ref="AH102:AI102" si="265">SUM(AH100:AH101)</f>
        <v>56361270</v>
      </c>
      <c r="AI102" s="29">
        <f t="shared" si="265"/>
        <v>67460885</v>
      </c>
      <c r="AJ102" s="29">
        <f t="shared" ref="AJ102:AK102" si="266">SUM(AJ100:AJ101)</f>
        <v>72234306</v>
      </c>
      <c r="AK102" s="29">
        <f t="shared" si="266"/>
        <v>76425561</v>
      </c>
      <c r="AL102" s="5"/>
    </row>
    <row r="103" spans="1:38" ht="13.5" customHeight="1" x14ac:dyDescent="0.2">
      <c r="A103" s="15"/>
      <c r="C103" s="2" t="s">
        <v>34</v>
      </c>
      <c r="D103" s="2"/>
      <c r="AL103" s="17"/>
    </row>
    <row r="104" spans="1:38" ht="13.5" customHeight="1" x14ac:dyDescent="0.2">
      <c r="A104" s="15"/>
      <c r="D104" s="1" t="s">
        <v>27</v>
      </c>
      <c r="E104" s="21"/>
      <c r="F104" s="21">
        <f>F31+F66</f>
        <v>2034454</v>
      </c>
      <c r="G104" s="21">
        <f>G31+G66</f>
        <v>1238655</v>
      </c>
      <c r="H104" s="21"/>
      <c r="I104" s="21">
        <f t="shared" ref="I104:AA105" si="267">I31+I66</f>
        <v>1999106</v>
      </c>
      <c r="J104" s="21">
        <f t="shared" si="267"/>
        <v>2181054</v>
      </c>
      <c r="K104" s="21">
        <f t="shared" si="267"/>
        <v>3315984</v>
      </c>
      <c r="L104" s="21">
        <f t="shared" si="267"/>
        <v>3864996</v>
      </c>
      <c r="M104" s="21">
        <f t="shared" si="267"/>
        <v>4624503</v>
      </c>
      <c r="N104" s="21">
        <f t="shared" si="267"/>
        <v>6507617</v>
      </c>
      <c r="O104" s="21">
        <f t="shared" si="267"/>
        <v>7383808</v>
      </c>
      <c r="P104" s="21">
        <f t="shared" si="267"/>
        <v>9830311</v>
      </c>
      <c r="Q104" s="21">
        <f t="shared" si="267"/>
        <v>3416714</v>
      </c>
      <c r="R104" s="21">
        <f t="shared" si="267"/>
        <v>3363779</v>
      </c>
      <c r="S104" s="21">
        <f t="shared" si="267"/>
        <v>4422078</v>
      </c>
      <c r="T104" s="21">
        <f t="shared" si="267"/>
        <v>4124327</v>
      </c>
      <c r="U104" s="21">
        <f t="shared" si="267"/>
        <v>2571159</v>
      </c>
      <c r="V104" s="21">
        <f t="shared" si="267"/>
        <v>2358251</v>
      </c>
      <c r="W104" s="21">
        <f t="shared" si="267"/>
        <v>5050</v>
      </c>
      <c r="X104" s="21">
        <f t="shared" si="267"/>
        <v>10250</v>
      </c>
      <c r="Y104" s="21">
        <f t="shared" si="267"/>
        <v>11900</v>
      </c>
      <c r="Z104" s="21">
        <f t="shared" si="267"/>
        <v>1988305</v>
      </c>
      <c r="AA104" s="21">
        <f t="shared" si="267"/>
        <v>2188134</v>
      </c>
      <c r="AB104" s="21">
        <f t="shared" ref="AB104:AC104" si="268">AB31+AB66</f>
        <v>2705416</v>
      </c>
      <c r="AC104" s="21">
        <f t="shared" si="268"/>
        <v>3157044</v>
      </c>
      <c r="AD104" s="21">
        <f t="shared" ref="AD104:AE104" si="269">AD31+AD66</f>
        <v>3301615</v>
      </c>
      <c r="AE104" s="21">
        <f t="shared" si="269"/>
        <v>3724405</v>
      </c>
      <c r="AF104" s="21">
        <f t="shared" ref="AF104:AG104" si="270">AF31+AF66</f>
        <v>3924693</v>
      </c>
      <c r="AG104" s="21">
        <f t="shared" si="270"/>
        <v>3831419</v>
      </c>
      <c r="AH104" s="21">
        <f t="shared" ref="AH104:AI104" si="271">AH31+AH66</f>
        <v>4260947</v>
      </c>
      <c r="AI104" s="21">
        <f t="shared" si="271"/>
        <v>4186373</v>
      </c>
      <c r="AJ104" s="21">
        <f t="shared" ref="AJ104:AK104" si="272">AJ31+AJ66</f>
        <v>4718192</v>
      </c>
      <c r="AK104" s="21">
        <f t="shared" si="272"/>
        <v>5464274</v>
      </c>
      <c r="AL104" s="17"/>
    </row>
    <row r="105" spans="1:38" ht="13.5" customHeight="1" x14ac:dyDescent="0.2">
      <c r="A105" s="15"/>
      <c r="D105" s="1" t="s">
        <v>28</v>
      </c>
      <c r="E105" s="23"/>
      <c r="F105" s="31" t="s">
        <v>35</v>
      </c>
      <c r="G105" s="31" t="s">
        <v>35</v>
      </c>
      <c r="H105" s="31" t="s">
        <v>35</v>
      </c>
      <c r="I105" s="31" t="s">
        <v>35</v>
      </c>
      <c r="J105" s="31" t="s">
        <v>35</v>
      </c>
      <c r="K105" s="31" t="s">
        <v>35</v>
      </c>
      <c r="L105" s="31" t="s">
        <v>35</v>
      </c>
      <c r="M105" s="31" t="s">
        <v>35</v>
      </c>
      <c r="N105" s="31" t="s">
        <v>35</v>
      </c>
      <c r="O105" s="31" t="s">
        <v>35</v>
      </c>
      <c r="P105" s="31" t="s">
        <v>35</v>
      </c>
      <c r="Q105" s="24">
        <f t="shared" si="267"/>
        <v>8327222</v>
      </c>
      <c r="R105" s="24">
        <f t="shared" si="267"/>
        <v>8713189</v>
      </c>
      <c r="S105" s="24">
        <f t="shared" si="267"/>
        <v>11338357</v>
      </c>
      <c r="T105" s="24">
        <f t="shared" si="267"/>
        <v>10962366</v>
      </c>
      <c r="U105" s="24">
        <f t="shared" si="267"/>
        <v>7571617</v>
      </c>
      <c r="V105" s="24">
        <f t="shared" si="267"/>
        <v>7933244</v>
      </c>
      <c r="W105" s="24">
        <f t="shared" si="267"/>
        <v>7233529</v>
      </c>
      <c r="X105" s="24">
        <f t="shared" si="267"/>
        <v>6722329</v>
      </c>
      <c r="Y105" s="24">
        <f t="shared" si="267"/>
        <v>5607171</v>
      </c>
      <c r="Z105" s="24">
        <f t="shared" si="267"/>
        <v>4884761</v>
      </c>
      <c r="AA105" s="24">
        <f t="shared" si="267"/>
        <v>7917747</v>
      </c>
      <c r="AB105" s="24">
        <f t="shared" ref="AB105:AC105" si="273">AB32+AB67</f>
        <v>7516506</v>
      </c>
      <c r="AC105" s="24">
        <f t="shared" si="273"/>
        <v>5591568</v>
      </c>
      <c r="AD105" s="24">
        <f t="shared" ref="AD105:AE105" si="274">AD32+AD67</f>
        <v>6220208</v>
      </c>
      <c r="AE105" s="24">
        <f t="shared" si="274"/>
        <v>6731482</v>
      </c>
      <c r="AF105" s="24">
        <f t="shared" ref="AF105:AG105" si="275">AF32+AF67</f>
        <v>6133210</v>
      </c>
      <c r="AG105" s="24">
        <f t="shared" si="275"/>
        <v>6541660</v>
      </c>
      <c r="AH105" s="24">
        <f t="shared" ref="AH105:AI105" si="276">AH32+AH67</f>
        <v>5756277</v>
      </c>
      <c r="AI105" s="24">
        <f t="shared" si="276"/>
        <v>6352962</v>
      </c>
      <c r="AJ105" s="24">
        <f t="shared" ref="AJ105:AK105" si="277">AJ32+AJ67</f>
        <v>11152617</v>
      </c>
      <c r="AK105" s="24">
        <f t="shared" si="277"/>
        <v>13025812</v>
      </c>
      <c r="AL105" s="17"/>
    </row>
    <row r="106" spans="1:38" ht="13.5" customHeight="1" x14ac:dyDescent="0.2">
      <c r="A106" s="15"/>
      <c r="F106" s="21">
        <f>SUM(F104:F105)</f>
        <v>2034454</v>
      </c>
      <c r="G106" s="21">
        <f>SUM(G104:G105)</f>
        <v>1238655</v>
      </c>
      <c r="I106" s="21">
        <f t="shared" ref="I106:AA106" si="278">SUM(I104:I105)</f>
        <v>1999106</v>
      </c>
      <c r="J106" s="21">
        <f t="shared" si="278"/>
        <v>2181054</v>
      </c>
      <c r="K106" s="21">
        <f t="shared" si="278"/>
        <v>3315984</v>
      </c>
      <c r="L106" s="21">
        <f t="shared" si="278"/>
        <v>3864996</v>
      </c>
      <c r="M106" s="21">
        <f t="shared" ref="M106:O106" si="279">M104</f>
        <v>4624503</v>
      </c>
      <c r="N106" s="21">
        <f t="shared" si="279"/>
        <v>6507617</v>
      </c>
      <c r="O106" s="21">
        <f t="shared" si="279"/>
        <v>7383808</v>
      </c>
      <c r="P106" s="21">
        <f>P104</f>
        <v>9830311</v>
      </c>
      <c r="Q106" s="21">
        <f t="shared" si="278"/>
        <v>11743936</v>
      </c>
      <c r="R106" s="21">
        <f t="shared" si="278"/>
        <v>12076968</v>
      </c>
      <c r="S106" s="21">
        <f t="shared" si="278"/>
        <v>15760435</v>
      </c>
      <c r="T106" s="21">
        <f t="shared" si="278"/>
        <v>15086693</v>
      </c>
      <c r="U106" s="21">
        <f t="shared" si="278"/>
        <v>10142776</v>
      </c>
      <c r="V106" s="21">
        <f t="shared" si="278"/>
        <v>10291495</v>
      </c>
      <c r="W106" s="21">
        <f t="shared" si="278"/>
        <v>7238579</v>
      </c>
      <c r="X106" s="21">
        <f t="shared" si="278"/>
        <v>6732579</v>
      </c>
      <c r="Y106" s="21">
        <f t="shared" si="278"/>
        <v>5619071</v>
      </c>
      <c r="Z106" s="21">
        <f t="shared" si="278"/>
        <v>6873066</v>
      </c>
      <c r="AA106" s="21">
        <f t="shared" si="278"/>
        <v>10105881</v>
      </c>
      <c r="AB106" s="21">
        <f t="shared" ref="AB106:AC106" si="280">SUM(AB104:AB105)</f>
        <v>10221922</v>
      </c>
      <c r="AC106" s="21">
        <f t="shared" si="280"/>
        <v>8748612</v>
      </c>
      <c r="AD106" s="21">
        <f t="shared" ref="AD106:AE106" si="281">SUM(AD104:AD105)</f>
        <v>9521823</v>
      </c>
      <c r="AE106" s="21">
        <f t="shared" si="281"/>
        <v>10455887</v>
      </c>
      <c r="AF106" s="21">
        <f t="shared" ref="AF106:AG106" si="282">SUM(AF104:AF105)</f>
        <v>10057903</v>
      </c>
      <c r="AG106" s="21">
        <f t="shared" si="282"/>
        <v>10373079</v>
      </c>
      <c r="AH106" s="21">
        <f t="shared" ref="AH106:AI106" si="283">SUM(AH104:AH105)</f>
        <v>10017224</v>
      </c>
      <c r="AI106" s="21">
        <f t="shared" si="283"/>
        <v>10539335</v>
      </c>
      <c r="AJ106" s="21">
        <f t="shared" ref="AJ106:AK106" si="284">SUM(AJ104:AJ105)</f>
        <v>15870809</v>
      </c>
      <c r="AK106" s="21">
        <f t="shared" si="284"/>
        <v>18490086</v>
      </c>
      <c r="AL106" s="17"/>
    </row>
    <row r="107" spans="1:38" ht="13.5" customHeight="1" x14ac:dyDescent="0.2">
      <c r="A107" s="15"/>
      <c r="C107" s="2" t="s">
        <v>36</v>
      </c>
      <c r="D107" s="2"/>
      <c r="AL107" s="17"/>
    </row>
    <row r="108" spans="1:38" ht="13.5" customHeight="1" x14ac:dyDescent="0.2">
      <c r="A108" s="15"/>
      <c r="D108" s="1" t="s">
        <v>27</v>
      </c>
      <c r="E108" s="21"/>
      <c r="F108" s="21">
        <f>F84+F91+F97+F104</f>
        <v>15635527</v>
      </c>
      <c r="G108" s="21">
        <f>G84+G91+G97+G104</f>
        <v>15349435</v>
      </c>
      <c r="H108" s="21"/>
      <c r="I108" s="21">
        <f t="shared" ref="I108:AA109" si="285">I84+I91+I97+I104</f>
        <v>21582140</v>
      </c>
      <c r="J108" s="21">
        <f t="shared" si="285"/>
        <v>21673545</v>
      </c>
      <c r="K108" s="21">
        <f t="shared" si="285"/>
        <v>24935928</v>
      </c>
      <c r="L108" s="21">
        <f t="shared" si="285"/>
        <v>26680025</v>
      </c>
      <c r="M108" s="21">
        <f t="shared" si="285"/>
        <v>29943025</v>
      </c>
      <c r="N108" s="21">
        <f t="shared" si="285"/>
        <v>33453436</v>
      </c>
      <c r="O108" s="21">
        <f t="shared" si="285"/>
        <v>37759034</v>
      </c>
      <c r="P108" s="21">
        <f t="shared" si="285"/>
        <v>41825682</v>
      </c>
      <c r="Q108" s="21">
        <f t="shared" si="285"/>
        <v>36931734</v>
      </c>
      <c r="R108" s="21">
        <f t="shared" si="285"/>
        <v>39934229</v>
      </c>
      <c r="S108" s="21">
        <f t="shared" si="285"/>
        <v>43358962</v>
      </c>
      <c r="T108" s="21">
        <f t="shared" si="285"/>
        <v>45264718</v>
      </c>
      <c r="U108" s="21">
        <f t="shared" si="285"/>
        <v>44598756</v>
      </c>
      <c r="V108" s="21">
        <f t="shared" si="285"/>
        <v>46400128</v>
      </c>
      <c r="W108" s="21">
        <f t="shared" si="285"/>
        <v>50062494</v>
      </c>
      <c r="X108" s="21">
        <f t="shared" si="285"/>
        <v>50363727</v>
      </c>
      <c r="Y108" s="21">
        <f t="shared" si="285"/>
        <v>50547218</v>
      </c>
      <c r="Z108" s="21">
        <f t="shared" si="285"/>
        <v>53908891</v>
      </c>
      <c r="AA108" s="21">
        <f t="shared" si="285"/>
        <v>53917469</v>
      </c>
      <c r="AB108" s="21">
        <f t="shared" ref="AB108:AC108" si="286">AB84+AB91+AB97+AB104</f>
        <v>55769836</v>
      </c>
      <c r="AC108" s="21">
        <f t="shared" si="286"/>
        <v>60649105</v>
      </c>
      <c r="AD108" s="21">
        <f t="shared" ref="AD108:AE108" si="287">AD84+AD91+AD97+AD104</f>
        <v>60900372</v>
      </c>
      <c r="AE108" s="21">
        <f t="shared" si="287"/>
        <v>66388335</v>
      </c>
      <c r="AF108" s="21">
        <f t="shared" ref="AF108:AG108" si="288">AF84+AF91+AF97+AF104</f>
        <v>64408230</v>
      </c>
      <c r="AG108" s="21">
        <f t="shared" si="288"/>
        <v>71449494</v>
      </c>
      <c r="AH108" s="21">
        <f t="shared" ref="AH108:AI108" si="289">AH84+AH91+AH97+AH104</f>
        <v>76795125</v>
      </c>
      <c r="AI108" s="21">
        <f t="shared" si="289"/>
        <v>83174375</v>
      </c>
      <c r="AJ108" s="21">
        <f t="shared" ref="AJ108:AK108" si="290">AJ84+AJ91+AJ97+AJ104</f>
        <v>90114337</v>
      </c>
      <c r="AK108" s="21">
        <f t="shared" si="290"/>
        <v>96119656</v>
      </c>
      <c r="AL108" s="5"/>
    </row>
    <row r="109" spans="1:38" ht="13.5" customHeight="1" x14ac:dyDescent="0.2">
      <c r="A109" s="3"/>
      <c r="D109" s="1" t="s">
        <v>28</v>
      </c>
      <c r="E109" s="23"/>
      <c r="F109" s="23">
        <f>F85+F92+F98</f>
        <v>20260900</v>
      </c>
      <c r="G109" s="23">
        <f>G85+G92+G98</f>
        <v>25475104</v>
      </c>
      <c r="H109" s="23"/>
      <c r="I109" s="23">
        <f t="shared" ref="I109:N109" si="291">I85+I92+I98</f>
        <v>37615848</v>
      </c>
      <c r="J109" s="23">
        <f t="shared" si="291"/>
        <v>45988624</v>
      </c>
      <c r="K109" s="23">
        <f t="shared" si="291"/>
        <v>49765488</v>
      </c>
      <c r="L109" s="23">
        <f t="shared" si="291"/>
        <v>49615046</v>
      </c>
      <c r="M109" s="23">
        <f t="shared" si="291"/>
        <v>52300712</v>
      </c>
      <c r="N109" s="23">
        <f t="shared" si="291"/>
        <v>51999031</v>
      </c>
      <c r="O109" s="23">
        <f>O85+O92+O98</f>
        <v>55165909</v>
      </c>
      <c r="P109" s="23">
        <f>P85+P92+P98</f>
        <v>66358986</v>
      </c>
      <c r="Q109" s="23">
        <f>Q85+Q92+Q98+Q105</f>
        <v>87392122</v>
      </c>
      <c r="R109" s="23">
        <f>R85+R92+R98+R105</f>
        <v>95234373</v>
      </c>
      <c r="S109" s="23">
        <f>S85+S92+S98+S105</f>
        <v>102100520</v>
      </c>
      <c r="T109" s="23">
        <f>T85+T92+T98+T105</f>
        <v>102897031</v>
      </c>
      <c r="U109" s="23">
        <f t="shared" si="285"/>
        <v>104982850</v>
      </c>
      <c r="V109" s="23">
        <f t="shared" si="285"/>
        <v>116353121</v>
      </c>
      <c r="W109" s="23">
        <f t="shared" si="285"/>
        <v>131603195</v>
      </c>
      <c r="X109" s="23">
        <f t="shared" si="285"/>
        <v>139676437</v>
      </c>
      <c r="Y109" s="23">
        <f t="shared" si="285"/>
        <v>141316159</v>
      </c>
      <c r="Z109" s="23">
        <f t="shared" si="285"/>
        <v>136620221</v>
      </c>
      <c r="AA109" s="23">
        <f t="shared" si="285"/>
        <v>137981830</v>
      </c>
      <c r="AB109" s="23">
        <f t="shared" ref="AB109:AC109" si="292">AB85+AB92+AB98+AB105</f>
        <v>127853097</v>
      </c>
      <c r="AC109" s="23">
        <f t="shared" si="292"/>
        <v>122379785</v>
      </c>
      <c r="AD109" s="23">
        <f t="shared" ref="AD109:AE109" si="293">AD85+AD92+AD98+AD105</f>
        <v>122563780</v>
      </c>
      <c r="AE109" s="23">
        <f t="shared" si="293"/>
        <v>122435049</v>
      </c>
      <c r="AF109" s="23">
        <f t="shared" ref="AF109:AG109" si="294">AF85+AF92+AF98+AF105</f>
        <v>119294015</v>
      </c>
      <c r="AG109" s="23">
        <f t="shared" si="294"/>
        <v>117395900</v>
      </c>
      <c r="AH109" s="23">
        <f t="shared" ref="AH109:AI109" si="295">AH85+AH92+AH98+AH105</f>
        <v>112273729</v>
      </c>
      <c r="AI109" s="23">
        <f t="shared" si="295"/>
        <v>111794672</v>
      </c>
      <c r="AJ109" s="23">
        <f t="shared" ref="AJ109:AK109" si="296">AJ85+AJ92+AJ98+AJ105</f>
        <v>116295406</v>
      </c>
      <c r="AK109" s="23">
        <f t="shared" si="296"/>
        <v>119341815</v>
      </c>
      <c r="AL109" s="5"/>
    </row>
    <row r="110" spans="1:38" ht="13.5" customHeight="1" x14ac:dyDescent="0.2">
      <c r="A110" s="3"/>
      <c r="D110" s="1" t="s">
        <v>29</v>
      </c>
      <c r="E110" s="23"/>
      <c r="F110" s="24">
        <f>F86+F99</f>
        <v>5095235</v>
      </c>
      <c r="G110" s="24">
        <f>G86+G99</f>
        <v>5353339</v>
      </c>
      <c r="H110" s="24"/>
      <c r="I110" s="24">
        <f t="shared" ref="I110:AA110" si="297">I86+I99</f>
        <v>5188427</v>
      </c>
      <c r="J110" s="24">
        <f t="shared" si="297"/>
        <v>4992757</v>
      </c>
      <c r="K110" s="24">
        <f t="shared" si="297"/>
        <v>6781490</v>
      </c>
      <c r="L110" s="24">
        <f t="shared" si="297"/>
        <v>5250460</v>
      </c>
      <c r="M110" s="24">
        <f t="shared" si="297"/>
        <v>5386573</v>
      </c>
      <c r="N110" s="24">
        <f t="shared" si="297"/>
        <v>4978695</v>
      </c>
      <c r="O110" s="24">
        <f t="shared" si="297"/>
        <v>4960206</v>
      </c>
      <c r="P110" s="24">
        <f t="shared" si="297"/>
        <v>2888051</v>
      </c>
      <c r="Q110" s="24">
        <f t="shared" si="297"/>
        <v>3208167</v>
      </c>
      <c r="R110" s="24">
        <f t="shared" si="297"/>
        <v>3723559</v>
      </c>
      <c r="S110" s="24">
        <f t="shared" si="297"/>
        <v>3479369</v>
      </c>
      <c r="T110" s="24">
        <f t="shared" si="297"/>
        <v>4252536</v>
      </c>
      <c r="U110" s="24">
        <f t="shared" si="297"/>
        <v>8445648</v>
      </c>
      <c r="V110" s="24">
        <f t="shared" si="297"/>
        <v>9443229</v>
      </c>
      <c r="W110" s="24">
        <f t="shared" si="297"/>
        <v>10126812</v>
      </c>
      <c r="X110" s="24">
        <f t="shared" si="297"/>
        <v>10106544</v>
      </c>
      <c r="Y110" s="24">
        <f t="shared" si="297"/>
        <v>10368726</v>
      </c>
      <c r="Z110" s="24">
        <f t="shared" si="297"/>
        <v>10229631</v>
      </c>
      <c r="AA110" s="24">
        <f t="shared" si="297"/>
        <v>10339382</v>
      </c>
      <c r="AB110" s="24">
        <f t="shared" ref="AB110:AC110" si="298">AB86+AB99</f>
        <v>10252580</v>
      </c>
      <c r="AC110" s="24">
        <f t="shared" si="298"/>
        <v>10699550</v>
      </c>
      <c r="AD110" s="24">
        <f t="shared" ref="AD110:AE110" si="299">AD86+AD99</f>
        <v>10724510</v>
      </c>
      <c r="AE110" s="24">
        <f t="shared" si="299"/>
        <v>10445393</v>
      </c>
      <c r="AF110" s="24">
        <f t="shared" ref="AF110:AG110" si="300">AF86+AF99</f>
        <v>10190779</v>
      </c>
      <c r="AG110" s="24">
        <f t="shared" si="300"/>
        <v>9866165</v>
      </c>
      <c r="AH110" s="24">
        <f t="shared" ref="AH110:AI110" si="301">AH86+AH99</f>
        <v>8312925</v>
      </c>
      <c r="AI110" s="24">
        <f t="shared" si="301"/>
        <v>9685266</v>
      </c>
      <c r="AJ110" s="24">
        <f t="shared" ref="AJ110:AK110" si="302">AJ86+AJ99</f>
        <v>10894567</v>
      </c>
      <c r="AK110" s="24">
        <f t="shared" si="302"/>
        <v>13073132</v>
      </c>
      <c r="AL110" s="5"/>
    </row>
    <row r="111" spans="1:38" ht="13.5" customHeight="1" x14ac:dyDescent="0.2">
      <c r="A111" s="3"/>
      <c r="E111" s="21"/>
      <c r="F111" s="21">
        <f>SUM(F108:F110)</f>
        <v>40991662</v>
      </c>
      <c r="G111" s="21">
        <f>SUM(G108:G110)</f>
        <v>46177878</v>
      </c>
      <c r="H111" s="21">
        <f>H38+H73</f>
        <v>56042169</v>
      </c>
      <c r="I111" s="21">
        <f t="shared" ref="I111:AA111" si="303">SUM(I108:I110)</f>
        <v>64386415</v>
      </c>
      <c r="J111" s="21">
        <f t="shared" si="303"/>
        <v>72654926</v>
      </c>
      <c r="K111" s="21">
        <f t="shared" si="303"/>
        <v>81482906</v>
      </c>
      <c r="L111" s="21">
        <f t="shared" si="303"/>
        <v>81545531</v>
      </c>
      <c r="M111" s="21">
        <f t="shared" si="303"/>
        <v>87630310</v>
      </c>
      <c r="N111" s="21">
        <f t="shared" si="303"/>
        <v>90431162</v>
      </c>
      <c r="O111" s="21">
        <f t="shared" si="303"/>
        <v>97885149</v>
      </c>
      <c r="P111" s="21">
        <f t="shared" si="303"/>
        <v>111072719</v>
      </c>
      <c r="Q111" s="21">
        <f t="shared" si="303"/>
        <v>127532023</v>
      </c>
      <c r="R111" s="21">
        <f t="shared" si="303"/>
        <v>138892161</v>
      </c>
      <c r="S111" s="21">
        <f t="shared" si="303"/>
        <v>148938851</v>
      </c>
      <c r="T111" s="21">
        <f t="shared" si="303"/>
        <v>152414285</v>
      </c>
      <c r="U111" s="21">
        <f t="shared" si="303"/>
        <v>158027254</v>
      </c>
      <c r="V111" s="21">
        <f t="shared" si="303"/>
        <v>172196478</v>
      </c>
      <c r="W111" s="21">
        <f t="shared" si="303"/>
        <v>191792501</v>
      </c>
      <c r="X111" s="21">
        <f t="shared" si="303"/>
        <v>200146708</v>
      </c>
      <c r="Y111" s="21">
        <f t="shared" si="303"/>
        <v>202232103</v>
      </c>
      <c r="Z111" s="21">
        <f t="shared" si="303"/>
        <v>200758743</v>
      </c>
      <c r="AA111" s="21">
        <f t="shared" si="303"/>
        <v>202238681</v>
      </c>
      <c r="AB111" s="21">
        <f t="shared" ref="AB111:AC111" si="304">SUM(AB108:AB110)</f>
        <v>193875513</v>
      </c>
      <c r="AC111" s="21">
        <f t="shared" si="304"/>
        <v>193728440</v>
      </c>
      <c r="AD111" s="21">
        <f t="shared" ref="AD111:AE111" si="305">SUM(AD108:AD110)</f>
        <v>194188662</v>
      </c>
      <c r="AE111" s="21">
        <f t="shared" si="305"/>
        <v>199268777</v>
      </c>
      <c r="AF111" s="21">
        <f t="shared" ref="AF111:AG111" si="306">SUM(AF108:AF110)</f>
        <v>193893024</v>
      </c>
      <c r="AG111" s="21">
        <f t="shared" si="306"/>
        <v>198711559</v>
      </c>
      <c r="AH111" s="21">
        <f t="shared" ref="AH111:AI111" si="307">SUM(AH108:AH110)</f>
        <v>197381779</v>
      </c>
      <c r="AI111" s="21">
        <f t="shared" si="307"/>
        <v>204654313</v>
      </c>
      <c r="AJ111" s="21">
        <f t="shared" ref="AJ111:AK111" si="308">SUM(AJ108:AJ110)</f>
        <v>217304310</v>
      </c>
      <c r="AK111" s="21">
        <f t="shared" si="308"/>
        <v>228534603</v>
      </c>
      <c r="AL111" s="5"/>
    </row>
    <row r="112" spans="1:38" ht="13.5" customHeight="1" x14ac:dyDescent="0.2">
      <c r="A112" s="3"/>
      <c r="C112" s="2" t="s">
        <v>37</v>
      </c>
      <c r="D112" s="2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5"/>
    </row>
    <row r="113" spans="1:38" ht="13.5" customHeight="1" x14ac:dyDescent="0.2">
      <c r="A113" s="3"/>
      <c r="D113" s="1" t="s">
        <v>38</v>
      </c>
      <c r="E113" s="21"/>
      <c r="F113" s="32">
        <f>F40+F75</f>
        <v>3394</v>
      </c>
      <c r="G113" s="32">
        <f>G40+G75</f>
        <v>3378</v>
      </c>
      <c r="H113" s="21"/>
      <c r="I113" s="32">
        <f t="shared" ref="I113:T114" si="309">I40+I75</f>
        <v>3978</v>
      </c>
      <c r="J113" s="32">
        <f t="shared" si="309"/>
        <v>4470</v>
      </c>
      <c r="K113" s="32">
        <f t="shared" si="309"/>
        <v>4683</v>
      </c>
      <c r="L113" s="32">
        <f t="shared" si="309"/>
        <v>4690</v>
      </c>
      <c r="M113" s="32">
        <f t="shared" si="309"/>
        <v>5181</v>
      </c>
      <c r="N113" s="32">
        <f t="shared" si="309"/>
        <v>5265</v>
      </c>
      <c r="O113" s="32">
        <f t="shared" si="309"/>
        <v>5179</v>
      </c>
      <c r="P113" s="32">
        <f t="shared" si="309"/>
        <v>5937</v>
      </c>
      <c r="Q113" s="32">
        <f t="shared" si="309"/>
        <v>6612</v>
      </c>
      <c r="R113" s="32">
        <f t="shared" si="309"/>
        <v>7003</v>
      </c>
      <c r="S113" s="32">
        <f t="shared" si="309"/>
        <v>7197</v>
      </c>
      <c r="T113" s="32">
        <f t="shared" si="309"/>
        <v>7032</v>
      </c>
      <c r="U113" s="32">
        <v>7035</v>
      </c>
      <c r="V113" s="32">
        <f t="shared" ref="V113:AA114" si="310">V40+V75</f>
        <v>7320</v>
      </c>
      <c r="W113" s="32">
        <f t="shared" si="310"/>
        <v>8169</v>
      </c>
      <c r="X113" s="32">
        <f t="shared" si="310"/>
        <v>8749</v>
      </c>
      <c r="Y113" s="32">
        <f t="shared" si="310"/>
        <v>8944</v>
      </c>
      <c r="Z113" s="32">
        <f t="shared" si="310"/>
        <v>6198</v>
      </c>
      <c r="AA113" s="32">
        <f t="shared" si="310"/>
        <v>6152</v>
      </c>
      <c r="AB113" s="32">
        <f t="shared" ref="AB113:AC113" si="311">AB40+AB75</f>
        <v>5756</v>
      </c>
      <c r="AC113" s="32">
        <f t="shared" si="311"/>
        <v>5465</v>
      </c>
      <c r="AD113" s="32">
        <f t="shared" ref="AD113:AE113" si="312">AD40+AD75</f>
        <v>5187</v>
      </c>
      <c r="AE113" s="32">
        <f t="shared" si="312"/>
        <v>5164</v>
      </c>
      <c r="AF113" s="32">
        <f t="shared" ref="AF113:AG113" si="313">AF40+AF75</f>
        <v>4995</v>
      </c>
      <c r="AG113" s="32">
        <f t="shared" si="313"/>
        <v>4744</v>
      </c>
      <c r="AH113" s="32">
        <f t="shared" ref="AH113" si="314">AH40+AH75</f>
        <v>4428</v>
      </c>
      <c r="AI113" s="32">
        <v>4370</v>
      </c>
      <c r="AJ113" s="32">
        <v>4230</v>
      </c>
      <c r="AK113" s="32">
        <v>4585</v>
      </c>
      <c r="AL113" s="5"/>
    </row>
    <row r="114" spans="1:38" ht="13.5" customHeight="1" x14ac:dyDescent="0.2">
      <c r="A114" s="3"/>
      <c r="D114" s="1" t="s">
        <v>39</v>
      </c>
      <c r="E114" s="21"/>
      <c r="F114" s="33">
        <f>F41+F76</f>
        <v>3666</v>
      </c>
      <c r="G114" s="33">
        <f>G41+G76</f>
        <v>4743</v>
      </c>
      <c r="H114" s="48"/>
      <c r="I114" s="33">
        <f t="shared" si="309"/>
        <v>9550</v>
      </c>
      <c r="J114" s="33">
        <f t="shared" si="309"/>
        <v>7992</v>
      </c>
      <c r="K114" s="33">
        <f t="shared" si="309"/>
        <v>5115</v>
      </c>
      <c r="L114" s="33">
        <f t="shared" si="309"/>
        <v>5512</v>
      </c>
      <c r="M114" s="33">
        <f t="shared" si="309"/>
        <v>4770</v>
      </c>
      <c r="N114" s="33">
        <f t="shared" si="309"/>
        <v>4934</v>
      </c>
      <c r="O114" s="33">
        <f t="shared" si="309"/>
        <v>5399</v>
      </c>
      <c r="P114" s="33">
        <f t="shared" si="309"/>
        <v>5543</v>
      </c>
      <c r="Q114" s="33">
        <f t="shared" si="309"/>
        <v>4864</v>
      </c>
      <c r="R114" s="33">
        <f t="shared" si="309"/>
        <v>4466</v>
      </c>
      <c r="S114" s="33">
        <f t="shared" si="309"/>
        <v>4567</v>
      </c>
      <c r="T114" s="33">
        <f t="shared" si="309"/>
        <v>4534</v>
      </c>
      <c r="U114" s="33">
        <v>3073</v>
      </c>
      <c r="V114" s="33">
        <f t="shared" si="310"/>
        <v>3948</v>
      </c>
      <c r="W114" s="33">
        <f t="shared" si="310"/>
        <v>3895</v>
      </c>
      <c r="X114" s="33">
        <f t="shared" si="310"/>
        <v>3296</v>
      </c>
      <c r="Y114" s="33">
        <f t="shared" si="310"/>
        <v>3061</v>
      </c>
      <c r="Z114" s="33">
        <f t="shared" si="310"/>
        <v>5668</v>
      </c>
      <c r="AA114" s="33">
        <f t="shared" si="310"/>
        <v>5735</v>
      </c>
      <c r="AB114" s="33">
        <f t="shared" ref="AB114:AC114" si="315">AB41+AB76</f>
        <v>5642</v>
      </c>
      <c r="AC114" s="33">
        <f t="shared" si="315"/>
        <v>5679</v>
      </c>
      <c r="AD114" s="33">
        <f t="shared" ref="AD114:AE114" si="316">AD41+AD76</f>
        <v>5870</v>
      </c>
      <c r="AE114" s="33">
        <f t="shared" si="316"/>
        <v>5818</v>
      </c>
      <c r="AF114" s="33">
        <f t="shared" ref="AF114:AG114" si="317">AF41+AF76</f>
        <v>5891</v>
      </c>
      <c r="AG114" s="33">
        <f t="shared" si="317"/>
        <v>6576</v>
      </c>
      <c r="AH114" s="33">
        <f t="shared" ref="AH114" si="318">AH41+AH76</f>
        <v>7013</v>
      </c>
      <c r="AI114" s="33">
        <v>7540</v>
      </c>
      <c r="AJ114" s="33">
        <v>7629</v>
      </c>
      <c r="AK114" s="33">
        <v>6933</v>
      </c>
      <c r="AL114" s="5"/>
    </row>
    <row r="115" spans="1:38" ht="13.5" customHeight="1" x14ac:dyDescent="0.2">
      <c r="A115" s="3"/>
      <c r="F115" s="32">
        <f>SUM(F113:F114)</f>
        <v>7060</v>
      </c>
      <c r="G115" s="32">
        <f>SUM(G113:G114)</f>
        <v>8121</v>
      </c>
      <c r="I115" s="32">
        <f t="shared" ref="I115:AA115" si="319">SUM(I113:I114)</f>
        <v>13528</v>
      </c>
      <c r="J115" s="32">
        <f t="shared" si="319"/>
        <v>12462</v>
      </c>
      <c r="K115" s="32">
        <f t="shared" si="319"/>
        <v>9798</v>
      </c>
      <c r="L115" s="32">
        <f t="shared" si="319"/>
        <v>10202</v>
      </c>
      <c r="M115" s="32">
        <f t="shared" si="319"/>
        <v>9951</v>
      </c>
      <c r="N115" s="32">
        <f t="shared" si="319"/>
        <v>10199</v>
      </c>
      <c r="O115" s="32">
        <f t="shared" si="319"/>
        <v>10578</v>
      </c>
      <c r="P115" s="32">
        <f t="shared" si="319"/>
        <v>11480</v>
      </c>
      <c r="Q115" s="32">
        <f t="shared" si="319"/>
        <v>11476</v>
      </c>
      <c r="R115" s="32">
        <f t="shared" si="319"/>
        <v>11469</v>
      </c>
      <c r="S115" s="32">
        <f t="shared" si="319"/>
        <v>11764</v>
      </c>
      <c r="T115" s="32">
        <f t="shared" si="319"/>
        <v>11566</v>
      </c>
      <c r="U115" s="32">
        <f t="shared" si="319"/>
        <v>10108</v>
      </c>
      <c r="V115" s="32">
        <f t="shared" si="319"/>
        <v>11268</v>
      </c>
      <c r="W115" s="32">
        <f t="shared" si="319"/>
        <v>12064</v>
      </c>
      <c r="X115" s="32">
        <f t="shared" si="319"/>
        <v>12045</v>
      </c>
      <c r="Y115" s="32">
        <f t="shared" si="319"/>
        <v>12005</v>
      </c>
      <c r="Z115" s="32">
        <f t="shared" si="319"/>
        <v>11866</v>
      </c>
      <c r="AA115" s="32">
        <f t="shared" si="319"/>
        <v>11887</v>
      </c>
      <c r="AB115" s="32">
        <f t="shared" ref="AB115:AC115" si="320">SUM(AB113:AB114)</f>
        <v>11398</v>
      </c>
      <c r="AC115" s="32">
        <f t="shared" si="320"/>
        <v>11144</v>
      </c>
      <c r="AD115" s="32">
        <f t="shared" ref="AD115:AE115" si="321">SUM(AD113:AD114)</f>
        <v>11057</v>
      </c>
      <c r="AE115" s="32">
        <f t="shared" si="321"/>
        <v>10982</v>
      </c>
      <c r="AF115" s="32">
        <f t="shared" ref="AF115:AG115" si="322">SUM(AF113:AF114)</f>
        <v>10886</v>
      </c>
      <c r="AG115" s="32">
        <f t="shared" si="322"/>
        <v>11320</v>
      </c>
      <c r="AH115" s="32">
        <f t="shared" ref="AH115:AI115" si="323">SUM(AH113:AH114)</f>
        <v>11441</v>
      </c>
      <c r="AI115" s="32">
        <f t="shared" si="323"/>
        <v>11910</v>
      </c>
      <c r="AJ115" s="32">
        <f t="shared" ref="AJ115:AK115" si="324">SUM(AJ113:AJ114)</f>
        <v>11859</v>
      </c>
      <c r="AK115" s="32">
        <f t="shared" si="324"/>
        <v>11518</v>
      </c>
      <c r="AL115" s="5"/>
    </row>
    <row r="116" spans="1:38" ht="13.5" customHeight="1" x14ac:dyDescent="0.2">
      <c r="A116" s="3"/>
      <c r="B116" s="12"/>
      <c r="C116" s="12"/>
      <c r="D116" s="12"/>
      <c r="E116" s="12"/>
      <c r="F116" s="12"/>
      <c r="G116" s="12"/>
      <c r="H116" s="12"/>
      <c r="I116" s="12"/>
      <c r="J116" s="12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5"/>
    </row>
    <row r="117" spans="1:38" ht="13.5" customHeight="1" x14ac:dyDescent="0.2">
      <c r="A117" s="3"/>
      <c r="AL117" s="5"/>
    </row>
    <row r="118" spans="1:38" ht="13.5" customHeight="1" x14ac:dyDescent="0.2">
      <c r="A118" s="3"/>
      <c r="B118" s="1" t="s">
        <v>42</v>
      </c>
      <c r="AL118" s="5"/>
    </row>
    <row r="119" spans="1:38" ht="13.5" customHeight="1" x14ac:dyDescent="0.2">
      <c r="A119" s="3"/>
      <c r="AL119" s="5"/>
    </row>
    <row r="120" spans="1:38" ht="13.5" customHeight="1" x14ac:dyDescent="0.2">
      <c r="A120" s="3"/>
      <c r="B120" s="1" t="s">
        <v>43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5"/>
    </row>
    <row r="121" spans="1:38" ht="13.5" customHeight="1" x14ac:dyDescent="0.2">
      <c r="A121" s="3"/>
      <c r="B121" s="1" t="s">
        <v>44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5"/>
    </row>
    <row r="122" spans="1:38" ht="13.5" customHeight="1" x14ac:dyDescent="0.2">
      <c r="A122" s="3"/>
      <c r="B122" s="1" t="s">
        <v>45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5"/>
    </row>
    <row r="123" spans="1:38" ht="13.5" customHeight="1" x14ac:dyDescent="0.2">
      <c r="A123" s="3"/>
      <c r="AL123" s="5"/>
    </row>
    <row r="124" spans="1:38" ht="13.5" customHeight="1" x14ac:dyDescent="0.25">
      <c r="A124" s="39"/>
      <c r="B124" s="69" t="s">
        <v>46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70"/>
      <c r="AE124" s="71"/>
      <c r="AF124" s="71"/>
      <c r="AG124" s="40"/>
      <c r="AH124" s="40"/>
      <c r="AI124" s="40"/>
      <c r="AJ124" s="40"/>
      <c r="AK124" s="40" t="s">
        <v>61</v>
      </c>
      <c r="AL124" s="41"/>
    </row>
    <row r="126" spans="1:38" ht="13.5" customHeight="1" x14ac:dyDescent="0.2">
      <c r="AC126" s="46"/>
      <c r="AD126" s="46"/>
      <c r="AE126" s="46"/>
      <c r="AF126" s="46"/>
      <c r="AG126" s="21"/>
      <c r="AH126" s="21"/>
      <c r="AI126" s="21"/>
      <c r="AJ126" s="21">
        <f>AJ111/AJ115</f>
        <v>18323.999494055148</v>
      </c>
      <c r="AK126" s="21">
        <f>AK111/AK115</f>
        <v>19841.517885049489</v>
      </c>
    </row>
    <row r="127" spans="1:38" ht="13.5" customHeight="1" x14ac:dyDescent="0.2">
      <c r="AF127" s="21"/>
      <c r="AG127" s="21"/>
      <c r="AH127" s="21"/>
      <c r="AI127" s="21"/>
      <c r="AJ127" s="21"/>
      <c r="AK127" s="21"/>
    </row>
    <row r="128" spans="1:38" ht="13.5" customHeight="1" x14ac:dyDescent="0.2">
      <c r="AA128" s="46"/>
      <c r="AB128" s="46"/>
      <c r="AC128" s="46"/>
      <c r="AD128" s="46"/>
      <c r="AE128" s="46"/>
      <c r="AF128" s="46"/>
      <c r="AG128" s="46"/>
      <c r="AH128" s="46"/>
      <c r="AI128" s="46"/>
      <c r="AJ128" s="46"/>
      <c r="AK128" s="46"/>
    </row>
    <row r="133" spans="8:39" ht="13.5" customHeight="1" x14ac:dyDescent="0.2"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</row>
    <row r="134" spans="8:39" ht="13.5" customHeight="1" x14ac:dyDescent="0.2"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</row>
    <row r="135" spans="8:39" ht="13.5" customHeight="1" x14ac:dyDescent="0.2"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</row>
    <row r="136" spans="8:39" ht="13.5" customHeight="1" x14ac:dyDescent="0.2"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</row>
    <row r="137" spans="8:39" ht="13.5" customHeight="1" x14ac:dyDescent="0.2"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</row>
  </sheetData>
  <mergeCells count="2">
    <mergeCell ref="A2:AL2"/>
    <mergeCell ref="B124:AF124"/>
  </mergeCells>
  <hyperlinks>
    <hyperlink ref="B124:AC124" r:id="rId1" display="Source: DHE 14-1, Student Financial Aid Awarded" xr:uid="{EFC770B0-9EF9-40CA-9568-3780FC4BBEE8}"/>
    <hyperlink ref="B124:AD124" r:id="rId2" display="Source: DHE 14-1, Student Financial Aid Awarded" xr:uid="{8B8429C8-1075-4DBA-BDE7-38E7C1842038}"/>
  </hyperlinks>
  <printOptions horizontalCentered="1"/>
  <pageMargins left="0.7" right="0.45" top="0.5" bottom="0.25" header="0.5" footer="0.5"/>
  <pageSetup scale="77" orientation="portrait" verticalDpi="300" r:id="rId3"/>
  <headerFooter alignWithMargins="0"/>
  <rowBreaks count="1" manualBreakCount="1">
    <brk id="78" max="16383" man="1"/>
  </rowBreaks>
  <ignoredErrors>
    <ignoredError sqref="F87:AA106 H111 AB100 AB87 AB93:AB94 AA54 AC87:AC103 AD87:AD114 AE87:AE100 AF87 AF93:AF94 AF100 AG87:AG103 AH87:AH102 AI87:AI105 AJ87:AJ108 AK87:AK11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/>
  <dimension ref="A2:AN137"/>
  <sheetViews>
    <sheetView zoomScaleNormal="100" workbookViewId="0"/>
  </sheetViews>
  <sheetFormatPr defaultColWidth="10.85546875" defaultRowHeight="13.5" customHeight="1" x14ac:dyDescent="0.2"/>
  <cols>
    <col min="1" max="3" width="2.7109375" style="1" customWidth="1"/>
    <col min="4" max="4" width="13.7109375" style="1" customWidth="1"/>
    <col min="5" max="5" width="3.7109375" style="1" customWidth="1"/>
    <col min="6" max="31" width="13.7109375" style="1" hidden="1" customWidth="1"/>
    <col min="32" max="37" width="13.7109375" style="1" customWidth="1"/>
    <col min="38" max="38" width="2.7109375" style="1" customWidth="1"/>
    <col min="39" max="39" width="8.28515625" style="1" customWidth="1"/>
    <col min="40" max="67" width="10.85546875" style="1" customWidth="1"/>
    <col min="68" max="16384" width="10.85546875" style="1"/>
  </cols>
  <sheetData>
    <row r="2" spans="1:40" ht="15" customHeight="1" x14ac:dyDescent="0.25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8"/>
      <c r="AM2" s="2"/>
    </row>
    <row r="3" spans="1:40" ht="13.5" customHeight="1" x14ac:dyDescent="0.2">
      <c r="A3" s="3"/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5"/>
    </row>
    <row r="4" spans="1:40" ht="15" customHeight="1" x14ac:dyDescent="0.25">
      <c r="A4" s="3"/>
      <c r="B4" s="6" t="s">
        <v>1</v>
      </c>
      <c r="C4" s="7"/>
      <c r="D4" s="7"/>
      <c r="E4" s="7"/>
      <c r="F4" s="7"/>
      <c r="G4" s="7"/>
      <c r="H4" s="7"/>
      <c r="I4" s="7"/>
      <c r="J4" s="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5"/>
    </row>
    <row r="5" spans="1:40" ht="15" customHeight="1" x14ac:dyDescent="0.25">
      <c r="A5" s="3"/>
      <c r="B5" s="8" t="s">
        <v>48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5"/>
    </row>
    <row r="6" spans="1:40" ht="13.5" customHeight="1" thickBot="1" x14ac:dyDescent="0.25">
      <c r="A6" s="15"/>
      <c r="B6" s="9"/>
      <c r="C6" s="9"/>
      <c r="D6" s="9"/>
      <c r="E6" s="9"/>
      <c r="F6" s="9"/>
      <c r="G6" s="9"/>
      <c r="H6" s="9"/>
      <c r="I6" s="9"/>
      <c r="J6" s="9"/>
      <c r="K6" s="2"/>
      <c r="L6" s="10"/>
      <c r="M6" s="10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5"/>
    </row>
    <row r="7" spans="1:40" ht="13.5" customHeight="1" thickTop="1" x14ac:dyDescent="0.2">
      <c r="A7" s="15"/>
      <c r="B7" s="12"/>
      <c r="C7" s="12"/>
      <c r="D7" s="12"/>
      <c r="E7" s="12"/>
      <c r="F7" s="40" t="s">
        <v>3</v>
      </c>
      <c r="G7" s="40" t="s">
        <v>4</v>
      </c>
      <c r="H7" s="40" t="s">
        <v>5</v>
      </c>
      <c r="I7" s="40" t="s">
        <v>6</v>
      </c>
      <c r="J7" s="40" t="s">
        <v>7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4" t="s">
        <v>13</v>
      </c>
      <c r="Q7" s="14" t="s">
        <v>14</v>
      </c>
      <c r="R7" s="14" t="s">
        <v>15</v>
      </c>
      <c r="S7" s="14" t="s">
        <v>16</v>
      </c>
      <c r="T7" s="14" t="s">
        <v>17</v>
      </c>
      <c r="U7" s="14" t="s">
        <v>18</v>
      </c>
      <c r="V7" s="14" t="s">
        <v>19</v>
      </c>
      <c r="W7" s="14" t="s">
        <v>20</v>
      </c>
      <c r="X7" s="14" t="s">
        <v>21</v>
      </c>
      <c r="Y7" s="14" t="s">
        <v>22</v>
      </c>
      <c r="Z7" s="14" t="s">
        <v>23</v>
      </c>
      <c r="AA7" s="14" t="s">
        <v>24</v>
      </c>
      <c r="AB7" s="14" t="s">
        <v>51</v>
      </c>
      <c r="AC7" s="14" t="s">
        <v>52</v>
      </c>
      <c r="AD7" s="14" t="s">
        <v>53</v>
      </c>
      <c r="AE7" s="14" t="s">
        <v>54</v>
      </c>
      <c r="AF7" s="14" t="s">
        <v>55</v>
      </c>
      <c r="AG7" s="14" t="s">
        <v>56</v>
      </c>
      <c r="AH7" s="14" t="s">
        <v>57</v>
      </c>
      <c r="AI7" s="14" t="s">
        <v>58</v>
      </c>
      <c r="AJ7" s="14" t="s">
        <v>59</v>
      </c>
      <c r="AK7" s="14" t="s">
        <v>60</v>
      </c>
      <c r="AL7" s="5"/>
    </row>
    <row r="8" spans="1:40" ht="13.5" customHeight="1" x14ac:dyDescent="0.2">
      <c r="A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7"/>
    </row>
    <row r="9" spans="1:40" ht="13.5" customHeight="1" x14ac:dyDescent="0.2">
      <c r="A9" s="15"/>
      <c r="B9" s="49" t="s">
        <v>25</v>
      </c>
      <c r="C9" s="50"/>
      <c r="D9" s="50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17"/>
    </row>
    <row r="10" spans="1:40" ht="13.5" customHeight="1" x14ac:dyDescent="0.2">
      <c r="A10" s="15"/>
      <c r="C10" s="2" t="s">
        <v>26</v>
      </c>
      <c r="D10" s="2"/>
      <c r="AL10" s="17"/>
    </row>
    <row r="11" spans="1:40" ht="13.5" customHeight="1" x14ac:dyDescent="0.2">
      <c r="A11" s="15"/>
      <c r="D11" s="1" t="s">
        <v>27</v>
      </c>
      <c r="E11" s="21"/>
      <c r="F11" s="21">
        <v>2494114</v>
      </c>
      <c r="G11" s="21">
        <v>1808369</v>
      </c>
      <c r="H11" s="21">
        <v>1835610</v>
      </c>
      <c r="I11" s="21">
        <v>1766935</v>
      </c>
      <c r="J11" s="21">
        <v>1822689</v>
      </c>
      <c r="K11" s="21">
        <v>1821660</v>
      </c>
      <c r="L11" s="21">
        <v>1997318</v>
      </c>
      <c r="M11" s="21">
        <v>1816022</v>
      </c>
      <c r="N11" s="21">
        <v>1971758</v>
      </c>
      <c r="O11" s="21">
        <v>2306485</v>
      </c>
      <c r="P11" s="21">
        <v>2655819</v>
      </c>
      <c r="Q11" s="21">
        <v>2816486</v>
      </c>
      <c r="R11" s="21">
        <f>246083+2658880</f>
        <v>2904963</v>
      </c>
      <c r="S11" s="21">
        <f>218102+2660452</f>
        <v>2878554</v>
      </c>
      <c r="T11" s="21">
        <f>252081+2694509+633116</f>
        <v>3579706</v>
      </c>
      <c r="U11" s="21">
        <f>253190+3074988+189779+615066</f>
        <v>4133023</v>
      </c>
      <c r="V11" s="21">
        <f>230115+3508572+513930+237222+710790</f>
        <v>5200629</v>
      </c>
      <c r="W11" s="21">
        <f>310356+5135629+1117958+195628</f>
        <v>6759571</v>
      </c>
      <c r="X11" s="21">
        <f>390831+6027528+1328342+297702</f>
        <v>8044403</v>
      </c>
      <c r="Y11" s="21">
        <f>6264362+217525</f>
        <v>6481887</v>
      </c>
      <c r="Z11" s="21">
        <f>6101469+215193</f>
        <v>6316662</v>
      </c>
      <c r="AA11" s="21">
        <f>6366662+191450</f>
        <v>6558112</v>
      </c>
      <c r="AB11" s="21">
        <f>6575694+221300</f>
        <v>6796994</v>
      </c>
      <c r="AC11" s="21">
        <f>6924096+227132</f>
        <v>7151228</v>
      </c>
      <c r="AD11" s="21">
        <f>6907840+243535</f>
        <v>7151375</v>
      </c>
      <c r="AE11" s="21">
        <f>7554475+254450+7788</f>
        <v>7816713</v>
      </c>
      <c r="AF11" s="21">
        <f>7206980+349412+897225+11897</f>
        <v>8465514</v>
      </c>
      <c r="AG11" s="21">
        <f>6329272+309306+1086784+1746343</f>
        <v>9471705</v>
      </c>
      <c r="AH11" s="21">
        <f>5923404+300202+1155416+3601288</f>
        <v>10980310</v>
      </c>
      <c r="AI11" s="21">
        <f>5411390+370110+1098097+7001719</f>
        <v>13881316</v>
      </c>
      <c r="AJ11" s="21">
        <f>5726643+310325+1146132+94018</f>
        <v>7277118</v>
      </c>
      <c r="AK11" s="21">
        <f>6640689+353194+1092131+6495</f>
        <v>8092509</v>
      </c>
      <c r="AL11" s="22"/>
      <c r="AN11" s="64"/>
    </row>
    <row r="12" spans="1:40" ht="13.5" customHeight="1" x14ac:dyDescent="0.2">
      <c r="A12" s="15"/>
      <c r="D12" s="1" t="s">
        <v>28</v>
      </c>
      <c r="E12" s="23"/>
      <c r="F12" s="23">
        <v>4997773</v>
      </c>
      <c r="G12" s="23">
        <v>7635970</v>
      </c>
      <c r="H12" s="23">
        <v>8516878</v>
      </c>
      <c r="I12" s="23">
        <v>10702363</v>
      </c>
      <c r="J12" s="23">
        <v>11124486</v>
      </c>
      <c r="K12" s="23">
        <v>10441505</v>
      </c>
      <c r="L12" s="23">
        <v>9426426</v>
      </c>
      <c r="M12" s="23">
        <v>8563876</v>
      </c>
      <c r="N12" s="23">
        <v>9012952</v>
      </c>
      <c r="O12" s="23">
        <v>9225769</v>
      </c>
      <c r="P12" s="23">
        <v>10501250</v>
      </c>
      <c r="Q12" s="23">
        <v>12429298</v>
      </c>
      <c r="R12" s="23">
        <f>995984+2036517+5846814+4022271</f>
        <v>12901586</v>
      </c>
      <c r="S12" s="23">
        <f>1236672+2522158+6024264+4912376</f>
        <v>14695470</v>
      </c>
      <c r="T12" s="23">
        <f>1213334+2716400+5326164+4573652</f>
        <v>13829550</v>
      </c>
      <c r="U12" s="23">
        <f>922176+5984371+5522071+2618793</f>
        <v>15047411</v>
      </c>
      <c r="V12" s="23">
        <f>585197+2651284+7113540+9543344</f>
        <v>19893365</v>
      </c>
      <c r="W12" s="23">
        <f>151959+158169+92449+438681+2977576+8971769+10682334</f>
        <v>23472937</v>
      </c>
      <c r="X12" s="23">
        <f>9903095+10028165+6675897+517965</f>
        <v>27125122</v>
      </c>
      <c r="Y12" s="23">
        <f>10600865+10416730+8239675+778175</f>
        <v>30035445</v>
      </c>
      <c r="Z12" s="23">
        <f>10088739+10416271+8240421+899712</f>
        <v>29645143</v>
      </c>
      <c r="AA12" s="23">
        <f>10311821+10539253+9212478+536557</f>
        <v>30600109</v>
      </c>
      <c r="AB12" s="23">
        <f>9908677+10996726+10164022+623463</f>
        <v>31692888</v>
      </c>
      <c r="AC12" s="23">
        <f>10102429+11551678+11618687+485878</f>
        <v>33758672</v>
      </c>
      <c r="AD12" s="23">
        <f>10420418+11109313+12604852+1209200</f>
        <v>35343783</v>
      </c>
      <c r="AE12" s="23">
        <f>10710191+10839108+13352578</f>
        <v>34901877</v>
      </c>
      <c r="AF12" s="23">
        <f>10042830+10416019+13971875</f>
        <v>34430724</v>
      </c>
      <c r="AG12" s="23">
        <f>8377788+9804205+11878835</f>
        <v>30060828</v>
      </c>
      <c r="AH12" s="23">
        <f>6663612+8146486+10301877</f>
        <v>25111975</v>
      </c>
      <c r="AI12" s="23">
        <f>5642594+7406774+8702409</f>
        <v>21751777</v>
      </c>
      <c r="AJ12" s="23">
        <f>5421498+8000357+7056662</f>
        <v>20478517</v>
      </c>
      <c r="AK12" s="23">
        <f>5945063+7738078+6969863</f>
        <v>20653004</v>
      </c>
      <c r="AL12" s="52"/>
    </row>
    <row r="13" spans="1:40" ht="13.5" customHeight="1" x14ac:dyDescent="0.2">
      <c r="A13" s="15"/>
      <c r="D13" s="1" t="s">
        <v>29</v>
      </c>
      <c r="E13" s="23"/>
      <c r="F13" s="24">
        <v>237762</v>
      </c>
      <c r="G13" s="24">
        <v>245247</v>
      </c>
      <c r="H13" s="24">
        <v>253167</v>
      </c>
      <c r="I13" s="24">
        <v>256758</v>
      </c>
      <c r="J13" s="24">
        <v>270123</v>
      </c>
      <c r="K13" s="24">
        <v>353224</v>
      </c>
      <c r="L13" s="24">
        <v>344258</v>
      </c>
      <c r="M13" s="24">
        <v>361557</v>
      </c>
      <c r="N13" s="24">
        <v>277334</v>
      </c>
      <c r="O13" s="24">
        <v>297624</v>
      </c>
      <c r="P13" s="24">
        <v>349081</v>
      </c>
      <c r="Q13" s="24">
        <v>291074</v>
      </c>
      <c r="R13" s="24">
        <f>209956</f>
        <v>209956</v>
      </c>
      <c r="S13" s="24">
        <f>232800</f>
        <v>232800</v>
      </c>
      <c r="T13" s="24">
        <f>233762</f>
        <v>233762</v>
      </c>
      <c r="U13" s="24">
        <f>261235</f>
        <v>261235</v>
      </c>
      <c r="V13" s="24">
        <f>312877</f>
        <v>312877</v>
      </c>
      <c r="W13" s="24">
        <f>254476</f>
        <v>254476</v>
      </c>
      <c r="X13" s="24">
        <f>222378</f>
        <v>222378</v>
      </c>
      <c r="Y13" s="24">
        <f>283631</f>
        <v>283631</v>
      </c>
      <c r="Z13" s="24">
        <f>238564</f>
        <v>238564</v>
      </c>
      <c r="AA13" s="24">
        <v>257743</v>
      </c>
      <c r="AB13" s="24">
        <v>271432</v>
      </c>
      <c r="AC13" s="24">
        <v>260990</v>
      </c>
      <c r="AD13" s="24">
        <v>267016</v>
      </c>
      <c r="AE13" s="24">
        <v>280754</v>
      </c>
      <c r="AF13" s="24">
        <v>282343</v>
      </c>
      <c r="AG13" s="24">
        <v>289498</v>
      </c>
      <c r="AH13" s="24">
        <v>297675</v>
      </c>
      <c r="AI13" s="24">
        <v>312274</v>
      </c>
      <c r="AJ13" s="24">
        <v>216782</v>
      </c>
      <c r="AK13" s="24">
        <v>219730</v>
      </c>
      <c r="AL13" s="22"/>
    </row>
    <row r="14" spans="1:40" ht="13.5" customHeight="1" x14ac:dyDescent="0.2">
      <c r="A14" s="15"/>
      <c r="E14" s="23"/>
      <c r="F14" s="21">
        <f t="shared" ref="F14:L14" si="0">F11+F12+F13</f>
        <v>7729649</v>
      </c>
      <c r="G14" s="21">
        <f t="shared" si="0"/>
        <v>9689586</v>
      </c>
      <c r="H14" s="21">
        <f t="shared" si="0"/>
        <v>10605655</v>
      </c>
      <c r="I14" s="21">
        <f t="shared" si="0"/>
        <v>12726056</v>
      </c>
      <c r="J14" s="21">
        <f t="shared" si="0"/>
        <v>13217298</v>
      </c>
      <c r="K14" s="21">
        <f t="shared" si="0"/>
        <v>12616389</v>
      </c>
      <c r="L14" s="21">
        <f t="shared" si="0"/>
        <v>11768002</v>
      </c>
      <c r="M14" s="21">
        <f t="shared" ref="M14:AA14" si="1">SUM(M11:M13)</f>
        <v>10741455</v>
      </c>
      <c r="N14" s="21">
        <f t="shared" si="1"/>
        <v>11262044</v>
      </c>
      <c r="O14" s="21">
        <f t="shared" si="1"/>
        <v>11829878</v>
      </c>
      <c r="P14" s="21">
        <f t="shared" si="1"/>
        <v>13506150</v>
      </c>
      <c r="Q14" s="21">
        <f t="shared" si="1"/>
        <v>15536858</v>
      </c>
      <c r="R14" s="21">
        <f t="shared" si="1"/>
        <v>16016505</v>
      </c>
      <c r="S14" s="21">
        <f t="shared" si="1"/>
        <v>17806824</v>
      </c>
      <c r="T14" s="21">
        <f t="shared" si="1"/>
        <v>17643018</v>
      </c>
      <c r="U14" s="21">
        <f t="shared" si="1"/>
        <v>19441669</v>
      </c>
      <c r="V14" s="21">
        <f t="shared" si="1"/>
        <v>25406871</v>
      </c>
      <c r="W14" s="21">
        <f t="shared" si="1"/>
        <v>30486984</v>
      </c>
      <c r="X14" s="21">
        <f t="shared" si="1"/>
        <v>35391903</v>
      </c>
      <c r="Y14" s="21">
        <f t="shared" si="1"/>
        <v>36800963</v>
      </c>
      <c r="Z14" s="21">
        <f t="shared" si="1"/>
        <v>36200369</v>
      </c>
      <c r="AA14" s="21">
        <f t="shared" si="1"/>
        <v>37415964</v>
      </c>
      <c r="AB14" s="21">
        <f t="shared" ref="AB14:AC14" si="2">SUM(AB11:AB13)</f>
        <v>38761314</v>
      </c>
      <c r="AC14" s="21">
        <f t="shared" si="2"/>
        <v>41170890</v>
      </c>
      <c r="AD14" s="21">
        <f t="shared" ref="AD14:AE14" si="3">SUM(AD11:AD13)</f>
        <v>42762174</v>
      </c>
      <c r="AE14" s="21">
        <f t="shared" si="3"/>
        <v>42999344</v>
      </c>
      <c r="AF14" s="21">
        <f t="shared" ref="AF14:AG14" si="4">SUM(AF11:AF13)</f>
        <v>43178581</v>
      </c>
      <c r="AG14" s="21">
        <f t="shared" si="4"/>
        <v>39822031</v>
      </c>
      <c r="AH14" s="21">
        <f t="shared" ref="AH14:AI14" si="5">SUM(AH11:AH13)</f>
        <v>36389960</v>
      </c>
      <c r="AI14" s="21">
        <f t="shared" si="5"/>
        <v>35945367</v>
      </c>
      <c r="AJ14" s="21">
        <f t="shared" ref="AJ14:AK14" si="6">SUM(AJ11:AJ13)</f>
        <v>27972417</v>
      </c>
      <c r="AK14" s="21">
        <f t="shared" si="6"/>
        <v>28965243</v>
      </c>
      <c r="AL14" s="22"/>
    </row>
    <row r="15" spans="1:40" ht="13.5" hidden="1" customHeight="1" x14ac:dyDescent="0.2">
      <c r="A15" s="15"/>
      <c r="D15" s="26"/>
      <c r="E15" s="45"/>
      <c r="F15" s="28">
        <v>-117547</v>
      </c>
      <c r="G15" s="28">
        <v>-115169</v>
      </c>
      <c r="H15" s="28">
        <v>-140103</v>
      </c>
      <c r="I15" s="28">
        <v>-133716</v>
      </c>
      <c r="J15" s="28">
        <v>-124952</v>
      </c>
      <c r="K15" s="28">
        <v>-162193</v>
      </c>
      <c r="L15" s="28">
        <v>-164673</v>
      </c>
      <c r="M15" s="28">
        <v>-166715</v>
      </c>
      <c r="N15" s="28">
        <v>-133009</v>
      </c>
      <c r="O15" s="28">
        <v>-133310</v>
      </c>
      <c r="P15" s="28">
        <v>-142687</v>
      </c>
      <c r="Q15" s="28">
        <v>-250828</v>
      </c>
      <c r="R15" s="28">
        <v>0</v>
      </c>
      <c r="S15" s="28">
        <v>0</v>
      </c>
      <c r="T15" s="28">
        <v>0</v>
      </c>
      <c r="U15" s="28">
        <v>0</v>
      </c>
      <c r="V15" s="28">
        <v>-137525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2"/>
    </row>
    <row r="16" spans="1:40" ht="13.5" customHeight="1" x14ac:dyDescent="0.2">
      <c r="A16" s="15"/>
      <c r="D16" s="26"/>
      <c r="E16" s="27" t="s">
        <v>30</v>
      </c>
      <c r="F16" s="29">
        <f t="shared" ref="F16:AA16" si="7">SUM(F14:F15)</f>
        <v>7612102</v>
      </c>
      <c r="G16" s="29">
        <f t="shared" si="7"/>
        <v>9574417</v>
      </c>
      <c r="H16" s="29">
        <f t="shared" si="7"/>
        <v>10465552</v>
      </c>
      <c r="I16" s="29">
        <f t="shared" si="7"/>
        <v>12592340</v>
      </c>
      <c r="J16" s="29">
        <f t="shared" si="7"/>
        <v>13092346</v>
      </c>
      <c r="K16" s="29">
        <f t="shared" si="7"/>
        <v>12454196</v>
      </c>
      <c r="L16" s="29">
        <f t="shared" si="7"/>
        <v>11603329</v>
      </c>
      <c r="M16" s="29">
        <f t="shared" si="7"/>
        <v>10574740</v>
      </c>
      <c r="N16" s="29">
        <f t="shared" si="7"/>
        <v>11129035</v>
      </c>
      <c r="O16" s="29">
        <f t="shared" si="7"/>
        <v>11696568</v>
      </c>
      <c r="P16" s="29">
        <f t="shared" si="7"/>
        <v>13363463</v>
      </c>
      <c r="Q16" s="29">
        <f t="shared" si="7"/>
        <v>15286030</v>
      </c>
      <c r="R16" s="29">
        <f t="shared" si="7"/>
        <v>16016505</v>
      </c>
      <c r="S16" s="29">
        <f t="shared" si="7"/>
        <v>17806824</v>
      </c>
      <c r="T16" s="29">
        <f t="shared" si="7"/>
        <v>17643018</v>
      </c>
      <c r="U16" s="29">
        <f t="shared" si="7"/>
        <v>19441669</v>
      </c>
      <c r="V16" s="29">
        <f t="shared" si="7"/>
        <v>25269346</v>
      </c>
      <c r="W16" s="29">
        <f t="shared" si="7"/>
        <v>30486984</v>
      </c>
      <c r="X16" s="29">
        <f t="shared" si="7"/>
        <v>35391903</v>
      </c>
      <c r="Y16" s="29">
        <f t="shared" si="7"/>
        <v>36800963</v>
      </c>
      <c r="Z16" s="29">
        <f t="shared" si="7"/>
        <v>36200369</v>
      </c>
      <c r="AA16" s="29">
        <f t="shared" si="7"/>
        <v>37415964</v>
      </c>
      <c r="AB16" s="29">
        <f t="shared" ref="AB16:AC16" si="8">SUM(AB14:AB15)</f>
        <v>38761314</v>
      </c>
      <c r="AC16" s="29">
        <f t="shared" si="8"/>
        <v>41170890</v>
      </c>
      <c r="AD16" s="29">
        <f t="shared" ref="AD16:AE16" si="9">SUM(AD14:AD15)</f>
        <v>42762174</v>
      </c>
      <c r="AE16" s="29">
        <f t="shared" si="9"/>
        <v>42999344</v>
      </c>
      <c r="AF16" s="29">
        <f t="shared" ref="AF16:AG16" si="10">SUM(AF14:AF15)</f>
        <v>43178581</v>
      </c>
      <c r="AG16" s="29">
        <f t="shared" si="10"/>
        <v>39822031</v>
      </c>
      <c r="AH16" s="29">
        <f t="shared" ref="AH16:AI16" si="11">SUM(AH14:AH15)</f>
        <v>36389960</v>
      </c>
      <c r="AI16" s="29">
        <f t="shared" si="11"/>
        <v>35945367</v>
      </c>
      <c r="AJ16" s="29">
        <f t="shared" ref="AJ16:AK16" si="12">SUM(AJ14:AJ15)</f>
        <v>27972417</v>
      </c>
      <c r="AK16" s="29">
        <f t="shared" si="12"/>
        <v>28965243</v>
      </c>
      <c r="AL16" s="22"/>
    </row>
    <row r="17" spans="1:38" ht="13.5" customHeight="1" x14ac:dyDescent="0.2">
      <c r="A17" s="15"/>
      <c r="C17" s="2" t="s">
        <v>31</v>
      </c>
      <c r="AL17" s="17"/>
    </row>
    <row r="18" spans="1:38" ht="13.5" customHeight="1" x14ac:dyDescent="0.2">
      <c r="A18" s="15"/>
      <c r="D18" s="1" t="s">
        <v>27</v>
      </c>
      <c r="E18" s="21"/>
      <c r="F18" s="21">
        <v>1505537</v>
      </c>
      <c r="G18" s="21">
        <v>1793071</v>
      </c>
      <c r="H18" s="21">
        <v>1766445</v>
      </c>
      <c r="I18" s="21">
        <v>1798470</v>
      </c>
      <c r="J18" s="21">
        <v>2012893</v>
      </c>
      <c r="K18" s="21">
        <v>1962824</v>
      </c>
      <c r="L18" s="21">
        <v>2053718</v>
      </c>
      <c r="M18" s="21">
        <v>2044089</v>
      </c>
      <c r="N18" s="21">
        <v>2219201</v>
      </c>
      <c r="O18" s="21">
        <v>2268104</v>
      </c>
      <c r="P18" s="21">
        <v>2329198</v>
      </c>
      <c r="Q18" s="21">
        <v>2341656</v>
      </c>
      <c r="R18" s="21">
        <f>96977+1532000+558772+5000+44250+99315+49352</f>
        <v>2385666</v>
      </c>
      <c r="S18" s="21">
        <f>223893+1605000+633085+5000+46500+97275+80992</f>
        <v>2691745</v>
      </c>
      <c r="T18" s="21">
        <f>103689+1695000+658891+5000+64500+145793+98951</f>
        <v>2771824</v>
      </c>
      <c r="U18" s="21">
        <f>1826000+1466664+2000+52500+83096+18767</f>
        <v>3449027</v>
      </c>
      <c r="V18" s="21">
        <f>1776595+16650+1675000+3000+27750+59927</f>
        <v>3558922</v>
      </c>
      <c r="W18" s="21">
        <f>1671094+11800+1699000+27750+51840+11035</f>
        <v>3472519</v>
      </c>
      <c r="X18" s="21">
        <f>1250857+17700+1281000+90000+74158+26118</f>
        <v>2739833</v>
      </c>
      <c r="Y18" s="21">
        <f>1273312+5900+1377250+3300+82133+10000+28208</f>
        <v>2780103</v>
      </c>
      <c r="Z18" s="21">
        <f>1392670+1621000+1000+12295+129148+19791</f>
        <v>3175904</v>
      </c>
      <c r="AA18" s="21">
        <f>1440066+2147500+10000+9135+136978+28843</f>
        <v>3772522</v>
      </c>
      <c r="AB18" s="21">
        <f>2085483+2835000+5006+1500+15544+164093+11623</f>
        <v>5118249</v>
      </c>
      <c r="AC18" s="21">
        <f>2672376+3130500+1500+7619+140436+11665</f>
        <v>5964096</v>
      </c>
      <c r="AD18" s="21">
        <f>2970957+3426000+12043+12235+1500+7613+134677+34961</f>
        <v>6599986</v>
      </c>
      <c r="AE18" s="21">
        <f>2685236+3588000+11844+51353+5643+167951+32981</f>
        <v>6543008</v>
      </c>
      <c r="AF18" s="21">
        <f>2865429+3661500+1709+59179+500+6394+138095+34236</f>
        <v>6767042</v>
      </c>
      <c r="AG18" s="21">
        <f>2336241+3696000+73765+11627+146965+41423</f>
        <v>6306021</v>
      </c>
      <c r="AH18" s="21">
        <f>2057002+2906700+48121+5995+123019+26942</f>
        <v>5167779</v>
      </c>
      <c r="AI18" s="21">
        <f>2314571+3433107+62421+500+8964+66428+51037</f>
        <v>5937028</v>
      </c>
      <c r="AJ18" s="21">
        <f>2585752+3287500+62260+7968+118170+46349</f>
        <v>6107999</v>
      </c>
      <c r="AK18" s="21">
        <f>3070127+2887500+59850+1000+6519+87489+51500</f>
        <v>6163985</v>
      </c>
      <c r="AL18" s="22"/>
    </row>
    <row r="19" spans="1:38" ht="13.5" customHeight="1" x14ac:dyDescent="0.2">
      <c r="A19" s="15"/>
      <c r="D19" s="1" t="s">
        <v>28</v>
      </c>
      <c r="E19" s="23"/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406692</v>
      </c>
      <c r="N19" s="24">
        <v>372187</v>
      </c>
      <c r="O19" s="24">
        <v>233697</v>
      </c>
      <c r="P19" s="24">
        <v>98450</v>
      </c>
      <c r="Q19" s="24">
        <v>66797</v>
      </c>
      <c r="R19" s="24">
        <f>8750</f>
        <v>8750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52"/>
    </row>
    <row r="20" spans="1:38" ht="13.5" customHeight="1" x14ac:dyDescent="0.2">
      <c r="A20" s="15"/>
      <c r="E20" s="23"/>
      <c r="F20" s="21">
        <f t="shared" ref="F20:L20" si="13">SUM(F18:F19)</f>
        <v>1505537</v>
      </c>
      <c r="G20" s="21">
        <f t="shared" si="13"/>
        <v>1793071</v>
      </c>
      <c r="H20" s="21">
        <f t="shared" si="13"/>
        <v>1766445</v>
      </c>
      <c r="I20" s="21">
        <f t="shared" si="13"/>
        <v>1798470</v>
      </c>
      <c r="J20" s="21">
        <f t="shared" si="13"/>
        <v>2012893</v>
      </c>
      <c r="K20" s="21">
        <f t="shared" si="13"/>
        <v>1962824</v>
      </c>
      <c r="L20" s="21">
        <f t="shared" si="13"/>
        <v>2053718</v>
      </c>
      <c r="M20" s="21">
        <f t="shared" ref="M20:AA20" si="14">SUM(M18:M19)</f>
        <v>2450781</v>
      </c>
      <c r="N20" s="21">
        <f t="shared" si="14"/>
        <v>2591388</v>
      </c>
      <c r="O20" s="21">
        <f t="shared" si="14"/>
        <v>2501801</v>
      </c>
      <c r="P20" s="21">
        <f t="shared" si="14"/>
        <v>2427648</v>
      </c>
      <c r="Q20" s="21">
        <f t="shared" si="14"/>
        <v>2408453</v>
      </c>
      <c r="R20" s="21">
        <f t="shared" si="14"/>
        <v>2394416</v>
      </c>
      <c r="S20" s="21">
        <f t="shared" si="14"/>
        <v>2691745</v>
      </c>
      <c r="T20" s="21">
        <f t="shared" si="14"/>
        <v>2771824</v>
      </c>
      <c r="U20" s="21">
        <f t="shared" si="14"/>
        <v>3449027</v>
      </c>
      <c r="V20" s="21">
        <f t="shared" si="14"/>
        <v>3558922</v>
      </c>
      <c r="W20" s="21">
        <f t="shared" si="14"/>
        <v>3472519</v>
      </c>
      <c r="X20" s="21">
        <f t="shared" si="14"/>
        <v>2739833</v>
      </c>
      <c r="Y20" s="21">
        <f t="shared" si="14"/>
        <v>2780103</v>
      </c>
      <c r="Z20" s="21">
        <f t="shared" si="14"/>
        <v>3175904</v>
      </c>
      <c r="AA20" s="21">
        <f t="shared" si="14"/>
        <v>3772522</v>
      </c>
      <c r="AB20" s="21">
        <f t="shared" ref="AB20:AC20" si="15">SUM(AB18:AB19)</f>
        <v>5118249</v>
      </c>
      <c r="AC20" s="21">
        <f t="shared" si="15"/>
        <v>5964096</v>
      </c>
      <c r="AD20" s="21">
        <f t="shared" ref="AD20:AE20" si="16">SUM(AD18:AD19)</f>
        <v>6599986</v>
      </c>
      <c r="AE20" s="21">
        <f t="shared" si="16"/>
        <v>6543008</v>
      </c>
      <c r="AF20" s="21">
        <f t="shared" ref="AF20:AG20" si="17">SUM(AF18:AF19)</f>
        <v>6767042</v>
      </c>
      <c r="AG20" s="21">
        <f t="shared" si="17"/>
        <v>6306021</v>
      </c>
      <c r="AH20" s="21">
        <f t="shared" ref="AH20:AI20" si="18">SUM(AH18:AH19)</f>
        <v>5167779</v>
      </c>
      <c r="AI20" s="21">
        <f t="shared" si="18"/>
        <v>5937028</v>
      </c>
      <c r="AJ20" s="21">
        <f t="shared" ref="AJ20:AK20" si="19">SUM(AJ18:AJ19)</f>
        <v>6107999</v>
      </c>
      <c r="AK20" s="21">
        <f t="shared" si="19"/>
        <v>6163985</v>
      </c>
      <c r="AL20" s="17"/>
    </row>
    <row r="21" spans="1:38" ht="13.5" hidden="1" customHeight="1" x14ac:dyDescent="0.2">
      <c r="A21" s="15"/>
      <c r="D21" s="26"/>
      <c r="E21" s="45"/>
      <c r="F21" s="28">
        <f>0</f>
        <v>0</v>
      </c>
      <c r="G21" s="28">
        <f>0</f>
        <v>0</v>
      </c>
      <c r="H21" s="28">
        <f>0</f>
        <v>0</v>
      </c>
      <c r="I21" s="28">
        <f>0</f>
        <v>0</v>
      </c>
      <c r="J21" s="28">
        <f>0</f>
        <v>0</v>
      </c>
      <c r="K21" s="28">
        <f>0</f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-3000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17"/>
    </row>
    <row r="22" spans="1:38" ht="13.5" customHeight="1" x14ac:dyDescent="0.2">
      <c r="A22" s="15"/>
      <c r="D22" s="26"/>
      <c r="E22" s="27" t="s">
        <v>30</v>
      </c>
      <c r="F22" s="29">
        <f t="shared" ref="F22:AA22" si="20">SUM(F20:F21)</f>
        <v>1505537</v>
      </c>
      <c r="G22" s="29">
        <f t="shared" si="20"/>
        <v>1793071</v>
      </c>
      <c r="H22" s="29">
        <f t="shared" si="20"/>
        <v>1766445</v>
      </c>
      <c r="I22" s="29">
        <f t="shared" si="20"/>
        <v>1798470</v>
      </c>
      <c r="J22" s="29">
        <f t="shared" si="20"/>
        <v>2012893</v>
      </c>
      <c r="K22" s="29">
        <f t="shared" si="20"/>
        <v>1962824</v>
      </c>
      <c r="L22" s="29">
        <f t="shared" si="20"/>
        <v>2053718</v>
      </c>
      <c r="M22" s="29">
        <f t="shared" si="20"/>
        <v>2450781</v>
      </c>
      <c r="N22" s="29">
        <f t="shared" si="20"/>
        <v>2591388</v>
      </c>
      <c r="O22" s="29">
        <f t="shared" si="20"/>
        <v>2501801</v>
      </c>
      <c r="P22" s="29">
        <f t="shared" si="20"/>
        <v>2427648</v>
      </c>
      <c r="Q22" s="29">
        <f t="shared" si="20"/>
        <v>2408453</v>
      </c>
      <c r="R22" s="29">
        <f t="shared" si="20"/>
        <v>2394416</v>
      </c>
      <c r="S22" s="29">
        <f t="shared" si="20"/>
        <v>2691745</v>
      </c>
      <c r="T22" s="29">
        <f t="shared" si="20"/>
        <v>2771824</v>
      </c>
      <c r="U22" s="29">
        <f t="shared" si="20"/>
        <v>3449027</v>
      </c>
      <c r="V22" s="29">
        <f t="shared" si="20"/>
        <v>3555922</v>
      </c>
      <c r="W22" s="29">
        <f t="shared" si="20"/>
        <v>3472519</v>
      </c>
      <c r="X22" s="29">
        <f t="shared" si="20"/>
        <v>2739833</v>
      </c>
      <c r="Y22" s="29">
        <f t="shared" si="20"/>
        <v>2780103</v>
      </c>
      <c r="Z22" s="29">
        <f t="shared" si="20"/>
        <v>3175904</v>
      </c>
      <c r="AA22" s="29">
        <f t="shared" si="20"/>
        <v>3772522</v>
      </c>
      <c r="AB22" s="29">
        <f t="shared" ref="AB22:AC22" si="21">SUM(AB20:AB21)</f>
        <v>5118249</v>
      </c>
      <c r="AC22" s="29">
        <f t="shared" si="21"/>
        <v>5964096</v>
      </c>
      <c r="AD22" s="29">
        <f t="shared" ref="AD22:AE22" si="22">SUM(AD20:AD21)</f>
        <v>6599986</v>
      </c>
      <c r="AE22" s="29">
        <f t="shared" si="22"/>
        <v>6543008</v>
      </c>
      <c r="AF22" s="29">
        <f t="shared" ref="AF22:AG22" si="23">SUM(AF20:AF21)</f>
        <v>6767042</v>
      </c>
      <c r="AG22" s="29">
        <f t="shared" si="23"/>
        <v>6306021</v>
      </c>
      <c r="AH22" s="29">
        <f t="shared" ref="AH22:AI22" si="24">SUM(AH20:AH21)</f>
        <v>5167779</v>
      </c>
      <c r="AI22" s="29">
        <f t="shared" si="24"/>
        <v>5937028</v>
      </c>
      <c r="AJ22" s="29">
        <f t="shared" ref="AJ22:AK22" si="25">SUM(AJ20:AJ21)</f>
        <v>6107999</v>
      </c>
      <c r="AK22" s="29">
        <f t="shared" si="25"/>
        <v>6163985</v>
      </c>
      <c r="AL22" s="22"/>
    </row>
    <row r="23" spans="1:38" ht="13.5" customHeight="1" x14ac:dyDescent="0.2">
      <c r="A23" s="15"/>
      <c r="C23" s="2" t="s">
        <v>32</v>
      </c>
      <c r="D23" s="2"/>
      <c r="E23" s="23"/>
      <c r="AL23" s="17"/>
    </row>
    <row r="24" spans="1:38" ht="13.5" customHeight="1" x14ac:dyDescent="0.2">
      <c r="A24" s="15"/>
      <c r="D24" s="1" t="s">
        <v>27</v>
      </c>
      <c r="E24" s="21"/>
      <c r="F24" s="21">
        <v>4361831</v>
      </c>
      <c r="G24" s="21">
        <v>4810580</v>
      </c>
      <c r="H24" s="21">
        <v>5384129</v>
      </c>
      <c r="I24" s="21">
        <v>6518770</v>
      </c>
      <c r="J24" s="21">
        <v>7993072</v>
      </c>
      <c r="K24" s="21">
        <v>7851568</v>
      </c>
      <c r="L24" s="21">
        <v>9637334</v>
      </c>
      <c r="M24" s="21">
        <v>9107986</v>
      </c>
      <c r="N24" s="21">
        <v>9036115</v>
      </c>
      <c r="O24" s="21">
        <v>9216467</v>
      </c>
      <c r="P24" s="21">
        <v>9647399</v>
      </c>
      <c r="Q24" s="21">
        <v>11029652</v>
      </c>
      <c r="R24" s="21">
        <f>10051704+1007750+446852+272939</f>
        <v>11779245</v>
      </c>
      <c r="S24" s="21">
        <f>10938643+1229979+522902+210285</f>
        <v>12901809</v>
      </c>
      <c r="T24" s="21">
        <f>11929289+1850419+466628+271554</f>
        <v>14517890</v>
      </c>
      <c r="U24" s="21">
        <f>13010050+2014421+591125+208760</f>
        <v>15824356</v>
      </c>
      <c r="V24" s="21">
        <f>1016445+12537863+2037490+652127+264807</f>
        <v>16508732</v>
      </c>
      <c r="W24" s="21">
        <f>957077+13299271+2138785+635117+266643</f>
        <v>17296893</v>
      </c>
      <c r="X24" s="21">
        <f>901240+14002506+2362019+594515+476464</f>
        <v>18336744</v>
      </c>
      <c r="Y24" s="21">
        <f>976625+14635091+2404707+536081+500189</f>
        <v>19052693</v>
      </c>
      <c r="Z24" s="21">
        <f>1328858+16038967+2623000+623248+501355</f>
        <v>21115428</v>
      </c>
      <c r="AA24" s="21">
        <f>1609491+16512112+2725220+680434+582385</f>
        <v>22109642</v>
      </c>
      <c r="AB24" s="21">
        <f>1368362+17879717+2635680+774689+560622</f>
        <v>23219070</v>
      </c>
      <c r="AC24" s="21">
        <f>1383736+19735897+2779482+834716+622360</f>
        <v>25356191</v>
      </c>
      <c r="AD24" s="21">
        <f>1271059+19823969+3055229+808375+709234</f>
        <v>25667866</v>
      </c>
      <c r="AE24" s="21">
        <f>1153061+19861627+3136522+786328+712835</f>
        <v>25650373</v>
      </c>
      <c r="AF24" s="21">
        <f>1026106+19941057+3330649+741248+695427</f>
        <v>25734487</v>
      </c>
      <c r="AG24" s="21">
        <f>2789729+22574475+3673165+670376+835641</f>
        <v>30543386</v>
      </c>
      <c r="AH24" s="21">
        <f>2568086+24169387+3695975+504828+802496</f>
        <v>31740772</v>
      </c>
      <c r="AI24" s="21">
        <f>1542288+25649860+3484915+367306+801753</f>
        <v>31846122</v>
      </c>
      <c r="AJ24" s="21">
        <f>1639735+28702722+3794681+363198+890012</f>
        <v>35390348</v>
      </c>
      <c r="AK24" s="21">
        <f>1888856+31377090+3792517+801114+997027</f>
        <v>38856604</v>
      </c>
      <c r="AL24" s="22"/>
    </row>
    <row r="25" spans="1:38" ht="13.5" customHeight="1" x14ac:dyDescent="0.2">
      <c r="A25" s="15"/>
      <c r="D25" s="1" t="s">
        <v>28</v>
      </c>
      <c r="E25" s="23"/>
      <c r="F25" s="23">
        <v>362529</v>
      </c>
      <c r="G25" s="23">
        <v>255704</v>
      </c>
      <c r="H25" s="23">
        <v>236800</v>
      </c>
      <c r="I25" s="23">
        <v>490694</v>
      </c>
      <c r="J25" s="23">
        <v>958558</v>
      </c>
      <c r="K25" s="23">
        <v>1118703</v>
      </c>
      <c r="L25" s="23">
        <v>1589345</v>
      </c>
      <c r="M25" s="23">
        <v>1247007</v>
      </c>
      <c r="N25" s="23">
        <v>1210318</v>
      </c>
      <c r="O25" s="23">
        <v>1055337</v>
      </c>
      <c r="P25" s="23">
        <v>236970</v>
      </c>
      <c r="Q25" s="23">
        <v>979693</v>
      </c>
      <c r="R25" s="23">
        <f>212313+640421</f>
        <v>852734</v>
      </c>
      <c r="S25" s="23">
        <f>190900+716838</f>
        <v>907738</v>
      </c>
      <c r="T25" s="23">
        <f>442584+244843</f>
        <v>687427</v>
      </c>
      <c r="U25" s="23">
        <f>529661+255110</f>
        <v>784771</v>
      </c>
      <c r="V25" s="23">
        <f>762523+89295</f>
        <v>851818</v>
      </c>
      <c r="W25" s="23">
        <f>629395+106462</f>
        <v>735857</v>
      </c>
      <c r="X25" s="23">
        <f>590211+366736</f>
        <v>956947</v>
      </c>
      <c r="Y25" s="23">
        <f>696202+661165</f>
        <v>1357367</v>
      </c>
      <c r="Z25" s="23">
        <f>593043+394184</f>
        <v>987227</v>
      </c>
      <c r="AA25" s="23">
        <f>501732+110327</f>
        <v>612059</v>
      </c>
      <c r="AB25" s="23">
        <f>445272+125583</f>
        <v>570855</v>
      </c>
      <c r="AC25" s="23">
        <f>263898+88859</f>
        <v>352757</v>
      </c>
      <c r="AD25" s="23">
        <f>368499+68543</f>
        <v>437042</v>
      </c>
      <c r="AE25" s="23">
        <f>415417+108920</f>
        <v>524337</v>
      </c>
      <c r="AF25" s="23">
        <f>307970+228873</f>
        <v>536843</v>
      </c>
      <c r="AG25" s="23">
        <f>262901+249317</f>
        <v>512218</v>
      </c>
      <c r="AH25" s="23">
        <f>254948+93983</f>
        <v>348931</v>
      </c>
      <c r="AI25" s="23">
        <f>249127+37856</f>
        <v>286983</v>
      </c>
      <c r="AJ25" s="23">
        <f>345081+53590</f>
        <v>398671</v>
      </c>
      <c r="AK25" s="23">
        <f>365898+47000</f>
        <v>412898</v>
      </c>
      <c r="AL25" s="52"/>
    </row>
    <row r="26" spans="1:38" ht="13.5" customHeight="1" x14ac:dyDescent="0.2">
      <c r="A26" s="15"/>
      <c r="D26" s="1" t="s">
        <v>29</v>
      </c>
      <c r="E26" s="23"/>
      <c r="F26" s="24">
        <v>831236</v>
      </c>
      <c r="G26" s="24">
        <v>889646</v>
      </c>
      <c r="H26" s="24">
        <v>1011725</v>
      </c>
      <c r="I26" s="24">
        <v>1041057</v>
      </c>
      <c r="J26" s="24">
        <v>1137202</v>
      </c>
      <c r="K26" s="24">
        <v>1168126</v>
      </c>
      <c r="L26" s="24">
        <v>1284686</v>
      </c>
      <c r="M26" s="24">
        <v>1246272</v>
      </c>
      <c r="N26" s="24">
        <v>1206898</v>
      </c>
      <c r="O26" s="24">
        <v>1188642</v>
      </c>
      <c r="P26" s="24">
        <v>1082057</v>
      </c>
      <c r="Q26" s="24">
        <v>1520127</v>
      </c>
      <c r="R26" s="24">
        <f>1651291</f>
        <v>1651291</v>
      </c>
      <c r="S26" s="24">
        <f>1689196</f>
        <v>1689196</v>
      </c>
      <c r="T26" s="24">
        <f>1586131</f>
        <v>1586131</v>
      </c>
      <c r="U26" s="24">
        <f>6177496</f>
        <v>6177496</v>
      </c>
      <c r="V26" s="24">
        <f>2200000</f>
        <v>2200000</v>
      </c>
      <c r="W26" s="24">
        <f>2542103</f>
        <v>2542103</v>
      </c>
      <c r="X26" s="24">
        <f>2572707</f>
        <v>2572707</v>
      </c>
      <c r="Y26" s="24">
        <f>2638888</f>
        <v>2638888</v>
      </c>
      <c r="Z26" s="24">
        <f>2708903</f>
        <v>2708903</v>
      </c>
      <c r="AA26" s="24">
        <f>2860738</f>
        <v>2860738</v>
      </c>
      <c r="AB26" s="24">
        <f>64349+2968935</f>
        <v>3033284</v>
      </c>
      <c r="AC26" s="24">
        <f>10867+3111056</f>
        <v>3121923</v>
      </c>
      <c r="AD26" s="24">
        <f>32903+2879844</f>
        <v>2912747</v>
      </c>
      <c r="AE26" s="24">
        <f>22577+3044334</f>
        <v>3066911</v>
      </c>
      <c r="AF26" s="24">
        <f>23134+2820565</f>
        <v>2843699</v>
      </c>
      <c r="AG26" s="24">
        <f>33443+2614840</f>
        <v>2648283</v>
      </c>
      <c r="AH26" s="24">
        <f>66099+2253450</f>
        <v>2319549</v>
      </c>
      <c r="AI26" s="24">
        <f>23941+10810564</f>
        <v>10834505</v>
      </c>
      <c r="AJ26" s="24">
        <f>28745+11255847</f>
        <v>11284592</v>
      </c>
      <c r="AK26" s="24">
        <v>2973987</v>
      </c>
      <c r="AL26" s="22"/>
    </row>
    <row r="27" spans="1:38" ht="13.5" customHeight="1" x14ac:dyDescent="0.2">
      <c r="A27" s="15"/>
      <c r="E27" s="21"/>
      <c r="F27" s="21">
        <f t="shared" ref="F27:L27" si="26">F24+F25+F26</f>
        <v>5555596</v>
      </c>
      <c r="G27" s="21">
        <f t="shared" si="26"/>
        <v>5955930</v>
      </c>
      <c r="H27" s="21">
        <f t="shared" si="26"/>
        <v>6632654</v>
      </c>
      <c r="I27" s="21">
        <f t="shared" si="26"/>
        <v>8050521</v>
      </c>
      <c r="J27" s="21">
        <f t="shared" si="26"/>
        <v>10088832</v>
      </c>
      <c r="K27" s="21">
        <f t="shared" si="26"/>
        <v>10138397</v>
      </c>
      <c r="L27" s="21">
        <f t="shared" si="26"/>
        <v>12511365</v>
      </c>
      <c r="M27" s="21">
        <f t="shared" ref="M27:AA27" si="27">SUM(M24:M26)</f>
        <v>11601265</v>
      </c>
      <c r="N27" s="21">
        <f t="shared" si="27"/>
        <v>11453331</v>
      </c>
      <c r="O27" s="21">
        <f t="shared" si="27"/>
        <v>11460446</v>
      </c>
      <c r="P27" s="21">
        <f t="shared" si="27"/>
        <v>10966426</v>
      </c>
      <c r="Q27" s="21">
        <f t="shared" si="27"/>
        <v>13529472</v>
      </c>
      <c r="R27" s="21">
        <f t="shared" si="27"/>
        <v>14283270</v>
      </c>
      <c r="S27" s="21">
        <f t="shared" si="27"/>
        <v>15498743</v>
      </c>
      <c r="T27" s="21">
        <f t="shared" si="27"/>
        <v>16791448</v>
      </c>
      <c r="U27" s="21">
        <f t="shared" si="27"/>
        <v>22786623</v>
      </c>
      <c r="V27" s="21">
        <f t="shared" si="27"/>
        <v>19560550</v>
      </c>
      <c r="W27" s="21">
        <f t="shared" si="27"/>
        <v>20574853</v>
      </c>
      <c r="X27" s="21">
        <f t="shared" si="27"/>
        <v>21866398</v>
      </c>
      <c r="Y27" s="21">
        <f t="shared" si="27"/>
        <v>23048948</v>
      </c>
      <c r="Z27" s="21">
        <f t="shared" si="27"/>
        <v>24811558</v>
      </c>
      <c r="AA27" s="21">
        <f t="shared" si="27"/>
        <v>25582439</v>
      </c>
      <c r="AB27" s="21">
        <f t="shared" ref="AB27:AC27" si="28">SUM(AB24:AB26)</f>
        <v>26823209</v>
      </c>
      <c r="AC27" s="21">
        <f t="shared" si="28"/>
        <v>28830871</v>
      </c>
      <c r="AD27" s="21">
        <f t="shared" ref="AD27:AE27" si="29">SUM(AD24:AD26)</f>
        <v>29017655</v>
      </c>
      <c r="AE27" s="21">
        <f t="shared" si="29"/>
        <v>29241621</v>
      </c>
      <c r="AF27" s="21">
        <f t="shared" ref="AF27:AG27" si="30">SUM(AF24:AF26)</f>
        <v>29115029</v>
      </c>
      <c r="AG27" s="21">
        <f t="shared" si="30"/>
        <v>33703887</v>
      </c>
      <c r="AH27" s="21">
        <f t="shared" ref="AH27:AI27" si="31">SUM(AH24:AH26)</f>
        <v>34409252</v>
      </c>
      <c r="AI27" s="21">
        <f t="shared" si="31"/>
        <v>42967610</v>
      </c>
      <c r="AJ27" s="21">
        <f t="shared" ref="AJ27:AK27" si="32">SUM(AJ24:AJ26)</f>
        <v>47073611</v>
      </c>
      <c r="AK27" s="21">
        <f t="shared" si="32"/>
        <v>42243489</v>
      </c>
      <c r="AL27" s="22"/>
    </row>
    <row r="28" spans="1:38" ht="13.5" hidden="1" customHeight="1" x14ac:dyDescent="0.2">
      <c r="A28" s="15"/>
      <c r="D28" s="26"/>
      <c r="E28" s="37"/>
      <c r="F28" s="28">
        <f>(F15+F21)*-1</f>
        <v>117547</v>
      </c>
      <c r="G28" s="28">
        <f t="shared" ref="G28:AA28" si="33">(G15+G21)*-1</f>
        <v>115169</v>
      </c>
      <c r="H28" s="28">
        <f t="shared" si="33"/>
        <v>140103</v>
      </c>
      <c r="I28" s="28">
        <f t="shared" si="33"/>
        <v>133716</v>
      </c>
      <c r="J28" s="28">
        <f t="shared" si="33"/>
        <v>124952</v>
      </c>
      <c r="K28" s="28">
        <f t="shared" si="33"/>
        <v>162193</v>
      </c>
      <c r="L28" s="28">
        <f t="shared" si="33"/>
        <v>164673</v>
      </c>
      <c r="M28" s="28">
        <f t="shared" si="33"/>
        <v>166715</v>
      </c>
      <c r="N28" s="28">
        <f t="shared" si="33"/>
        <v>133009</v>
      </c>
      <c r="O28" s="28">
        <f t="shared" si="33"/>
        <v>133310</v>
      </c>
      <c r="P28" s="28">
        <f t="shared" si="33"/>
        <v>142687</v>
      </c>
      <c r="Q28" s="28">
        <f t="shared" si="33"/>
        <v>250828</v>
      </c>
      <c r="R28" s="28">
        <f t="shared" si="33"/>
        <v>0</v>
      </c>
      <c r="S28" s="28">
        <f t="shared" si="33"/>
        <v>0</v>
      </c>
      <c r="T28" s="28">
        <f t="shared" si="33"/>
        <v>0</v>
      </c>
      <c r="U28" s="28">
        <f t="shared" si="33"/>
        <v>0</v>
      </c>
      <c r="V28" s="28">
        <f t="shared" si="33"/>
        <v>140525</v>
      </c>
      <c r="W28" s="28">
        <f t="shared" si="33"/>
        <v>0</v>
      </c>
      <c r="X28" s="28">
        <f t="shared" si="33"/>
        <v>0</v>
      </c>
      <c r="Y28" s="28">
        <f t="shared" si="33"/>
        <v>0</v>
      </c>
      <c r="Z28" s="28">
        <f t="shared" si="33"/>
        <v>0</v>
      </c>
      <c r="AA28" s="28">
        <f t="shared" si="33"/>
        <v>0</v>
      </c>
      <c r="AB28" s="28">
        <f t="shared" ref="AB28:AC28" si="34">(AB15+AB21)*-1</f>
        <v>0</v>
      </c>
      <c r="AC28" s="28">
        <f t="shared" si="34"/>
        <v>0</v>
      </c>
      <c r="AD28" s="28">
        <f t="shared" ref="AD28:AE28" si="35">(AD15+AD21)*-1</f>
        <v>0</v>
      </c>
      <c r="AE28" s="28">
        <f t="shared" si="35"/>
        <v>0</v>
      </c>
      <c r="AF28" s="28">
        <f t="shared" ref="AF28:AG28" si="36">(AF15+AF21)*-1</f>
        <v>0</v>
      </c>
      <c r="AG28" s="28">
        <f t="shared" si="36"/>
        <v>0</v>
      </c>
      <c r="AH28" s="28">
        <f t="shared" ref="AH28:AI28" si="37">(AH15+AH21)*-1</f>
        <v>0</v>
      </c>
      <c r="AI28" s="28">
        <f t="shared" si="37"/>
        <v>0</v>
      </c>
      <c r="AJ28" s="28">
        <f t="shared" ref="AJ28:AK28" si="38">(AJ15+AJ21)*-1</f>
        <v>0</v>
      </c>
      <c r="AK28" s="28">
        <f t="shared" si="38"/>
        <v>0</v>
      </c>
      <c r="AL28" s="22"/>
    </row>
    <row r="29" spans="1:38" ht="13.5" customHeight="1" x14ac:dyDescent="0.2">
      <c r="A29" s="15"/>
      <c r="D29" s="26"/>
      <c r="E29" s="27" t="s">
        <v>33</v>
      </c>
      <c r="F29" s="29">
        <f t="shared" ref="F29:L29" si="39">SUM(F27:F28)</f>
        <v>5673143</v>
      </c>
      <c r="G29" s="29">
        <f t="shared" si="39"/>
        <v>6071099</v>
      </c>
      <c r="H29" s="29">
        <f t="shared" si="39"/>
        <v>6772757</v>
      </c>
      <c r="I29" s="29">
        <f t="shared" si="39"/>
        <v>8184237</v>
      </c>
      <c r="J29" s="29">
        <f t="shared" si="39"/>
        <v>10213784</v>
      </c>
      <c r="K29" s="29">
        <f t="shared" si="39"/>
        <v>10300590</v>
      </c>
      <c r="L29" s="29">
        <f t="shared" si="39"/>
        <v>12676038</v>
      </c>
      <c r="M29" s="29">
        <f t="shared" ref="M29:AA29" si="40">SUM(M27:M28)</f>
        <v>11767980</v>
      </c>
      <c r="N29" s="29">
        <f t="shared" si="40"/>
        <v>11586340</v>
      </c>
      <c r="O29" s="29">
        <f t="shared" si="40"/>
        <v>11593756</v>
      </c>
      <c r="P29" s="29">
        <f t="shared" si="40"/>
        <v>11109113</v>
      </c>
      <c r="Q29" s="29">
        <f t="shared" si="40"/>
        <v>13780300</v>
      </c>
      <c r="R29" s="29">
        <f t="shared" si="40"/>
        <v>14283270</v>
      </c>
      <c r="S29" s="29">
        <f t="shared" si="40"/>
        <v>15498743</v>
      </c>
      <c r="T29" s="29">
        <f t="shared" si="40"/>
        <v>16791448</v>
      </c>
      <c r="U29" s="29">
        <f t="shared" si="40"/>
        <v>22786623</v>
      </c>
      <c r="V29" s="29">
        <f t="shared" si="40"/>
        <v>19701075</v>
      </c>
      <c r="W29" s="29">
        <f t="shared" si="40"/>
        <v>20574853</v>
      </c>
      <c r="X29" s="29">
        <f t="shared" si="40"/>
        <v>21866398</v>
      </c>
      <c r="Y29" s="29">
        <f t="shared" si="40"/>
        <v>23048948</v>
      </c>
      <c r="Z29" s="29">
        <f t="shared" si="40"/>
        <v>24811558</v>
      </c>
      <c r="AA29" s="29">
        <f t="shared" si="40"/>
        <v>25582439</v>
      </c>
      <c r="AB29" s="29">
        <f t="shared" ref="AB29:AC29" si="41">SUM(AB27:AB28)</f>
        <v>26823209</v>
      </c>
      <c r="AC29" s="29">
        <f t="shared" si="41"/>
        <v>28830871</v>
      </c>
      <c r="AD29" s="29">
        <f t="shared" ref="AD29:AE29" si="42">SUM(AD27:AD28)</f>
        <v>29017655</v>
      </c>
      <c r="AE29" s="29">
        <f t="shared" si="42"/>
        <v>29241621</v>
      </c>
      <c r="AF29" s="29">
        <f t="shared" ref="AF29:AG29" si="43">SUM(AF27:AF28)</f>
        <v>29115029</v>
      </c>
      <c r="AG29" s="29">
        <f t="shared" si="43"/>
        <v>33703887</v>
      </c>
      <c r="AH29" s="29">
        <f t="shared" ref="AH29:AI29" si="44">SUM(AH27:AH28)</f>
        <v>34409252</v>
      </c>
      <c r="AI29" s="29">
        <f t="shared" si="44"/>
        <v>42967610</v>
      </c>
      <c r="AJ29" s="29">
        <f t="shared" ref="AJ29:AK29" si="45">SUM(AJ27:AJ28)</f>
        <v>47073611</v>
      </c>
      <c r="AK29" s="29">
        <f t="shared" si="45"/>
        <v>42243489</v>
      </c>
      <c r="AL29" s="22"/>
    </row>
    <row r="30" spans="1:38" ht="13.5" customHeight="1" x14ac:dyDescent="0.2">
      <c r="A30" s="15"/>
      <c r="C30" s="2" t="s">
        <v>34</v>
      </c>
      <c r="D30" s="2"/>
      <c r="E30" s="21"/>
      <c r="AL30" s="17"/>
    </row>
    <row r="31" spans="1:38" ht="13.5" customHeight="1" x14ac:dyDescent="0.2">
      <c r="A31" s="15"/>
      <c r="D31" s="1" t="s">
        <v>27</v>
      </c>
      <c r="E31" s="21"/>
      <c r="F31" s="21">
        <v>1356971</v>
      </c>
      <c r="G31" s="21">
        <v>1603550</v>
      </c>
      <c r="H31" s="21">
        <v>1591988</v>
      </c>
      <c r="I31" s="21">
        <v>1643547</v>
      </c>
      <c r="J31" s="21">
        <v>2138930</v>
      </c>
      <c r="K31" s="21">
        <v>1920591</v>
      </c>
      <c r="L31" s="21">
        <v>2463304</v>
      </c>
      <c r="M31" s="21">
        <v>1991194</v>
      </c>
      <c r="N31" s="21">
        <v>2013670</v>
      </c>
      <c r="O31" s="21">
        <v>2526705</v>
      </c>
      <c r="P31" s="21">
        <v>2993843</v>
      </c>
      <c r="Q31" s="21">
        <v>2015369</v>
      </c>
      <c r="R31" s="21">
        <f>2076659</f>
        <v>2076659</v>
      </c>
      <c r="S31" s="21">
        <f>2294911</f>
        <v>2294911</v>
      </c>
      <c r="T31" s="21">
        <f>2691215</f>
        <v>2691215</v>
      </c>
      <c r="U31" s="21">
        <f>3189732</f>
        <v>3189732</v>
      </c>
      <c r="V31" s="21">
        <f>15600+4242428</f>
        <v>4258028</v>
      </c>
      <c r="W31" s="21">
        <f>37050+4482415</f>
        <v>4519465</v>
      </c>
      <c r="X31" s="21">
        <f>15500+4371132</f>
        <v>4386632</v>
      </c>
      <c r="Y31" s="21">
        <f>25150+4591715</f>
        <v>4616865</v>
      </c>
      <c r="Z31" s="21">
        <f>25000+4344913</f>
        <v>4369913</v>
      </c>
      <c r="AA31" s="21">
        <f>25000+4517952</f>
        <v>4542952</v>
      </c>
      <c r="AB31" s="21">
        <f>22600+4950694</f>
        <v>4973294</v>
      </c>
      <c r="AC31" s="21">
        <f>29050+4856799</f>
        <v>4885849</v>
      </c>
      <c r="AD31" s="21">
        <f>24400+7815964</f>
        <v>7840364</v>
      </c>
      <c r="AE31" s="21">
        <f>23900+6397971</f>
        <v>6421871</v>
      </c>
      <c r="AF31" s="21">
        <f>27600+6541893</f>
        <v>6569493</v>
      </c>
      <c r="AG31" s="21">
        <f>2800+7055339</f>
        <v>7058139</v>
      </c>
      <c r="AH31" s="21">
        <f>33400+6351305</f>
        <v>6384705</v>
      </c>
      <c r="AI31" s="21">
        <f>9600+6131138</f>
        <v>6140738</v>
      </c>
      <c r="AJ31" s="21">
        <f>8100+5077508</f>
        <v>5085608</v>
      </c>
      <c r="AK31" s="21">
        <f>8100+5865658</f>
        <v>5873758</v>
      </c>
      <c r="AL31" s="22"/>
    </row>
    <row r="32" spans="1:38" ht="13.5" customHeight="1" x14ac:dyDescent="0.2">
      <c r="A32" s="15"/>
      <c r="D32" s="1" t="s">
        <v>28</v>
      </c>
      <c r="E32" s="23"/>
      <c r="F32" s="31" t="s">
        <v>35</v>
      </c>
      <c r="G32" s="31" t="s">
        <v>35</v>
      </c>
      <c r="H32" s="31" t="s">
        <v>35</v>
      </c>
      <c r="I32" s="31" t="s">
        <v>35</v>
      </c>
      <c r="J32" s="31" t="s">
        <v>35</v>
      </c>
      <c r="K32" s="31" t="s">
        <v>35</v>
      </c>
      <c r="L32" s="31" t="s">
        <v>35</v>
      </c>
      <c r="M32" s="31" t="s">
        <v>35</v>
      </c>
      <c r="N32" s="31" t="s">
        <v>35</v>
      </c>
      <c r="O32" s="31" t="s">
        <v>35</v>
      </c>
      <c r="P32" s="31" t="s">
        <v>35</v>
      </c>
      <c r="Q32" s="24">
        <v>1888886</v>
      </c>
      <c r="R32" s="24">
        <f>2728029</f>
        <v>2728029</v>
      </c>
      <c r="S32" s="24">
        <f>3443864</f>
        <v>3443864</v>
      </c>
      <c r="T32" s="24">
        <f>4282577</f>
        <v>4282577</v>
      </c>
      <c r="U32" s="24">
        <f>4480174</f>
        <v>4480174</v>
      </c>
      <c r="V32" s="24">
        <f>4041831</f>
        <v>4041831</v>
      </c>
      <c r="W32" s="24">
        <f>3583774</f>
        <v>3583774</v>
      </c>
      <c r="X32" s="24">
        <f>2416120</f>
        <v>2416120</v>
      </c>
      <c r="Y32" s="24">
        <f>2734318</f>
        <v>2734318</v>
      </c>
      <c r="Z32" s="24">
        <f>2969205</f>
        <v>2969205</v>
      </c>
      <c r="AA32" s="24">
        <f>3558438</f>
        <v>3558438</v>
      </c>
      <c r="AB32" s="24">
        <f>4034780</f>
        <v>4034780</v>
      </c>
      <c r="AC32" s="24">
        <v>4526568</v>
      </c>
      <c r="AD32" s="24">
        <v>5498018</v>
      </c>
      <c r="AE32" s="24">
        <v>6207696</v>
      </c>
      <c r="AF32" s="24">
        <v>7077124</v>
      </c>
      <c r="AG32" s="24">
        <v>7368054</v>
      </c>
      <c r="AH32" s="24">
        <v>6907696</v>
      </c>
      <c r="AI32" s="24">
        <v>6608719</v>
      </c>
      <c r="AJ32" s="24">
        <f>8035429</f>
        <v>8035429</v>
      </c>
      <c r="AK32" s="24">
        <v>9118669</v>
      </c>
      <c r="AL32" s="52"/>
    </row>
    <row r="33" spans="1:38" ht="13.5" customHeight="1" x14ac:dyDescent="0.2">
      <c r="A33" s="15"/>
      <c r="E33" s="23"/>
      <c r="F33" s="21">
        <f t="shared" ref="F33:AA33" si="46">SUM(F31:F32)</f>
        <v>1356971</v>
      </c>
      <c r="G33" s="21">
        <f t="shared" si="46"/>
        <v>1603550</v>
      </c>
      <c r="H33" s="21">
        <f t="shared" si="46"/>
        <v>1591988</v>
      </c>
      <c r="I33" s="21">
        <f t="shared" si="46"/>
        <v>1643547</v>
      </c>
      <c r="J33" s="21">
        <f t="shared" si="46"/>
        <v>2138930</v>
      </c>
      <c r="K33" s="21">
        <f t="shared" si="46"/>
        <v>1920591</v>
      </c>
      <c r="L33" s="21">
        <f t="shared" si="46"/>
        <v>2463304</v>
      </c>
      <c r="M33" s="21">
        <f t="shared" ref="M33:O33" si="47">M31</f>
        <v>1991194</v>
      </c>
      <c r="N33" s="21">
        <f t="shared" si="47"/>
        <v>2013670</v>
      </c>
      <c r="O33" s="21">
        <f t="shared" si="47"/>
        <v>2526705</v>
      </c>
      <c r="P33" s="21">
        <f>P31</f>
        <v>2993843</v>
      </c>
      <c r="Q33" s="21">
        <f t="shared" si="46"/>
        <v>3904255</v>
      </c>
      <c r="R33" s="21">
        <f t="shared" si="46"/>
        <v>4804688</v>
      </c>
      <c r="S33" s="21">
        <f t="shared" si="46"/>
        <v>5738775</v>
      </c>
      <c r="T33" s="21">
        <f t="shared" si="46"/>
        <v>6973792</v>
      </c>
      <c r="U33" s="21">
        <f t="shared" si="46"/>
        <v>7669906</v>
      </c>
      <c r="V33" s="21">
        <f t="shared" si="46"/>
        <v>8299859</v>
      </c>
      <c r="W33" s="21">
        <f t="shared" si="46"/>
        <v>8103239</v>
      </c>
      <c r="X33" s="21">
        <f t="shared" si="46"/>
        <v>6802752</v>
      </c>
      <c r="Y33" s="21">
        <f t="shared" si="46"/>
        <v>7351183</v>
      </c>
      <c r="Z33" s="21">
        <f t="shared" si="46"/>
        <v>7339118</v>
      </c>
      <c r="AA33" s="21">
        <f t="shared" si="46"/>
        <v>8101390</v>
      </c>
      <c r="AB33" s="21">
        <f t="shared" ref="AB33:AC33" si="48">SUM(AB31:AB32)</f>
        <v>9008074</v>
      </c>
      <c r="AC33" s="21">
        <f t="shared" si="48"/>
        <v>9412417</v>
      </c>
      <c r="AD33" s="21">
        <f t="shared" ref="AD33:AE33" si="49">SUM(AD31:AD32)</f>
        <v>13338382</v>
      </c>
      <c r="AE33" s="21">
        <f t="shared" si="49"/>
        <v>12629567</v>
      </c>
      <c r="AF33" s="21">
        <f t="shared" ref="AF33:AG33" si="50">SUM(AF31:AF32)</f>
        <v>13646617</v>
      </c>
      <c r="AG33" s="21">
        <f t="shared" si="50"/>
        <v>14426193</v>
      </c>
      <c r="AH33" s="21">
        <f t="shared" ref="AH33:AI33" si="51">SUM(AH31:AH32)</f>
        <v>13292401</v>
      </c>
      <c r="AI33" s="21">
        <f t="shared" si="51"/>
        <v>12749457</v>
      </c>
      <c r="AJ33" s="21">
        <f t="shared" ref="AJ33:AK33" si="52">SUM(AJ31:AJ32)</f>
        <v>13121037</v>
      </c>
      <c r="AK33" s="21">
        <f t="shared" si="52"/>
        <v>14992427</v>
      </c>
      <c r="AL33" s="17"/>
    </row>
    <row r="34" spans="1:38" ht="13.5" customHeight="1" x14ac:dyDescent="0.2">
      <c r="A34" s="15"/>
      <c r="C34" s="2" t="s">
        <v>36</v>
      </c>
      <c r="D34" s="2"/>
      <c r="E34" s="23"/>
      <c r="AL34" s="17"/>
    </row>
    <row r="35" spans="1:38" ht="13.5" customHeight="1" x14ac:dyDescent="0.2">
      <c r="A35" s="15"/>
      <c r="D35" s="1" t="s">
        <v>27</v>
      </c>
      <c r="E35" s="21"/>
      <c r="F35" s="21">
        <f t="shared" ref="F35:AA36" si="53">F11+F18+F24+F31</f>
        <v>9718453</v>
      </c>
      <c r="G35" s="21">
        <f t="shared" si="53"/>
        <v>10015570</v>
      </c>
      <c r="H35" s="21">
        <f t="shared" si="53"/>
        <v>10578172</v>
      </c>
      <c r="I35" s="21">
        <f t="shared" si="53"/>
        <v>11727722</v>
      </c>
      <c r="J35" s="21">
        <f t="shared" si="53"/>
        <v>13967584</v>
      </c>
      <c r="K35" s="21">
        <f t="shared" si="53"/>
        <v>13556643</v>
      </c>
      <c r="L35" s="21">
        <f t="shared" si="53"/>
        <v>16151674</v>
      </c>
      <c r="M35" s="21">
        <f t="shared" si="53"/>
        <v>14959291</v>
      </c>
      <c r="N35" s="21">
        <f t="shared" si="53"/>
        <v>15240744</v>
      </c>
      <c r="O35" s="21">
        <f t="shared" si="53"/>
        <v>16317761</v>
      </c>
      <c r="P35" s="21">
        <f t="shared" si="53"/>
        <v>17626259</v>
      </c>
      <c r="Q35" s="21">
        <f t="shared" si="53"/>
        <v>18203163</v>
      </c>
      <c r="R35" s="21">
        <f t="shared" si="53"/>
        <v>19146533</v>
      </c>
      <c r="S35" s="21">
        <f t="shared" si="53"/>
        <v>20767019</v>
      </c>
      <c r="T35" s="21">
        <f t="shared" si="53"/>
        <v>23560635</v>
      </c>
      <c r="U35" s="21">
        <f t="shared" si="53"/>
        <v>26596138</v>
      </c>
      <c r="V35" s="21">
        <f t="shared" si="53"/>
        <v>29526311</v>
      </c>
      <c r="W35" s="21">
        <f t="shared" si="53"/>
        <v>32048448</v>
      </c>
      <c r="X35" s="21">
        <f t="shared" si="53"/>
        <v>33507612</v>
      </c>
      <c r="Y35" s="21">
        <f t="shared" si="53"/>
        <v>32931548</v>
      </c>
      <c r="Z35" s="21">
        <f t="shared" si="53"/>
        <v>34977907</v>
      </c>
      <c r="AA35" s="21">
        <f t="shared" si="53"/>
        <v>36983228</v>
      </c>
      <c r="AB35" s="21">
        <f t="shared" ref="AB35:AC35" si="54">AB11+AB18+AB24+AB31</f>
        <v>40107607</v>
      </c>
      <c r="AC35" s="21">
        <f t="shared" si="54"/>
        <v>43357364</v>
      </c>
      <c r="AD35" s="21">
        <f t="shared" ref="AD35:AE35" si="55">AD11+AD18+AD24+AD31</f>
        <v>47259591</v>
      </c>
      <c r="AE35" s="21">
        <f t="shared" si="55"/>
        <v>46431965</v>
      </c>
      <c r="AF35" s="21">
        <f t="shared" ref="AF35:AG35" si="56">AF11+AF18+AF24+AF31</f>
        <v>47536536</v>
      </c>
      <c r="AG35" s="21">
        <f t="shared" si="56"/>
        <v>53379251</v>
      </c>
      <c r="AH35" s="21">
        <f t="shared" ref="AH35:AI35" si="57">AH11+AH18+AH24+AH31</f>
        <v>54273566</v>
      </c>
      <c r="AI35" s="21">
        <f t="shared" si="57"/>
        <v>57805204</v>
      </c>
      <c r="AJ35" s="21">
        <f t="shared" ref="AJ35:AK35" si="58">AJ11+AJ18+AJ24+AJ31</f>
        <v>53861073</v>
      </c>
      <c r="AK35" s="21">
        <f t="shared" si="58"/>
        <v>58986856</v>
      </c>
      <c r="AL35" s="22"/>
    </row>
    <row r="36" spans="1:38" ht="13.5" customHeight="1" x14ac:dyDescent="0.2">
      <c r="A36" s="15"/>
      <c r="D36" s="1" t="s">
        <v>28</v>
      </c>
      <c r="E36" s="23"/>
      <c r="F36" s="23">
        <f t="shared" ref="F36:L36" si="59">F12+F19+F25</f>
        <v>5360302</v>
      </c>
      <c r="G36" s="23">
        <f t="shared" si="59"/>
        <v>7891674</v>
      </c>
      <c r="H36" s="23">
        <f t="shared" si="59"/>
        <v>8753678</v>
      </c>
      <c r="I36" s="23">
        <f t="shared" si="59"/>
        <v>11193057</v>
      </c>
      <c r="J36" s="23">
        <f t="shared" si="59"/>
        <v>12083044</v>
      </c>
      <c r="K36" s="23">
        <f t="shared" si="59"/>
        <v>11560208</v>
      </c>
      <c r="L36" s="23">
        <f t="shared" si="59"/>
        <v>11015771</v>
      </c>
      <c r="M36" s="23">
        <f>M12+M19+M25</f>
        <v>10217575</v>
      </c>
      <c r="N36" s="23">
        <f>N12+N19+N25</f>
        <v>10595457</v>
      </c>
      <c r="O36" s="23">
        <f>O12+O19+O25</f>
        <v>10514803</v>
      </c>
      <c r="P36" s="23">
        <f>P12+P19+P25</f>
        <v>10836670</v>
      </c>
      <c r="Q36" s="23">
        <f>Q12+Q19+Q25+Q32</f>
        <v>15364674</v>
      </c>
      <c r="R36" s="23">
        <f>R12+R19+R25+R32</f>
        <v>16491099</v>
      </c>
      <c r="S36" s="23">
        <f t="shared" si="53"/>
        <v>19047072</v>
      </c>
      <c r="T36" s="23">
        <f t="shared" si="53"/>
        <v>18799554</v>
      </c>
      <c r="U36" s="23">
        <f t="shared" si="53"/>
        <v>20312356</v>
      </c>
      <c r="V36" s="23">
        <f t="shared" si="53"/>
        <v>24787014</v>
      </c>
      <c r="W36" s="23">
        <f t="shared" si="53"/>
        <v>27792568</v>
      </c>
      <c r="X36" s="23">
        <f t="shared" si="53"/>
        <v>30498189</v>
      </c>
      <c r="Y36" s="23">
        <f t="shared" si="53"/>
        <v>34127130</v>
      </c>
      <c r="Z36" s="23">
        <f t="shared" si="53"/>
        <v>33601575</v>
      </c>
      <c r="AA36" s="23">
        <f t="shared" si="53"/>
        <v>34770606</v>
      </c>
      <c r="AB36" s="23">
        <f t="shared" ref="AB36:AC36" si="60">AB12+AB19+AB25+AB32</f>
        <v>36298523</v>
      </c>
      <c r="AC36" s="23">
        <f t="shared" si="60"/>
        <v>38637997</v>
      </c>
      <c r="AD36" s="23">
        <f t="shared" ref="AD36:AE36" si="61">AD12+AD19+AD25+AD32</f>
        <v>41278843</v>
      </c>
      <c r="AE36" s="23">
        <f t="shared" si="61"/>
        <v>41633910</v>
      </c>
      <c r="AF36" s="23">
        <f t="shared" ref="AF36:AG36" si="62">AF12+AF19+AF25+AF32</f>
        <v>42044691</v>
      </c>
      <c r="AG36" s="23">
        <f t="shared" si="62"/>
        <v>37941100</v>
      </c>
      <c r="AH36" s="23">
        <f t="shared" ref="AH36:AI36" si="63">AH12+AH19+AH25+AH32</f>
        <v>32368602</v>
      </c>
      <c r="AI36" s="23">
        <f t="shared" si="63"/>
        <v>28647479</v>
      </c>
      <c r="AJ36" s="23">
        <f t="shared" ref="AJ36:AK36" si="64">AJ12+AJ19+AJ25+AJ32</f>
        <v>28912617</v>
      </c>
      <c r="AK36" s="23">
        <f t="shared" si="64"/>
        <v>30184571</v>
      </c>
      <c r="AL36" s="52"/>
    </row>
    <row r="37" spans="1:38" ht="13.5" customHeight="1" x14ac:dyDescent="0.2">
      <c r="A37" s="15"/>
      <c r="D37" s="1" t="s">
        <v>29</v>
      </c>
      <c r="E37" s="23"/>
      <c r="F37" s="24">
        <f t="shared" ref="F37:AA37" si="65">F13+F26</f>
        <v>1068998</v>
      </c>
      <c r="G37" s="24">
        <f t="shared" si="65"/>
        <v>1134893</v>
      </c>
      <c r="H37" s="24">
        <f t="shared" si="65"/>
        <v>1264892</v>
      </c>
      <c r="I37" s="24">
        <f t="shared" si="65"/>
        <v>1297815</v>
      </c>
      <c r="J37" s="24">
        <f t="shared" si="65"/>
        <v>1407325</v>
      </c>
      <c r="K37" s="24">
        <f t="shared" si="65"/>
        <v>1521350</v>
      </c>
      <c r="L37" s="24">
        <f t="shared" si="65"/>
        <v>1628944</v>
      </c>
      <c r="M37" s="24">
        <f t="shared" si="65"/>
        <v>1607829</v>
      </c>
      <c r="N37" s="24">
        <f t="shared" si="65"/>
        <v>1484232</v>
      </c>
      <c r="O37" s="24">
        <f t="shared" si="65"/>
        <v>1486266</v>
      </c>
      <c r="P37" s="24">
        <f t="shared" si="65"/>
        <v>1431138</v>
      </c>
      <c r="Q37" s="24">
        <f t="shared" si="65"/>
        <v>1811201</v>
      </c>
      <c r="R37" s="24">
        <f t="shared" si="65"/>
        <v>1861247</v>
      </c>
      <c r="S37" s="24">
        <f t="shared" si="65"/>
        <v>1921996</v>
      </c>
      <c r="T37" s="24">
        <f t="shared" si="65"/>
        <v>1819893</v>
      </c>
      <c r="U37" s="24">
        <f t="shared" si="65"/>
        <v>6438731</v>
      </c>
      <c r="V37" s="24">
        <f t="shared" si="65"/>
        <v>2512877</v>
      </c>
      <c r="W37" s="24">
        <f t="shared" si="65"/>
        <v>2796579</v>
      </c>
      <c r="X37" s="24">
        <f t="shared" si="65"/>
        <v>2795085</v>
      </c>
      <c r="Y37" s="24">
        <f t="shared" si="65"/>
        <v>2922519</v>
      </c>
      <c r="Z37" s="24">
        <f t="shared" si="65"/>
        <v>2947467</v>
      </c>
      <c r="AA37" s="24">
        <f t="shared" si="65"/>
        <v>3118481</v>
      </c>
      <c r="AB37" s="24">
        <f t="shared" ref="AB37:AC37" si="66">AB13+AB26</f>
        <v>3304716</v>
      </c>
      <c r="AC37" s="24">
        <f t="shared" si="66"/>
        <v>3382913</v>
      </c>
      <c r="AD37" s="24">
        <f t="shared" ref="AD37:AE37" si="67">AD13+AD26</f>
        <v>3179763</v>
      </c>
      <c r="AE37" s="24">
        <f t="shared" si="67"/>
        <v>3347665</v>
      </c>
      <c r="AF37" s="24">
        <f t="shared" ref="AF37:AG37" si="68">AF13+AF26</f>
        <v>3126042</v>
      </c>
      <c r="AG37" s="24">
        <f t="shared" si="68"/>
        <v>2937781</v>
      </c>
      <c r="AH37" s="24">
        <f t="shared" ref="AH37:AI37" si="69">AH13+AH26</f>
        <v>2617224</v>
      </c>
      <c r="AI37" s="24">
        <f t="shared" si="69"/>
        <v>11146779</v>
      </c>
      <c r="AJ37" s="24">
        <f t="shared" ref="AJ37:AK37" si="70">AJ13+AJ26</f>
        <v>11501374</v>
      </c>
      <c r="AK37" s="24">
        <f t="shared" si="70"/>
        <v>3193717</v>
      </c>
      <c r="AL37" s="22"/>
    </row>
    <row r="38" spans="1:38" ht="13.5" customHeight="1" x14ac:dyDescent="0.2">
      <c r="A38" s="15"/>
      <c r="E38" s="21"/>
      <c r="F38" s="21">
        <f t="shared" ref="F38:L38" si="71">F35+F36+F37</f>
        <v>16147753</v>
      </c>
      <c r="G38" s="21">
        <f t="shared" si="71"/>
        <v>19042137</v>
      </c>
      <c r="H38" s="21">
        <f t="shared" si="71"/>
        <v>20596742</v>
      </c>
      <c r="I38" s="21">
        <f t="shared" si="71"/>
        <v>24218594</v>
      </c>
      <c r="J38" s="21">
        <f t="shared" si="71"/>
        <v>27457953</v>
      </c>
      <c r="K38" s="21">
        <f t="shared" si="71"/>
        <v>26638201</v>
      </c>
      <c r="L38" s="21">
        <f t="shared" si="71"/>
        <v>28796389</v>
      </c>
      <c r="M38" s="21">
        <f t="shared" ref="M38:AA38" si="72">SUM(M35:M37)</f>
        <v>26784695</v>
      </c>
      <c r="N38" s="21">
        <f t="shared" si="72"/>
        <v>27320433</v>
      </c>
      <c r="O38" s="21">
        <f t="shared" si="72"/>
        <v>28318830</v>
      </c>
      <c r="P38" s="21">
        <f t="shared" si="72"/>
        <v>29894067</v>
      </c>
      <c r="Q38" s="21">
        <f t="shared" si="72"/>
        <v>35379038</v>
      </c>
      <c r="R38" s="21">
        <f t="shared" si="72"/>
        <v>37498879</v>
      </c>
      <c r="S38" s="21">
        <f t="shared" si="72"/>
        <v>41736087</v>
      </c>
      <c r="T38" s="21">
        <f t="shared" si="72"/>
        <v>44180082</v>
      </c>
      <c r="U38" s="21">
        <f t="shared" si="72"/>
        <v>53347225</v>
      </c>
      <c r="V38" s="21">
        <f t="shared" si="72"/>
        <v>56826202</v>
      </c>
      <c r="W38" s="21">
        <f t="shared" si="72"/>
        <v>62637595</v>
      </c>
      <c r="X38" s="21">
        <f t="shared" si="72"/>
        <v>66800886</v>
      </c>
      <c r="Y38" s="21">
        <f t="shared" si="72"/>
        <v>69981197</v>
      </c>
      <c r="Z38" s="21">
        <f t="shared" si="72"/>
        <v>71526949</v>
      </c>
      <c r="AA38" s="21">
        <f t="shared" si="72"/>
        <v>74872315</v>
      </c>
      <c r="AB38" s="21">
        <f t="shared" ref="AB38:AC38" si="73">SUM(AB35:AB37)</f>
        <v>79710846</v>
      </c>
      <c r="AC38" s="21">
        <f t="shared" si="73"/>
        <v>85378274</v>
      </c>
      <c r="AD38" s="21">
        <f t="shared" ref="AD38:AE38" si="74">SUM(AD35:AD37)</f>
        <v>91718197</v>
      </c>
      <c r="AE38" s="21">
        <f t="shared" si="74"/>
        <v>91413540</v>
      </c>
      <c r="AF38" s="21">
        <f t="shared" ref="AF38:AG38" si="75">SUM(AF35:AF37)</f>
        <v>92707269</v>
      </c>
      <c r="AG38" s="21">
        <f t="shared" si="75"/>
        <v>94258132</v>
      </c>
      <c r="AH38" s="21">
        <f t="shared" ref="AH38:AI38" si="76">SUM(AH35:AH37)</f>
        <v>89259392</v>
      </c>
      <c r="AI38" s="21">
        <f t="shared" si="76"/>
        <v>97599462</v>
      </c>
      <c r="AJ38" s="21">
        <f t="shared" ref="AJ38:AK38" si="77">SUM(AJ35:AJ37)</f>
        <v>94275064</v>
      </c>
      <c r="AK38" s="21">
        <f t="shared" si="77"/>
        <v>92365144</v>
      </c>
      <c r="AL38" s="22"/>
    </row>
    <row r="39" spans="1:38" ht="13.5" customHeight="1" x14ac:dyDescent="0.2">
      <c r="A39" s="15"/>
      <c r="C39" s="2" t="s">
        <v>37</v>
      </c>
      <c r="D39" s="2"/>
      <c r="AL39" s="17"/>
    </row>
    <row r="40" spans="1:38" ht="13.5" customHeight="1" x14ac:dyDescent="0.2">
      <c r="A40" s="15"/>
      <c r="D40" s="1" t="s">
        <v>38</v>
      </c>
      <c r="F40" s="32">
        <v>1824</v>
      </c>
      <c r="G40" s="32">
        <v>1890</v>
      </c>
      <c r="H40" s="32">
        <v>1943</v>
      </c>
      <c r="I40" s="32">
        <v>2221</v>
      </c>
      <c r="J40" s="32">
        <v>2490</v>
      </c>
      <c r="K40" s="32">
        <v>2363</v>
      </c>
      <c r="L40" s="32">
        <v>2283</v>
      </c>
      <c r="M40" s="32">
        <v>2079</v>
      </c>
      <c r="N40" s="32">
        <v>2046</v>
      </c>
      <c r="O40" s="32">
        <v>1603</v>
      </c>
      <c r="P40" s="32">
        <v>1740</v>
      </c>
      <c r="Q40" s="32">
        <v>1931</v>
      </c>
      <c r="R40" s="32">
        <v>1918</v>
      </c>
      <c r="S40" s="32">
        <v>1910</v>
      </c>
      <c r="T40" s="32">
        <v>1834</v>
      </c>
      <c r="U40" s="32">
        <v>2035</v>
      </c>
      <c r="V40" s="32">
        <v>2693</v>
      </c>
      <c r="W40" s="32">
        <v>2975</v>
      </c>
      <c r="X40" s="32">
        <v>3219</v>
      </c>
      <c r="Y40" s="32">
        <v>3305</v>
      </c>
      <c r="Z40" s="32">
        <v>3342</v>
      </c>
      <c r="AA40" s="32">
        <v>3426</v>
      </c>
      <c r="AB40" s="32">
        <v>3373</v>
      </c>
      <c r="AC40" s="32">
        <v>3460</v>
      </c>
      <c r="AD40" s="32">
        <v>3477</v>
      </c>
      <c r="AE40" s="32">
        <v>3519</v>
      </c>
      <c r="AF40" s="32">
        <v>3371</v>
      </c>
      <c r="AG40" s="32">
        <v>3017</v>
      </c>
      <c r="AH40" s="32">
        <v>2752</v>
      </c>
      <c r="AI40" s="32">
        <v>2399</v>
      </c>
      <c r="AJ40" s="32">
        <v>2436</v>
      </c>
      <c r="AK40" s="32">
        <v>2812</v>
      </c>
      <c r="AL40" s="17"/>
    </row>
    <row r="41" spans="1:38" ht="13.5" customHeight="1" x14ac:dyDescent="0.2">
      <c r="A41" s="15"/>
      <c r="D41" s="1" t="s">
        <v>39</v>
      </c>
      <c r="E41" s="23"/>
      <c r="F41" s="33">
        <v>1664</v>
      </c>
      <c r="G41" s="33">
        <v>1765</v>
      </c>
      <c r="H41" s="33">
        <v>1748</v>
      </c>
      <c r="I41" s="33">
        <v>1584</v>
      </c>
      <c r="J41" s="33">
        <v>1580</v>
      </c>
      <c r="K41" s="33">
        <v>1322</v>
      </c>
      <c r="L41" s="33">
        <v>1350</v>
      </c>
      <c r="M41" s="33">
        <v>1363</v>
      </c>
      <c r="N41" s="33">
        <v>1330</v>
      </c>
      <c r="O41" s="33">
        <v>1849</v>
      </c>
      <c r="P41" s="33">
        <v>1818</v>
      </c>
      <c r="Q41" s="33">
        <v>1964</v>
      </c>
      <c r="R41" s="33">
        <v>2026</v>
      </c>
      <c r="S41" s="33">
        <v>2213</v>
      </c>
      <c r="T41" s="33">
        <v>2456</v>
      </c>
      <c r="U41" s="33">
        <v>2322</v>
      </c>
      <c r="V41" s="33">
        <v>1931</v>
      </c>
      <c r="W41" s="33">
        <v>2132</v>
      </c>
      <c r="X41" s="33">
        <v>2380</v>
      </c>
      <c r="Y41" s="33">
        <v>2081</v>
      </c>
      <c r="Z41" s="33">
        <v>2138</v>
      </c>
      <c r="AA41" s="33">
        <v>2221</v>
      </c>
      <c r="AB41" s="33">
        <v>2374</v>
      </c>
      <c r="AC41" s="33">
        <v>2793</v>
      </c>
      <c r="AD41" s="33">
        <v>2822</v>
      </c>
      <c r="AE41" s="33">
        <v>2973</v>
      </c>
      <c r="AF41" s="33">
        <v>3032</v>
      </c>
      <c r="AG41" s="33">
        <v>3070</v>
      </c>
      <c r="AH41" s="33">
        <v>2935</v>
      </c>
      <c r="AI41" s="33">
        <v>3052</v>
      </c>
      <c r="AJ41" s="33">
        <v>2799</v>
      </c>
      <c r="AK41" s="33">
        <v>2379</v>
      </c>
      <c r="AL41" s="17"/>
    </row>
    <row r="42" spans="1:38" ht="13.5" customHeight="1" x14ac:dyDescent="0.2">
      <c r="A42" s="15"/>
      <c r="E42" s="23"/>
      <c r="F42" s="32">
        <f t="shared" ref="F42:AA42" si="78">SUM(F40:F41)</f>
        <v>3488</v>
      </c>
      <c r="G42" s="32">
        <f t="shared" si="78"/>
        <v>3655</v>
      </c>
      <c r="H42" s="32">
        <f t="shared" si="78"/>
        <v>3691</v>
      </c>
      <c r="I42" s="32">
        <f t="shared" si="78"/>
        <v>3805</v>
      </c>
      <c r="J42" s="32">
        <f t="shared" si="78"/>
        <v>4070</v>
      </c>
      <c r="K42" s="32">
        <f t="shared" si="78"/>
        <v>3685</v>
      </c>
      <c r="L42" s="32">
        <f t="shared" si="78"/>
        <v>3633</v>
      </c>
      <c r="M42" s="32">
        <f t="shared" si="78"/>
        <v>3442</v>
      </c>
      <c r="N42" s="32">
        <f t="shared" si="78"/>
        <v>3376</v>
      </c>
      <c r="O42" s="32">
        <f t="shared" si="78"/>
        <v>3452</v>
      </c>
      <c r="P42" s="32">
        <f t="shared" si="78"/>
        <v>3558</v>
      </c>
      <c r="Q42" s="32">
        <f t="shared" si="78"/>
        <v>3895</v>
      </c>
      <c r="R42" s="32">
        <f t="shared" si="78"/>
        <v>3944</v>
      </c>
      <c r="S42" s="32">
        <f t="shared" si="78"/>
        <v>4123</v>
      </c>
      <c r="T42" s="32">
        <f t="shared" si="78"/>
        <v>4290</v>
      </c>
      <c r="U42" s="32">
        <f t="shared" si="78"/>
        <v>4357</v>
      </c>
      <c r="V42" s="32">
        <f t="shared" si="78"/>
        <v>4624</v>
      </c>
      <c r="W42" s="32">
        <f t="shared" si="78"/>
        <v>5107</v>
      </c>
      <c r="X42" s="32">
        <f t="shared" si="78"/>
        <v>5599</v>
      </c>
      <c r="Y42" s="32">
        <f t="shared" si="78"/>
        <v>5386</v>
      </c>
      <c r="Z42" s="32">
        <f t="shared" si="78"/>
        <v>5480</v>
      </c>
      <c r="AA42" s="32">
        <f t="shared" si="78"/>
        <v>5647</v>
      </c>
      <c r="AB42" s="32">
        <f t="shared" ref="AB42:AC42" si="79">SUM(AB40:AB41)</f>
        <v>5747</v>
      </c>
      <c r="AC42" s="32">
        <f t="shared" si="79"/>
        <v>6253</v>
      </c>
      <c r="AD42" s="32">
        <f t="shared" ref="AD42:AE42" si="80">SUM(AD40:AD41)</f>
        <v>6299</v>
      </c>
      <c r="AE42" s="32">
        <f t="shared" si="80"/>
        <v>6492</v>
      </c>
      <c r="AF42" s="32">
        <f t="shared" ref="AF42:AG42" si="81">SUM(AF40:AF41)</f>
        <v>6403</v>
      </c>
      <c r="AG42" s="32">
        <f t="shared" si="81"/>
        <v>6087</v>
      </c>
      <c r="AH42" s="32">
        <f t="shared" ref="AH42:AI42" si="82">SUM(AH40:AH41)</f>
        <v>5687</v>
      </c>
      <c r="AI42" s="32">
        <f t="shared" si="82"/>
        <v>5451</v>
      </c>
      <c r="AJ42" s="32">
        <f t="shared" ref="AJ42:AK42" si="83">SUM(AJ40:AJ41)</f>
        <v>5235</v>
      </c>
      <c r="AK42" s="32">
        <f t="shared" si="83"/>
        <v>5191</v>
      </c>
      <c r="AL42" s="17"/>
    </row>
    <row r="43" spans="1:38" ht="13.5" customHeight="1" x14ac:dyDescent="0.2">
      <c r="A43" s="15"/>
      <c r="AL43" s="17"/>
    </row>
    <row r="44" spans="1:38" ht="13.5" customHeight="1" x14ac:dyDescent="0.2">
      <c r="A44" s="15"/>
      <c r="B44" s="49" t="s">
        <v>40</v>
      </c>
      <c r="C44" s="50"/>
      <c r="D44" s="50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17"/>
    </row>
    <row r="45" spans="1:38" ht="13.5" customHeight="1" x14ac:dyDescent="0.2">
      <c r="A45" s="15"/>
      <c r="C45" s="2" t="s">
        <v>26</v>
      </c>
      <c r="D45" s="2"/>
      <c r="E45" s="21"/>
      <c r="AL45" s="17"/>
    </row>
    <row r="46" spans="1:38" ht="13.5" customHeight="1" x14ac:dyDescent="0.2">
      <c r="A46" s="15"/>
      <c r="D46" s="1" t="s">
        <v>27</v>
      </c>
      <c r="E46" s="21"/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f>0</f>
        <v>0</v>
      </c>
      <c r="S46" s="21">
        <v>0</v>
      </c>
      <c r="T46" s="21">
        <v>0</v>
      </c>
      <c r="U46" s="21">
        <f>62915</f>
        <v>62915</v>
      </c>
      <c r="V46" s="21">
        <v>0</v>
      </c>
      <c r="W46" s="21">
        <f>10000</f>
        <v>10000</v>
      </c>
      <c r="X46" s="21">
        <v>0</v>
      </c>
      <c r="Y46" s="21">
        <v>0</v>
      </c>
      <c r="Z46" s="21">
        <v>0</v>
      </c>
      <c r="AA46" s="21">
        <v>0</v>
      </c>
      <c r="AB46" s="21">
        <v>0</v>
      </c>
      <c r="AC46" s="21">
        <v>0</v>
      </c>
      <c r="AD46" s="21">
        <v>0</v>
      </c>
      <c r="AE46" s="21">
        <v>4359</v>
      </c>
      <c r="AF46" s="21">
        <f>758141+131617</f>
        <v>889758</v>
      </c>
      <c r="AG46" s="21">
        <f>723315+683704+39804</f>
        <v>1446823</v>
      </c>
      <c r="AH46" s="21">
        <f>463317+871405+39514</f>
        <v>1374236</v>
      </c>
      <c r="AI46" s="21">
        <f>595044+1002939+323500</f>
        <v>1921483</v>
      </c>
      <c r="AJ46" s="21">
        <f>551471+1002887</f>
        <v>1554358</v>
      </c>
      <c r="AK46" s="21">
        <f>584873+559916</f>
        <v>1144789</v>
      </c>
      <c r="AL46" s="17"/>
    </row>
    <row r="47" spans="1:38" ht="13.5" customHeight="1" x14ac:dyDescent="0.2">
      <c r="A47" s="15"/>
      <c r="D47" s="1" t="s">
        <v>28</v>
      </c>
      <c r="E47" s="23"/>
      <c r="F47" s="23">
        <v>643562</v>
      </c>
      <c r="G47" s="23">
        <v>813788</v>
      </c>
      <c r="H47" s="23">
        <v>818123</v>
      </c>
      <c r="I47" s="23">
        <v>870614</v>
      </c>
      <c r="J47" s="23">
        <v>1077551</v>
      </c>
      <c r="K47" s="23">
        <v>1057123</v>
      </c>
      <c r="L47" s="23">
        <v>893127</v>
      </c>
      <c r="M47" s="23">
        <v>1001187</v>
      </c>
      <c r="N47" s="23">
        <v>1344405</v>
      </c>
      <c r="O47" s="23">
        <v>1632944</v>
      </c>
      <c r="P47" s="23">
        <v>2193636</v>
      </c>
      <c r="Q47" s="23">
        <v>2553311</v>
      </c>
      <c r="R47" s="23">
        <f>60150+1156226+823095</f>
        <v>2039471</v>
      </c>
      <c r="S47" s="23">
        <f>66150+1244341+888166</f>
        <v>2198657</v>
      </c>
      <c r="T47" s="23">
        <f>47864+54624+1129235+788869</f>
        <v>2020592</v>
      </c>
      <c r="U47" s="23">
        <f>36697+1196831+1144089</f>
        <v>2377617</v>
      </c>
      <c r="V47" s="23">
        <f>31516+36475+1010045+1126289</f>
        <v>2204325</v>
      </c>
      <c r="W47" s="23">
        <f>61905+80908+21530+20250+105621+1477013+1514175</f>
        <v>3281402</v>
      </c>
      <c r="X47" s="23">
        <f>1845668+1653799+125702+7882</f>
        <v>3633051</v>
      </c>
      <c r="Y47" s="23">
        <f>1872319+1821662+191629+9300</f>
        <v>3894910</v>
      </c>
      <c r="Z47" s="23">
        <f>2919517+131779</f>
        <v>3051296</v>
      </c>
      <c r="AA47" s="23">
        <f>2491240+182748+24400</f>
        <v>2698388</v>
      </c>
      <c r="AB47" s="23">
        <f>2536570+268814</f>
        <v>2805384</v>
      </c>
      <c r="AC47" s="23">
        <f>2427863+227418+3700</f>
        <v>2658981</v>
      </c>
      <c r="AD47" s="23">
        <f>2650095+391091</f>
        <v>3041186</v>
      </c>
      <c r="AE47" s="23">
        <f>2769684+383548</f>
        <v>3153232</v>
      </c>
      <c r="AF47" s="23">
        <f>2397690+427842</f>
        <v>2825532</v>
      </c>
      <c r="AG47" s="23">
        <f>2268614+552270</f>
        <v>2820884</v>
      </c>
      <c r="AH47" s="23">
        <f>2687241+664617</f>
        <v>3351858</v>
      </c>
      <c r="AI47" s="23">
        <f>2130449+315741</f>
        <v>2446190</v>
      </c>
      <c r="AJ47" s="23">
        <f>1529035+196687</f>
        <v>1725722</v>
      </c>
      <c r="AK47" s="23">
        <f>1504304+170207</f>
        <v>1674511</v>
      </c>
      <c r="AL47" s="47"/>
    </row>
    <row r="48" spans="1:38" ht="13.5" customHeight="1" x14ac:dyDescent="0.2">
      <c r="A48" s="15"/>
      <c r="D48" s="1" t="s">
        <v>29</v>
      </c>
      <c r="E48" s="23"/>
      <c r="F48" s="24">
        <v>16891</v>
      </c>
      <c r="G48" s="24">
        <v>10467</v>
      </c>
      <c r="H48" s="24">
        <v>7551</v>
      </c>
      <c r="I48" s="24">
        <v>4261</v>
      </c>
      <c r="J48" s="24">
        <v>3844</v>
      </c>
      <c r="K48" s="24">
        <v>5925</v>
      </c>
      <c r="L48" s="24">
        <v>1143</v>
      </c>
      <c r="M48" s="24">
        <v>5392</v>
      </c>
      <c r="N48" s="24">
        <v>4818</v>
      </c>
      <c r="O48" s="24">
        <v>5358</v>
      </c>
      <c r="P48" s="24">
        <v>14574</v>
      </c>
      <c r="Q48" s="24">
        <v>7891</v>
      </c>
      <c r="R48" s="24">
        <f>5138</f>
        <v>5138</v>
      </c>
      <c r="S48" s="24">
        <v>6371</v>
      </c>
      <c r="T48" s="24">
        <v>2675</v>
      </c>
      <c r="U48" s="24">
        <v>0</v>
      </c>
      <c r="V48" s="24">
        <v>0</v>
      </c>
      <c r="W48" s="24">
        <v>0</v>
      </c>
      <c r="X48" s="24">
        <f>5103</f>
        <v>5103</v>
      </c>
      <c r="Y48" s="24">
        <f>1343</f>
        <v>1343</v>
      </c>
      <c r="Z48" s="24">
        <v>0</v>
      </c>
      <c r="AA48" s="24">
        <v>0</v>
      </c>
      <c r="AB48" s="24">
        <v>0</v>
      </c>
      <c r="AC48" s="24">
        <v>237</v>
      </c>
      <c r="AD48" s="24">
        <v>0</v>
      </c>
      <c r="AE48" s="24">
        <v>960</v>
      </c>
      <c r="AF48" s="24">
        <v>0</v>
      </c>
      <c r="AG48" s="24">
        <v>928</v>
      </c>
      <c r="AH48" s="24">
        <v>454</v>
      </c>
      <c r="AI48" s="24">
        <v>4621</v>
      </c>
      <c r="AJ48" s="24">
        <v>0</v>
      </c>
      <c r="AK48" s="24">
        <v>0</v>
      </c>
      <c r="AL48" s="47"/>
    </row>
    <row r="49" spans="1:38" ht="13.5" customHeight="1" x14ac:dyDescent="0.2">
      <c r="A49" s="15"/>
      <c r="E49" s="21"/>
      <c r="F49" s="21">
        <f t="shared" ref="F49:M49" si="84">SUM(F46:F48)</f>
        <v>660453</v>
      </c>
      <c r="G49" s="21">
        <f t="shared" si="84"/>
        <v>824255</v>
      </c>
      <c r="H49" s="21">
        <f t="shared" si="84"/>
        <v>825674</v>
      </c>
      <c r="I49" s="21">
        <f t="shared" si="84"/>
        <v>874875</v>
      </c>
      <c r="J49" s="21">
        <f t="shared" si="84"/>
        <v>1081395</v>
      </c>
      <c r="K49" s="21">
        <f t="shared" si="84"/>
        <v>1063048</v>
      </c>
      <c r="L49" s="21">
        <f t="shared" si="84"/>
        <v>894270</v>
      </c>
      <c r="M49" s="21">
        <f t="shared" si="84"/>
        <v>1006579</v>
      </c>
      <c r="N49" s="21">
        <f t="shared" ref="N49:AA49" si="85">SUM(N46:N48)</f>
        <v>1349223</v>
      </c>
      <c r="O49" s="21">
        <f t="shared" si="85"/>
        <v>1638302</v>
      </c>
      <c r="P49" s="21">
        <f t="shared" si="85"/>
        <v>2208210</v>
      </c>
      <c r="Q49" s="21">
        <f t="shared" si="85"/>
        <v>2561202</v>
      </c>
      <c r="R49" s="21">
        <f t="shared" si="85"/>
        <v>2044609</v>
      </c>
      <c r="S49" s="21">
        <f t="shared" si="85"/>
        <v>2205028</v>
      </c>
      <c r="T49" s="21">
        <f t="shared" si="85"/>
        <v>2023267</v>
      </c>
      <c r="U49" s="21">
        <f t="shared" si="85"/>
        <v>2440532</v>
      </c>
      <c r="V49" s="21">
        <f t="shared" si="85"/>
        <v>2204325</v>
      </c>
      <c r="W49" s="21">
        <f t="shared" si="85"/>
        <v>3291402</v>
      </c>
      <c r="X49" s="21">
        <f t="shared" si="85"/>
        <v>3638154</v>
      </c>
      <c r="Y49" s="21">
        <f t="shared" si="85"/>
        <v>3896253</v>
      </c>
      <c r="Z49" s="21">
        <f t="shared" si="85"/>
        <v>3051296</v>
      </c>
      <c r="AA49" s="21">
        <f t="shared" si="85"/>
        <v>2698388</v>
      </c>
      <c r="AB49" s="21">
        <f t="shared" ref="AB49:AC49" si="86">SUM(AB46:AB48)</f>
        <v>2805384</v>
      </c>
      <c r="AC49" s="21">
        <f t="shared" si="86"/>
        <v>2659218</v>
      </c>
      <c r="AD49" s="21">
        <f t="shared" ref="AD49:AE49" si="87">SUM(AD46:AD48)</f>
        <v>3041186</v>
      </c>
      <c r="AE49" s="21">
        <f t="shared" si="87"/>
        <v>3158551</v>
      </c>
      <c r="AF49" s="21">
        <f t="shared" ref="AF49:AG49" si="88">SUM(AF46:AF48)</f>
        <v>3715290</v>
      </c>
      <c r="AG49" s="21">
        <f t="shared" si="88"/>
        <v>4268635</v>
      </c>
      <c r="AH49" s="21">
        <f t="shared" ref="AH49:AI49" si="89">SUM(AH46:AH48)</f>
        <v>4726548</v>
      </c>
      <c r="AI49" s="21">
        <f t="shared" si="89"/>
        <v>4372294</v>
      </c>
      <c r="AJ49" s="21">
        <f t="shared" ref="AJ49:AK49" si="90">SUM(AJ46:AJ48)</f>
        <v>3280080</v>
      </c>
      <c r="AK49" s="21">
        <f t="shared" si="90"/>
        <v>2819300</v>
      </c>
      <c r="AL49" s="17"/>
    </row>
    <row r="50" spans="1:38" ht="13.5" hidden="1" customHeight="1" x14ac:dyDescent="0.2">
      <c r="A50" s="15"/>
      <c r="D50" s="26"/>
      <c r="E50" s="37"/>
      <c r="F50" s="28">
        <v>-7503</v>
      </c>
      <c r="G50" s="28">
        <v>-7030</v>
      </c>
      <c r="H50" s="28">
        <v>-2629</v>
      </c>
      <c r="I50" s="28">
        <v>-2451</v>
      </c>
      <c r="J50" s="28">
        <v>-2878</v>
      </c>
      <c r="K50" s="28">
        <v>-9071</v>
      </c>
      <c r="L50" s="28">
        <v>-3189</v>
      </c>
      <c r="M50" s="28">
        <v>-4870</v>
      </c>
      <c r="N50" s="28">
        <v>-1204</v>
      </c>
      <c r="O50" s="28">
        <v>-1211</v>
      </c>
      <c r="P50" s="28">
        <v>-1295</v>
      </c>
      <c r="Q50" s="28">
        <v>-12232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17"/>
    </row>
    <row r="51" spans="1:38" ht="13.5" customHeight="1" x14ac:dyDescent="0.2">
      <c r="A51" s="3"/>
      <c r="D51" s="26"/>
      <c r="E51" s="27" t="s">
        <v>30</v>
      </c>
      <c r="F51" s="29">
        <f t="shared" ref="F51:AA51" si="91">SUM(F49:F50)</f>
        <v>652950</v>
      </c>
      <c r="G51" s="29">
        <f t="shared" si="91"/>
        <v>817225</v>
      </c>
      <c r="H51" s="29">
        <f t="shared" si="91"/>
        <v>823045</v>
      </c>
      <c r="I51" s="29">
        <f t="shared" si="91"/>
        <v>872424</v>
      </c>
      <c r="J51" s="29">
        <f t="shared" si="91"/>
        <v>1078517</v>
      </c>
      <c r="K51" s="29">
        <f t="shared" si="91"/>
        <v>1053977</v>
      </c>
      <c r="L51" s="29">
        <f t="shared" si="91"/>
        <v>891081</v>
      </c>
      <c r="M51" s="29">
        <f t="shared" si="91"/>
        <v>1001709</v>
      </c>
      <c r="N51" s="29">
        <f t="shared" si="91"/>
        <v>1348019</v>
      </c>
      <c r="O51" s="29">
        <f t="shared" si="91"/>
        <v>1637091</v>
      </c>
      <c r="P51" s="29">
        <f t="shared" si="91"/>
        <v>2206915</v>
      </c>
      <c r="Q51" s="29">
        <f t="shared" si="91"/>
        <v>2548970</v>
      </c>
      <c r="R51" s="29">
        <f t="shared" si="91"/>
        <v>2044609</v>
      </c>
      <c r="S51" s="29">
        <f t="shared" si="91"/>
        <v>2205028</v>
      </c>
      <c r="T51" s="29">
        <f t="shared" si="91"/>
        <v>2023267</v>
      </c>
      <c r="U51" s="29">
        <f t="shared" si="91"/>
        <v>2440532</v>
      </c>
      <c r="V51" s="29">
        <f t="shared" si="91"/>
        <v>2204325</v>
      </c>
      <c r="W51" s="29">
        <f t="shared" si="91"/>
        <v>3291402</v>
      </c>
      <c r="X51" s="29">
        <f t="shared" si="91"/>
        <v>3638154</v>
      </c>
      <c r="Y51" s="29">
        <f t="shared" si="91"/>
        <v>3896253</v>
      </c>
      <c r="Z51" s="29">
        <f t="shared" si="91"/>
        <v>3051296</v>
      </c>
      <c r="AA51" s="29">
        <f t="shared" si="91"/>
        <v>2698388</v>
      </c>
      <c r="AB51" s="29">
        <f t="shared" ref="AB51:AC51" si="92">SUM(AB49:AB50)</f>
        <v>2805384</v>
      </c>
      <c r="AC51" s="29">
        <f t="shared" si="92"/>
        <v>2659218</v>
      </c>
      <c r="AD51" s="29">
        <f t="shared" ref="AD51:AE51" si="93">SUM(AD49:AD50)</f>
        <v>3041186</v>
      </c>
      <c r="AE51" s="29">
        <f t="shared" si="93"/>
        <v>3158551</v>
      </c>
      <c r="AF51" s="29">
        <f t="shared" ref="AF51:AG51" si="94">SUM(AF49:AF50)</f>
        <v>3715290</v>
      </c>
      <c r="AG51" s="29">
        <f t="shared" si="94"/>
        <v>4268635</v>
      </c>
      <c r="AH51" s="29">
        <f t="shared" ref="AH51:AI51" si="95">SUM(AH49:AH50)</f>
        <v>4726548</v>
      </c>
      <c r="AI51" s="29">
        <f t="shared" si="95"/>
        <v>4372294</v>
      </c>
      <c r="AJ51" s="29">
        <f t="shared" ref="AJ51:AK51" si="96">SUM(AJ49:AJ50)</f>
        <v>3280080</v>
      </c>
      <c r="AK51" s="29">
        <f t="shared" si="96"/>
        <v>2819300</v>
      </c>
      <c r="AL51" s="5"/>
    </row>
    <row r="52" spans="1:38" ht="13.5" customHeight="1" x14ac:dyDescent="0.2">
      <c r="A52" s="15"/>
      <c r="C52" s="2" t="s">
        <v>31</v>
      </c>
      <c r="E52" s="21"/>
      <c r="AL52" s="17"/>
    </row>
    <row r="53" spans="1:38" ht="13.5" customHeight="1" x14ac:dyDescent="0.2">
      <c r="A53" s="15"/>
      <c r="D53" s="1" t="s">
        <v>27</v>
      </c>
      <c r="E53" s="21"/>
      <c r="F53" s="21">
        <v>0</v>
      </c>
      <c r="G53" s="21">
        <v>5111</v>
      </c>
      <c r="H53" s="21">
        <v>0</v>
      </c>
      <c r="I53" s="21">
        <v>3016</v>
      </c>
      <c r="J53" s="21">
        <v>0</v>
      </c>
      <c r="K53" s="21">
        <v>0</v>
      </c>
      <c r="L53" s="21">
        <v>0</v>
      </c>
      <c r="M53" s="21">
        <v>0</v>
      </c>
      <c r="N53" s="21">
        <v>1500</v>
      </c>
      <c r="O53" s="21">
        <v>2250</v>
      </c>
      <c r="P53" s="21">
        <v>0</v>
      </c>
      <c r="Q53" s="21">
        <v>0</v>
      </c>
      <c r="R53" s="21">
        <f>750</f>
        <v>750</v>
      </c>
      <c r="S53" s="21">
        <v>0</v>
      </c>
      <c r="T53" s="21">
        <f>5232</f>
        <v>5232</v>
      </c>
      <c r="U53" s="21">
        <f>1222</f>
        <v>1222</v>
      </c>
      <c r="V53" s="21">
        <v>0</v>
      </c>
      <c r="W53" s="21">
        <f>2071</f>
        <v>2071</v>
      </c>
      <c r="X53" s="21">
        <f>10055</f>
        <v>10055</v>
      </c>
      <c r="Y53" s="21">
        <f>7437</f>
        <v>7437</v>
      </c>
      <c r="Z53" s="21">
        <f>6701</f>
        <v>6701</v>
      </c>
      <c r="AA53" s="21">
        <f>3078</f>
        <v>3078</v>
      </c>
      <c r="AB53" s="21">
        <f>9249</f>
        <v>9249</v>
      </c>
      <c r="AC53" s="21">
        <v>1050</v>
      </c>
      <c r="AD53" s="21">
        <f>13273+500</f>
        <v>13773</v>
      </c>
      <c r="AE53" s="21">
        <v>0</v>
      </c>
      <c r="AF53" s="21">
        <v>16216</v>
      </c>
      <c r="AG53" s="21">
        <v>6777</v>
      </c>
      <c r="AH53" s="21">
        <f>3997+6970</f>
        <v>10967</v>
      </c>
      <c r="AI53" s="21">
        <f>22828+3087</f>
        <v>25915</v>
      </c>
      <c r="AJ53" s="21">
        <f>19910+3087</f>
        <v>22997</v>
      </c>
      <c r="AK53" s="21">
        <f>36494+13356</f>
        <v>49850</v>
      </c>
      <c r="AL53" s="17"/>
    </row>
    <row r="54" spans="1:38" ht="13.5" customHeight="1" x14ac:dyDescent="0.2">
      <c r="A54" s="15"/>
      <c r="D54" s="1" t="s">
        <v>28</v>
      </c>
      <c r="E54" s="23"/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f>0</f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47"/>
    </row>
    <row r="55" spans="1:38" ht="13.5" customHeight="1" x14ac:dyDescent="0.2">
      <c r="A55" s="15"/>
      <c r="E55" s="21"/>
      <c r="F55" s="21">
        <f t="shared" ref="F55:AA55" si="97">SUM(F53:F54)</f>
        <v>0</v>
      </c>
      <c r="G55" s="21">
        <f t="shared" si="97"/>
        <v>5111</v>
      </c>
      <c r="H55" s="21">
        <f t="shared" si="97"/>
        <v>0</v>
      </c>
      <c r="I55" s="21">
        <f t="shared" si="97"/>
        <v>3016</v>
      </c>
      <c r="J55" s="21">
        <f t="shared" si="97"/>
        <v>0</v>
      </c>
      <c r="K55" s="21">
        <f t="shared" si="97"/>
        <v>0</v>
      </c>
      <c r="L55" s="21">
        <f t="shared" si="97"/>
        <v>0</v>
      </c>
      <c r="M55" s="21">
        <f t="shared" si="97"/>
        <v>0</v>
      </c>
      <c r="N55" s="21">
        <f t="shared" si="97"/>
        <v>1500</v>
      </c>
      <c r="O55" s="21">
        <f t="shared" si="97"/>
        <v>2250</v>
      </c>
      <c r="P55" s="21">
        <f t="shared" si="97"/>
        <v>0</v>
      </c>
      <c r="Q55" s="21">
        <f t="shared" si="97"/>
        <v>0</v>
      </c>
      <c r="R55" s="21">
        <f t="shared" si="97"/>
        <v>750</v>
      </c>
      <c r="S55" s="21">
        <f t="shared" si="97"/>
        <v>0</v>
      </c>
      <c r="T55" s="21">
        <f t="shared" si="97"/>
        <v>5232</v>
      </c>
      <c r="U55" s="21">
        <f t="shared" si="97"/>
        <v>1222</v>
      </c>
      <c r="V55" s="21">
        <f t="shared" si="97"/>
        <v>0</v>
      </c>
      <c r="W55" s="21">
        <f t="shared" si="97"/>
        <v>2071</v>
      </c>
      <c r="X55" s="21">
        <f t="shared" si="97"/>
        <v>10055</v>
      </c>
      <c r="Y55" s="21">
        <f t="shared" si="97"/>
        <v>7437</v>
      </c>
      <c r="Z55" s="21">
        <f t="shared" si="97"/>
        <v>6701</v>
      </c>
      <c r="AA55" s="21">
        <f t="shared" si="97"/>
        <v>3078</v>
      </c>
      <c r="AB55" s="21">
        <f t="shared" ref="AB55:AC55" si="98">SUM(AB53:AB54)</f>
        <v>9249</v>
      </c>
      <c r="AC55" s="21">
        <f t="shared" si="98"/>
        <v>1050</v>
      </c>
      <c r="AD55" s="21">
        <f t="shared" ref="AD55:AE55" si="99">SUM(AD53:AD54)</f>
        <v>13773</v>
      </c>
      <c r="AE55" s="21">
        <f t="shared" si="99"/>
        <v>0</v>
      </c>
      <c r="AF55" s="21">
        <f t="shared" ref="AF55:AG55" si="100">SUM(AF53:AF54)</f>
        <v>16216</v>
      </c>
      <c r="AG55" s="21">
        <f t="shared" si="100"/>
        <v>6777</v>
      </c>
      <c r="AH55" s="21">
        <f t="shared" ref="AH55:AI55" si="101">SUM(AH53:AH54)</f>
        <v>10967</v>
      </c>
      <c r="AI55" s="21">
        <f t="shared" si="101"/>
        <v>25915</v>
      </c>
      <c r="AJ55" s="21">
        <f t="shared" ref="AJ55:AK55" si="102">SUM(AJ53:AJ54)</f>
        <v>22997</v>
      </c>
      <c r="AK55" s="21">
        <f t="shared" si="102"/>
        <v>49850</v>
      </c>
      <c r="AL55" s="17"/>
    </row>
    <row r="56" spans="1:38" ht="13.5" hidden="1" customHeight="1" x14ac:dyDescent="0.2">
      <c r="A56" s="15"/>
      <c r="D56" s="26"/>
      <c r="E56" s="37"/>
      <c r="F56" s="28">
        <f>0</f>
        <v>0</v>
      </c>
      <c r="G56" s="28">
        <f>0</f>
        <v>0</v>
      </c>
      <c r="H56" s="28">
        <f>0</f>
        <v>0</v>
      </c>
      <c r="I56" s="28">
        <f>0</f>
        <v>0</v>
      </c>
      <c r="J56" s="28">
        <f>0</f>
        <v>0</v>
      </c>
      <c r="K56" s="28">
        <f>0</f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17"/>
    </row>
    <row r="57" spans="1:38" ht="13.5" customHeight="1" x14ac:dyDescent="0.2">
      <c r="A57" s="3"/>
      <c r="D57" s="26"/>
      <c r="E57" s="27" t="s">
        <v>30</v>
      </c>
      <c r="F57" s="29">
        <f t="shared" ref="F57:AA57" si="103">SUM(F55:F56)</f>
        <v>0</v>
      </c>
      <c r="G57" s="29">
        <f t="shared" si="103"/>
        <v>5111</v>
      </c>
      <c r="H57" s="29">
        <f t="shared" si="103"/>
        <v>0</v>
      </c>
      <c r="I57" s="29">
        <f t="shared" si="103"/>
        <v>3016</v>
      </c>
      <c r="J57" s="29">
        <f t="shared" si="103"/>
        <v>0</v>
      </c>
      <c r="K57" s="29">
        <f t="shared" si="103"/>
        <v>0</v>
      </c>
      <c r="L57" s="29">
        <f t="shared" si="103"/>
        <v>0</v>
      </c>
      <c r="M57" s="29">
        <f t="shared" si="103"/>
        <v>0</v>
      </c>
      <c r="N57" s="29">
        <f t="shared" si="103"/>
        <v>1500</v>
      </c>
      <c r="O57" s="29">
        <f t="shared" si="103"/>
        <v>2250</v>
      </c>
      <c r="P57" s="29">
        <f t="shared" si="103"/>
        <v>0</v>
      </c>
      <c r="Q57" s="29">
        <f t="shared" si="103"/>
        <v>0</v>
      </c>
      <c r="R57" s="29">
        <f t="shared" si="103"/>
        <v>750</v>
      </c>
      <c r="S57" s="29">
        <f t="shared" si="103"/>
        <v>0</v>
      </c>
      <c r="T57" s="29">
        <f t="shared" si="103"/>
        <v>5232</v>
      </c>
      <c r="U57" s="29">
        <f t="shared" si="103"/>
        <v>1222</v>
      </c>
      <c r="V57" s="29">
        <f t="shared" si="103"/>
        <v>0</v>
      </c>
      <c r="W57" s="29">
        <f t="shared" si="103"/>
        <v>2071</v>
      </c>
      <c r="X57" s="29">
        <f t="shared" si="103"/>
        <v>10055</v>
      </c>
      <c r="Y57" s="29">
        <f t="shared" si="103"/>
        <v>7437</v>
      </c>
      <c r="Z57" s="29">
        <f t="shared" si="103"/>
        <v>6701</v>
      </c>
      <c r="AA57" s="29">
        <f t="shared" si="103"/>
        <v>3078</v>
      </c>
      <c r="AB57" s="29">
        <f t="shared" ref="AB57:AC57" si="104">SUM(AB55:AB56)</f>
        <v>9249</v>
      </c>
      <c r="AC57" s="29">
        <f t="shared" si="104"/>
        <v>1050</v>
      </c>
      <c r="AD57" s="29">
        <f t="shared" ref="AD57:AE57" si="105">SUM(AD55:AD56)</f>
        <v>13773</v>
      </c>
      <c r="AE57" s="29">
        <f t="shared" si="105"/>
        <v>0</v>
      </c>
      <c r="AF57" s="29">
        <f t="shared" ref="AF57:AG57" si="106">SUM(AF55:AF56)</f>
        <v>16216</v>
      </c>
      <c r="AG57" s="29">
        <f t="shared" si="106"/>
        <v>6777</v>
      </c>
      <c r="AH57" s="29">
        <f t="shared" ref="AH57:AI57" si="107">SUM(AH55:AH56)</f>
        <v>10967</v>
      </c>
      <c r="AI57" s="29">
        <f t="shared" si="107"/>
        <v>25915</v>
      </c>
      <c r="AJ57" s="29">
        <f t="shared" ref="AJ57:AK57" si="108">SUM(AJ55:AJ56)</f>
        <v>22997</v>
      </c>
      <c r="AK57" s="29">
        <f t="shared" si="108"/>
        <v>49850</v>
      </c>
      <c r="AL57" s="5"/>
    </row>
    <row r="58" spans="1:38" ht="13.5" customHeight="1" x14ac:dyDescent="0.2">
      <c r="A58" s="15"/>
      <c r="C58" s="2" t="s">
        <v>32</v>
      </c>
      <c r="D58" s="2"/>
      <c r="E58" s="21"/>
      <c r="AL58" s="17"/>
    </row>
    <row r="59" spans="1:38" ht="13.5" customHeight="1" x14ac:dyDescent="0.2">
      <c r="A59" s="15"/>
      <c r="D59" s="1" t="s">
        <v>27</v>
      </c>
      <c r="E59" s="21"/>
      <c r="F59" s="21">
        <v>3016981</v>
      </c>
      <c r="G59" s="21">
        <v>2560223</v>
      </c>
      <c r="H59" s="21">
        <v>2689794</v>
      </c>
      <c r="I59" s="21">
        <v>3253402</v>
      </c>
      <c r="J59" s="21">
        <v>3720934</v>
      </c>
      <c r="K59" s="21">
        <v>5259007</v>
      </c>
      <c r="L59" s="21">
        <v>5902322</v>
      </c>
      <c r="M59" s="21">
        <v>6705634</v>
      </c>
      <c r="N59" s="21">
        <v>5129320</v>
      </c>
      <c r="O59" s="21">
        <v>6019645</v>
      </c>
      <c r="P59" s="21">
        <v>7240034</v>
      </c>
      <c r="Q59" s="21">
        <v>6699290</v>
      </c>
      <c r="R59" s="21">
        <f>1787272+1000+2770780+39</f>
        <v>4559091</v>
      </c>
      <c r="S59" s="21">
        <f>1726341+13750+3098582+1350</f>
        <v>4840023</v>
      </c>
      <c r="T59" s="21">
        <f>918804+33131+5075785+15360</f>
        <v>6043080</v>
      </c>
      <c r="U59" s="21">
        <f>761464+5000+4022159+7823</f>
        <v>4796446</v>
      </c>
      <c r="V59" s="21">
        <f>2700+944556+10590+5373467+10899</f>
        <v>6342212</v>
      </c>
      <c r="W59" s="21">
        <f>3000+1044256+41876+6232649+8800</f>
        <v>7330581</v>
      </c>
      <c r="X59" s="21">
        <f>1000+1312228+22222+7375469+11597</f>
        <v>8722516</v>
      </c>
      <c r="Y59" s="21">
        <f>1356013+22128+7907147+7540</f>
        <v>9292828</v>
      </c>
      <c r="Z59" s="21">
        <f>1107746+33833+8293695+4360</f>
        <v>9439634</v>
      </c>
      <c r="AA59" s="21">
        <f>13163+953355+22472+8967744+5120</f>
        <v>9961854</v>
      </c>
      <c r="AB59" s="21">
        <f>13979+1340644+13828+9854058+5990</f>
        <v>11228499</v>
      </c>
      <c r="AC59" s="21">
        <f>12508+1849130+33805+9956864+8080</f>
        <v>11860387</v>
      </c>
      <c r="AD59" s="21">
        <f>14725+1742675+32224+13139851+6230</f>
        <v>14935705</v>
      </c>
      <c r="AE59" s="21">
        <f>18230+1703723+53927+15103655+4970</f>
        <v>16884505</v>
      </c>
      <c r="AF59" s="21">
        <f>8400+1250172+69577+15748253+6304</f>
        <v>17082706</v>
      </c>
      <c r="AG59" s="21">
        <f>2500+807019+38533+14076007+13579</f>
        <v>14937638</v>
      </c>
      <c r="AH59" s="21">
        <f>13401+724847+159223+12024758+1570</f>
        <v>12923799</v>
      </c>
      <c r="AI59" s="21">
        <f>2200+1321184+202049+12646084+2430</f>
        <v>14173947</v>
      </c>
      <c r="AJ59" s="21">
        <f>15993+2398882+146109+11670319+9580</f>
        <v>14240883</v>
      </c>
      <c r="AK59" s="21">
        <f>9832+3209934+97450+12904863+8985</f>
        <v>16231064</v>
      </c>
      <c r="AL59" s="17"/>
    </row>
    <row r="60" spans="1:38" ht="13.5" customHeight="1" x14ac:dyDescent="0.2">
      <c r="A60" s="15"/>
      <c r="D60" s="1" t="s">
        <v>28</v>
      </c>
      <c r="E60" s="23"/>
      <c r="F60" s="23">
        <v>30250</v>
      </c>
      <c r="G60" s="23">
        <v>28250</v>
      </c>
      <c r="H60" s="23">
        <v>29700</v>
      </c>
      <c r="I60" s="23">
        <v>12729</v>
      </c>
      <c r="J60" s="23">
        <v>20600</v>
      </c>
      <c r="K60" s="23">
        <v>13400</v>
      </c>
      <c r="L60" s="23">
        <v>15006</v>
      </c>
      <c r="M60" s="23">
        <v>8650</v>
      </c>
      <c r="N60" s="23">
        <v>45210</v>
      </c>
      <c r="O60" s="23">
        <v>37599</v>
      </c>
      <c r="P60" s="23">
        <v>27450</v>
      </c>
      <c r="Q60" s="23">
        <v>41912</v>
      </c>
      <c r="R60" s="23">
        <f>8150+20142</f>
        <v>28292</v>
      </c>
      <c r="S60" s="23">
        <f>19400+17797</f>
        <v>37197</v>
      </c>
      <c r="T60" s="23">
        <f>46709+6237</f>
        <v>52946</v>
      </c>
      <c r="U60" s="23">
        <f>41578+3600</f>
        <v>45178</v>
      </c>
      <c r="V60" s="23">
        <f>17995+2000</f>
        <v>19995</v>
      </c>
      <c r="W60" s="23">
        <f>17083+6599</f>
        <v>23682</v>
      </c>
      <c r="X60" s="23">
        <f>16655+26628</f>
        <v>43283</v>
      </c>
      <c r="Y60" s="23">
        <f>18115+143242</f>
        <v>161357</v>
      </c>
      <c r="Z60" s="23">
        <f>6200+6159</f>
        <v>12359</v>
      </c>
      <c r="AA60" s="23">
        <f>2273</f>
        <v>2273</v>
      </c>
      <c r="AB60" s="23">
        <f>19172</f>
        <v>19172</v>
      </c>
      <c r="AC60" s="23">
        <f>2000+18936</f>
        <v>20936</v>
      </c>
      <c r="AD60" s="23">
        <f>25978+3000</f>
        <v>28978</v>
      </c>
      <c r="AE60" s="23">
        <f>4000+7000</f>
        <v>11000</v>
      </c>
      <c r="AF60" s="23">
        <v>12641</v>
      </c>
      <c r="AG60" s="23">
        <f>2000+1876</f>
        <v>3876</v>
      </c>
      <c r="AH60" s="23">
        <v>19281</v>
      </c>
      <c r="AI60" s="23">
        <v>0</v>
      </c>
      <c r="AJ60" s="23">
        <v>0</v>
      </c>
      <c r="AK60" s="23">
        <v>1000</v>
      </c>
      <c r="AL60" s="47"/>
    </row>
    <row r="61" spans="1:38" ht="13.5" customHeight="1" x14ac:dyDescent="0.2">
      <c r="A61" s="15"/>
      <c r="D61" s="1" t="s">
        <v>29</v>
      </c>
      <c r="E61" s="23"/>
      <c r="F61" s="24">
        <v>4497235</v>
      </c>
      <c r="G61" s="24">
        <v>5041587</v>
      </c>
      <c r="H61" s="24">
        <v>5005331</v>
      </c>
      <c r="I61" s="24">
        <v>4846541</v>
      </c>
      <c r="J61" s="24">
        <v>4923653</v>
      </c>
      <c r="K61" s="24">
        <v>4956292</v>
      </c>
      <c r="L61" s="24">
        <v>5964607</v>
      </c>
      <c r="M61" s="24">
        <v>6589837</v>
      </c>
      <c r="N61" s="24">
        <v>6936877</v>
      </c>
      <c r="O61" s="24">
        <v>6545642</v>
      </c>
      <c r="P61" s="24">
        <v>5262542</v>
      </c>
      <c r="Q61" s="24">
        <v>6616648</v>
      </c>
      <c r="R61" s="24">
        <f>9039886</f>
        <v>9039886</v>
      </c>
      <c r="S61" s="24">
        <f>9624823</f>
        <v>9624823</v>
      </c>
      <c r="T61" s="24">
        <f>8823625</f>
        <v>8823625</v>
      </c>
      <c r="U61" s="24">
        <f>4292836</f>
        <v>4292836</v>
      </c>
      <c r="V61" s="24">
        <v>9189114</v>
      </c>
      <c r="W61" s="24">
        <f>10549107</f>
        <v>10549107</v>
      </c>
      <c r="X61" s="24">
        <f>10645872</f>
        <v>10645872</v>
      </c>
      <c r="Y61" s="24">
        <f>10069402</f>
        <v>10069402</v>
      </c>
      <c r="Z61" s="24">
        <v>9836220</v>
      </c>
      <c r="AA61" s="24">
        <f>10289052</f>
        <v>10289052</v>
      </c>
      <c r="AB61" s="24">
        <f>10165893</f>
        <v>10165893</v>
      </c>
      <c r="AC61" s="24">
        <v>10653979</v>
      </c>
      <c r="AD61" s="24">
        <v>11593462</v>
      </c>
      <c r="AE61" s="24">
        <f>12132513</f>
        <v>12132513</v>
      </c>
      <c r="AF61" s="24">
        <v>11808498</v>
      </c>
      <c r="AG61" s="24">
        <v>11596174</v>
      </c>
      <c r="AH61" s="24">
        <v>10868673</v>
      </c>
      <c r="AI61" s="24">
        <v>2400695</v>
      </c>
      <c r="AJ61" s="24">
        <v>2627253</v>
      </c>
      <c r="AK61" s="24">
        <v>12487900</v>
      </c>
      <c r="AL61" s="47"/>
    </row>
    <row r="62" spans="1:38" ht="13.5" customHeight="1" x14ac:dyDescent="0.2">
      <c r="A62" s="15"/>
      <c r="E62" s="21"/>
      <c r="F62" s="21">
        <f t="shared" ref="F62:L62" si="109">SUM(F59:F61)</f>
        <v>7544466</v>
      </c>
      <c r="G62" s="21">
        <f t="shared" si="109"/>
        <v>7630060</v>
      </c>
      <c r="H62" s="21">
        <f t="shared" si="109"/>
        <v>7724825</v>
      </c>
      <c r="I62" s="21">
        <f t="shared" si="109"/>
        <v>8112672</v>
      </c>
      <c r="J62" s="21">
        <f t="shared" si="109"/>
        <v>8665187</v>
      </c>
      <c r="K62" s="21">
        <f t="shared" si="109"/>
        <v>10228699</v>
      </c>
      <c r="L62" s="21">
        <f t="shared" si="109"/>
        <v>11881935</v>
      </c>
      <c r="M62" s="21">
        <f t="shared" ref="M62:AA62" si="110">SUM(M59:M61)</f>
        <v>13304121</v>
      </c>
      <c r="N62" s="21">
        <f t="shared" si="110"/>
        <v>12111407</v>
      </c>
      <c r="O62" s="21">
        <f t="shared" si="110"/>
        <v>12602886</v>
      </c>
      <c r="P62" s="21">
        <f t="shared" si="110"/>
        <v>12530026</v>
      </c>
      <c r="Q62" s="21">
        <f t="shared" si="110"/>
        <v>13357850</v>
      </c>
      <c r="R62" s="21">
        <f t="shared" si="110"/>
        <v>13627269</v>
      </c>
      <c r="S62" s="21">
        <f t="shared" si="110"/>
        <v>14502043</v>
      </c>
      <c r="T62" s="21">
        <f t="shared" si="110"/>
        <v>14919651</v>
      </c>
      <c r="U62" s="21">
        <f t="shared" si="110"/>
        <v>9134460</v>
      </c>
      <c r="V62" s="21">
        <f t="shared" si="110"/>
        <v>15551321</v>
      </c>
      <c r="W62" s="21">
        <f t="shared" si="110"/>
        <v>17903370</v>
      </c>
      <c r="X62" s="21">
        <f t="shared" si="110"/>
        <v>19411671</v>
      </c>
      <c r="Y62" s="21">
        <f t="shared" si="110"/>
        <v>19523587</v>
      </c>
      <c r="Z62" s="21">
        <f t="shared" si="110"/>
        <v>19288213</v>
      </c>
      <c r="AA62" s="21">
        <f t="shared" si="110"/>
        <v>20253179</v>
      </c>
      <c r="AB62" s="21">
        <f t="shared" ref="AB62:AC62" si="111">SUM(AB59:AB61)</f>
        <v>21413564</v>
      </c>
      <c r="AC62" s="21">
        <f t="shared" si="111"/>
        <v>22535302</v>
      </c>
      <c r="AD62" s="21">
        <f t="shared" ref="AD62:AE62" si="112">SUM(AD59:AD61)</f>
        <v>26558145</v>
      </c>
      <c r="AE62" s="21">
        <f t="shared" si="112"/>
        <v>29028018</v>
      </c>
      <c r="AF62" s="21">
        <f t="shared" ref="AF62:AG62" si="113">SUM(AF59:AF61)</f>
        <v>28903845</v>
      </c>
      <c r="AG62" s="21">
        <f t="shared" si="113"/>
        <v>26537688</v>
      </c>
      <c r="AH62" s="21">
        <f t="shared" ref="AH62:AI62" si="114">SUM(AH59:AH61)</f>
        <v>23811753</v>
      </c>
      <c r="AI62" s="21">
        <f t="shared" si="114"/>
        <v>16574642</v>
      </c>
      <c r="AJ62" s="21">
        <f t="shared" ref="AJ62:AK62" si="115">SUM(AJ59:AJ61)</f>
        <v>16868136</v>
      </c>
      <c r="AK62" s="21">
        <f t="shared" si="115"/>
        <v>28719964</v>
      </c>
      <c r="AL62" s="17"/>
    </row>
    <row r="63" spans="1:38" ht="13.5" hidden="1" customHeight="1" x14ac:dyDescent="0.2">
      <c r="A63" s="15"/>
      <c r="D63" s="26"/>
      <c r="E63" s="37"/>
      <c r="F63" s="28">
        <f>(F50+F56)*-1</f>
        <v>7503</v>
      </c>
      <c r="G63" s="28">
        <f t="shared" ref="G63:AA63" si="116">(G50+G56)*-1</f>
        <v>7030</v>
      </c>
      <c r="H63" s="28">
        <f t="shared" si="116"/>
        <v>2629</v>
      </c>
      <c r="I63" s="28">
        <f t="shared" si="116"/>
        <v>2451</v>
      </c>
      <c r="J63" s="28">
        <f t="shared" si="116"/>
        <v>2878</v>
      </c>
      <c r="K63" s="28">
        <f t="shared" si="116"/>
        <v>9071</v>
      </c>
      <c r="L63" s="28">
        <f t="shared" si="116"/>
        <v>3189</v>
      </c>
      <c r="M63" s="28">
        <f t="shared" si="116"/>
        <v>4870</v>
      </c>
      <c r="N63" s="28">
        <f t="shared" si="116"/>
        <v>1204</v>
      </c>
      <c r="O63" s="28">
        <f t="shared" si="116"/>
        <v>1211</v>
      </c>
      <c r="P63" s="28">
        <f t="shared" si="116"/>
        <v>1295</v>
      </c>
      <c r="Q63" s="28">
        <f t="shared" si="116"/>
        <v>12232</v>
      </c>
      <c r="R63" s="28">
        <f t="shared" si="116"/>
        <v>0</v>
      </c>
      <c r="S63" s="28">
        <f t="shared" si="116"/>
        <v>0</v>
      </c>
      <c r="T63" s="28">
        <f t="shared" si="116"/>
        <v>0</v>
      </c>
      <c r="U63" s="28">
        <f t="shared" si="116"/>
        <v>0</v>
      </c>
      <c r="V63" s="28">
        <f t="shared" si="116"/>
        <v>0</v>
      </c>
      <c r="W63" s="28">
        <f t="shared" si="116"/>
        <v>0</v>
      </c>
      <c r="X63" s="28">
        <f t="shared" si="116"/>
        <v>0</v>
      </c>
      <c r="Y63" s="28">
        <f t="shared" si="116"/>
        <v>0</v>
      </c>
      <c r="Z63" s="28">
        <f t="shared" si="116"/>
        <v>0</v>
      </c>
      <c r="AA63" s="28">
        <f t="shared" si="116"/>
        <v>0</v>
      </c>
      <c r="AB63" s="28">
        <f t="shared" ref="AB63:AC63" si="117">(AB50+AB56)*-1</f>
        <v>0</v>
      </c>
      <c r="AC63" s="28">
        <f t="shared" si="117"/>
        <v>0</v>
      </c>
      <c r="AD63" s="28">
        <f t="shared" ref="AD63:AE63" si="118">(AD50+AD56)*-1</f>
        <v>0</v>
      </c>
      <c r="AE63" s="28">
        <f t="shared" si="118"/>
        <v>0</v>
      </c>
      <c r="AF63" s="28">
        <f t="shared" ref="AF63:AG63" si="119">(AF50+AF56)*-1</f>
        <v>0</v>
      </c>
      <c r="AG63" s="28">
        <f t="shared" si="119"/>
        <v>0</v>
      </c>
      <c r="AH63" s="28">
        <f t="shared" ref="AH63:AI63" si="120">(AH50+AH56)*-1</f>
        <v>0</v>
      </c>
      <c r="AI63" s="28">
        <f t="shared" si="120"/>
        <v>0</v>
      </c>
      <c r="AJ63" s="28">
        <f t="shared" ref="AJ63:AK63" si="121">(AJ50+AJ56)*-1</f>
        <v>0</v>
      </c>
      <c r="AK63" s="28">
        <f t="shared" si="121"/>
        <v>0</v>
      </c>
      <c r="AL63" s="17"/>
    </row>
    <row r="64" spans="1:38" ht="13.5" customHeight="1" x14ac:dyDescent="0.2">
      <c r="A64" s="3"/>
      <c r="D64" s="26"/>
      <c r="E64" s="27" t="s">
        <v>33</v>
      </c>
      <c r="F64" s="29">
        <f t="shared" ref="F64:L64" si="122">SUM(F62:F63)</f>
        <v>7551969</v>
      </c>
      <c r="G64" s="29">
        <f t="shared" si="122"/>
        <v>7637090</v>
      </c>
      <c r="H64" s="29">
        <f t="shared" si="122"/>
        <v>7727454</v>
      </c>
      <c r="I64" s="29">
        <f t="shared" si="122"/>
        <v>8115123</v>
      </c>
      <c r="J64" s="29">
        <f t="shared" si="122"/>
        <v>8668065</v>
      </c>
      <c r="K64" s="29">
        <f t="shared" si="122"/>
        <v>10237770</v>
      </c>
      <c r="L64" s="29">
        <f t="shared" si="122"/>
        <v>11885124</v>
      </c>
      <c r="M64" s="29">
        <f t="shared" ref="M64:AA64" si="123">SUM(M62:M63)</f>
        <v>13308991</v>
      </c>
      <c r="N64" s="29">
        <f t="shared" si="123"/>
        <v>12112611</v>
      </c>
      <c r="O64" s="29">
        <f t="shared" si="123"/>
        <v>12604097</v>
      </c>
      <c r="P64" s="29">
        <f t="shared" si="123"/>
        <v>12531321</v>
      </c>
      <c r="Q64" s="29">
        <f t="shared" si="123"/>
        <v>13370082</v>
      </c>
      <c r="R64" s="29">
        <f t="shared" si="123"/>
        <v>13627269</v>
      </c>
      <c r="S64" s="29">
        <f t="shared" si="123"/>
        <v>14502043</v>
      </c>
      <c r="T64" s="29">
        <f t="shared" si="123"/>
        <v>14919651</v>
      </c>
      <c r="U64" s="29">
        <f t="shared" si="123"/>
        <v>9134460</v>
      </c>
      <c r="V64" s="29">
        <f t="shared" si="123"/>
        <v>15551321</v>
      </c>
      <c r="W64" s="29">
        <f t="shared" si="123"/>
        <v>17903370</v>
      </c>
      <c r="X64" s="29">
        <f t="shared" si="123"/>
        <v>19411671</v>
      </c>
      <c r="Y64" s="29">
        <f t="shared" si="123"/>
        <v>19523587</v>
      </c>
      <c r="Z64" s="29">
        <f t="shared" si="123"/>
        <v>19288213</v>
      </c>
      <c r="AA64" s="29">
        <f t="shared" si="123"/>
        <v>20253179</v>
      </c>
      <c r="AB64" s="29">
        <f t="shared" ref="AB64:AC64" si="124">SUM(AB62:AB63)</f>
        <v>21413564</v>
      </c>
      <c r="AC64" s="29">
        <f t="shared" si="124"/>
        <v>22535302</v>
      </c>
      <c r="AD64" s="29">
        <f t="shared" ref="AD64:AE64" si="125">SUM(AD62:AD63)</f>
        <v>26558145</v>
      </c>
      <c r="AE64" s="29">
        <f t="shared" si="125"/>
        <v>29028018</v>
      </c>
      <c r="AF64" s="29">
        <f t="shared" ref="AF64:AG64" si="126">SUM(AF62:AF63)</f>
        <v>28903845</v>
      </c>
      <c r="AG64" s="29">
        <f t="shared" si="126"/>
        <v>26537688</v>
      </c>
      <c r="AH64" s="29">
        <f t="shared" ref="AH64:AI64" si="127">SUM(AH62:AH63)</f>
        <v>23811753</v>
      </c>
      <c r="AI64" s="29">
        <f t="shared" si="127"/>
        <v>16574642</v>
      </c>
      <c r="AJ64" s="29">
        <f t="shared" ref="AJ64:AK64" si="128">SUM(AJ62:AJ63)</f>
        <v>16868136</v>
      </c>
      <c r="AK64" s="29">
        <f t="shared" si="128"/>
        <v>28719964</v>
      </c>
      <c r="AL64" s="5"/>
    </row>
    <row r="65" spans="1:38" ht="13.5" customHeight="1" x14ac:dyDescent="0.2">
      <c r="A65" s="15"/>
      <c r="C65" s="2" t="s">
        <v>34</v>
      </c>
      <c r="D65" s="2"/>
      <c r="E65" s="21"/>
      <c r="AL65" s="17"/>
    </row>
    <row r="66" spans="1:38" ht="13.5" customHeight="1" x14ac:dyDescent="0.2">
      <c r="A66" s="15"/>
      <c r="D66" s="1" t="s">
        <v>27</v>
      </c>
      <c r="E66" s="21"/>
      <c r="F66" s="21">
        <v>66470</v>
      </c>
      <c r="G66" s="21">
        <v>179509</v>
      </c>
      <c r="H66" s="21">
        <v>135591</v>
      </c>
      <c r="I66" s="21">
        <v>165328</v>
      </c>
      <c r="J66" s="21">
        <v>420871</v>
      </c>
      <c r="K66" s="21">
        <v>339036</v>
      </c>
      <c r="L66" s="21">
        <v>450833</v>
      </c>
      <c r="M66" s="21">
        <v>286535</v>
      </c>
      <c r="N66" s="21">
        <v>732743</v>
      </c>
      <c r="O66" s="21">
        <v>981862</v>
      </c>
      <c r="P66" s="21">
        <v>1380991</v>
      </c>
      <c r="Q66" s="21">
        <v>1729463</v>
      </c>
      <c r="R66" s="21">
        <f>2168147</f>
        <v>2168147</v>
      </c>
      <c r="S66" s="21">
        <f>1933863</f>
        <v>1933863</v>
      </c>
      <c r="T66" s="21">
        <f>1169354</f>
        <v>1169354</v>
      </c>
      <c r="U66" s="21">
        <f>1350527</f>
        <v>1350527</v>
      </c>
      <c r="V66" s="21">
        <v>4132746</v>
      </c>
      <c r="W66" s="21">
        <f>3694231</f>
        <v>3694231</v>
      </c>
      <c r="X66" s="21">
        <f>2500+2278124</f>
        <v>2280624</v>
      </c>
      <c r="Y66" s="21">
        <f>1250+3950349</f>
        <v>3951599</v>
      </c>
      <c r="Z66" s="21">
        <f>3526383</f>
        <v>3526383</v>
      </c>
      <c r="AA66" s="21">
        <f>4118396</f>
        <v>4118396</v>
      </c>
      <c r="AB66" s="21">
        <f>3897101</f>
        <v>3897101</v>
      </c>
      <c r="AC66" s="21">
        <v>3388293</v>
      </c>
      <c r="AD66" s="21">
        <v>7202895</v>
      </c>
      <c r="AE66" s="21">
        <v>7449515</v>
      </c>
      <c r="AF66" s="21">
        <v>6054298</v>
      </c>
      <c r="AG66" s="21">
        <v>5008716</v>
      </c>
      <c r="AH66" s="21">
        <v>3498643</v>
      </c>
      <c r="AI66" s="21">
        <v>2801002.78</v>
      </c>
      <c r="AJ66" s="21">
        <v>2010822.68</v>
      </c>
      <c r="AK66" s="21">
        <v>1843071</v>
      </c>
      <c r="AL66" s="17"/>
    </row>
    <row r="67" spans="1:38" ht="13.5" customHeight="1" x14ac:dyDescent="0.2">
      <c r="A67" s="15"/>
      <c r="D67" s="1" t="s">
        <v>28</v>
      </c>
      <c r="E67" s="23"/>
      <c r="F67" s="31" t="s">
        <v>35</v>
      </c>
      <c r="G67" s="31" t="s">
        <v>35</v>
      </c>
      <c r="H67" s="31" t="s">
        <v>35</v>
      </c>
      <c r="I67" s="31" t="s">
        <v>35</v>
      </c>
      <c r="J67" s="31" t="s">
        <v>35</v>
      </c>
      <c r="K67" s="31" t="s">
        <v>35</v>
      </c>
      <c r="L67" s="31" t="s">
        <v>35</v>
      </c>
      <c r="M67" s="31" t="s">
        <v>35</v>
      </c>
      <c r="N67" s="31" t="s">
        <v>35</v>
      </c>
      <c r="O67" s="31" t="s">
        <v>35</v>
      </c>
      <c r="P67" s="31" t="s">
        <v>35</v>
      </c>
      <c r="Q67" s="24">
        <v>69811</v>
      </c>
      <c r="R67" s="24">
        <f>96061</f>
        <v>96061</v>
      </c>
      <c r="S67" s="24">
        <v>89558</v>
      </c>
      <c r="T67" s="24">
        <f>117687</f>
        <v>117687</v>
      </c>
      <c r="U67" s="24">
        <f>111690</f>
        <v>111690</v>
      </c>
      <c r="V67" s="24">
        <v>54440</v>
      </c>
      <c r="W67" s="24">
        <f>89056</f>
        <v>89056</v>
      </c>
      <c r="X67" s="24">
        <f>64578</f>
        <v>64578</v>
      </c>
      <c r="Y67" s="24">
        <f>100358</f>
        <v>100358</v>
      </c>
      <c r="Z67" s="24">
        <f>111615</f>
        <v>111615</v>
      </c>
      <c r="AA67" s="24">
        <f>256593</f>
        <v>256593</v>
      </c>
      <c r="AB67" s="24">
        <f>358330</f>
        <v>358330</v>
      </c>
      <c r="AC67" s="24">
        <v>173684</v>
      </c>
      <c r="AD67" s="24">
        <v>246990</v>
      </c>
      <c r="AE67" s="24">
        <v>125293</v>
      </c>
      <c r="AF67" s="24">
        <v>178969</v>
      </c>
      <c r="AG67" s="24">
        <v>307482</v>
      </c>
      <c r="AH67" s="24">
        <v>326130</v>
      </c>
      <c r="AI67" s="24">
        <v>717017</v>
      </c>
      <c r="AJ67" s="24">
        <v>1230660.75</v>
      </c>
      <c r="AK67" s="24">
        <v>1923866</v>
      </c>
      <c r="AL67" s="47"/>
    </row>
    <row r="68" spans="1:38" ht="13.5" customHeight="1" x14ac:dyDescent="0.2">
      <c r="A68" s="15"/>
      <c r="E68" s="21"/>
      <c r="F68" s="21">
        <f t="shared" ref="F68:AA68" si="129">SUM(F66:F67)</f>
        <v>66470</v>
      </c>
      <c r="G68" s="21">
        <f t="shared" si="129"/>
        <v>179509</v>
      </c>
      <c r="H68" s="21">
        <f t="shared" si="129"/>
        <v>135591</v>
      </c>
      <c r="I68" s="21">
        <f t="shared" si="129"/>
        <v>165328</v>
      </c>
      <c r="J68" s="21">
        <f t="shared" si="129"/>
        <v>420871</v>
      </c>
      <c r="K68" s="21">
        <f t="shared" si="129"/>
        <v>339036</v>
      </c>
      <c r="L68" s="21">
        <f t="shared" si="129"/>
        <v>450833</v>
      </c>
      <c r="M68" s="21">
        <f t="shared" ref="M68:O68" si="130">M66</f>
        <v>286535</v>
      </c>
      <c r="N68" s="21">
        <f t="shared" si="130"/>
        <v>732743</v>
      </c>
      <c r="O68" s="21">
        <f t="shared" si="130"/>
        <v>981862</v>
      </c>
      <c r="P68" s="21">
        <f>P66</f>
        <v>1380991</v>
      </c>
      <c r="Q68" s="21">
        <f t="shared" si="129"/>
        <v>1799274</v>
      </c>
      <c r="R68" s="21">
        <f t="shared" si="129"/>
        <v>2264208</v>
      </c>
      <c r="S68" s="21">
        <f t="shared" si="129"/>
        <v>2023421</v>
      </c>
      <c r="T68" s="21">
        <f t="shared" si="129"/>
        <v>1287041</v>
      </c>
      <c r="U68" s="21">
        <f t="shared" si="129"/>
        <v>1462217</v>
      </c>
      <c r="V68" s="21">
        <f t="shared" si="129"/>
        <v>4187186</v>
      </c>
      <c r="W68" s="21">
        <f t="shared" si="129"/>
        <v>3783287</v>
      </c>
      <c r="X68" s="21">
        <f t="shared" si="129"/>
        <v>2345202</v>
      </c>
      <c r="Y68" s="21">
        <f t="shared" si="129"/>
        <v>4051957</v>
      </c>
      <c r="Z68" s="21">
        <f t="shared" si="129"/>
        <v>3637998</v>
      </c>
      <c r="AA68" s="21">
        <f t="shared" si="129"/>
        <v>4374989</v>
      </c>
      <c r="AB68" s="21">
        <f t="shared" ref="AB68:AC68" si="131">SUM(AB66:AB67)</f>
        <v>4255431</v>
      </c>
      <c r="AC68" s="21">
        <f t="shared" si="131"/>
        <v>3561977</v>
      </c>
      <c r="AD68" s="21">
        <f t="shared" ref="AD68:AE68" si="132">SUM(AD66:AD67)</f>
        <v>7449885</v>
      </c>
      <c r="AE68" s="21">
        <f t="shared" si="132"/>
        <v>7574808</v>
      </c>
      <c r="AF68" s="21">
        <f t="shared" ref="AF68:AG68" si="133">SUM(AF66:AF67)</f>
        <v>6233267</v>
      </c>
      <c r="AG68" s="21">
        <f t="shared" si="133"/>
        <v>5316198</v>
      </c>
      <c r="AH68" s="21">
        <f t="shared" ref="AH68:AI68" si="134">SUM(AH66:AH67)</f>
        <v>3824773</v>
      </c>
      <c r="AI68" s="21">
        <f t="shared" si="134"/>
        <v>3518019.78</v>
      </c>
      <c r="AJ68" s="21">
        <f t="shared" ref="AJ68:AK68" si="135">SUM(AJ66:AJ67)</f>
        <v>3241483.4299999997</v>
      </c>
      <c r="AK68" s="21">
        <f t="shared" si="135"/>
        <v>3766937</v>
      </c>
      <c r="AL68" s="17"/>
    </row>
    <row r="69" spans="1:38" ht="13.5" customHeight="1" x14ac:dyDescent="0.2">
      <c r="A69" s="15"/>
      <c r="C69" s="2" t="s">
        <v>36</v>
      </c>
      <c r="D69" s="2"/>
      <c r="E69" s="21"/>
      <c r="AL69" s="17"/>
    </row>
    <row r="70" spans="1:38" ht="13.5" customHeight="1" x14ac:dyDescent="0.2">
      <c r="A70" s="15"/>
      <c r="D70" s="1" t="s">
        <v>27</v>
      </c>
      <c r="E70" s="21"/>
      <c r="F70" s="21">
        <f t="shared" ref="F70:AA71" si="136">F46+F53+F59+F66</f>
        <v>3083451</v>
      </c>
      <c r="G70" s="21">
        <f t="shared" si="136"/>
        <v>2744843</v>
      </c>
      <c r="H70" s="21">
        <f t="shared" si="136"/>
        <v>2825385</v>
      </c>
      <c r="I70" s="21">
        <f t="shared" si="136"/>
        <v>3421746</v>
      </c>
      <c r="J70" s="21">
        <f t="shared" si="136"/>
        <v>4141805</v>
      </c>
      <c r="K70" s="21">
        <f t="shared" si="136"/>
        <v>5598043</v>
      </c>
      <c r="L70" s="21">
        <f t="shared" si="136"/>
        <v>6353155</v>
      </c>
      <c r="M70" s="21">
        <f t="shared" si="136"/>
        <v>6992169</v>
      </c>
      <c r="N70" s="21">
        <f t="shared" si="136"/>
        <v>5863563</v>
      </c>
      <c r="O70" s="21">
        <f t="shared" si="136"/>
        <v>7003757</v>
      </c>
      <c r="P70" s="21">
        <f t="shared" si="136"/>
        <v>8621025</v>
      </c>
      <c r="Q70" s="21">
        <f t="shared" si="136"/>
        <v>8428753</v>
      </c>
      <c r="R70" s="21">
        <f t="shared" si="136"/>
        <v>6727988</v>
      </c>
      <c r="S70" s="21">
        <f t="shared" si="136"/>
        <v>6773886</v>
      </c>
      <c r="T70" s="21">
        <f t="shared" si="136"/>
        <v>7217666</v>
      </c>
      <c r="U70" s="21">
        <f t="shared" si="136"/>
        <v>6211110</v>
      </c>
      <c r="V70" s="21">
        <f t="shared" si="136"/>
        <v>10474958</v>
      </c>
      <c r="W70" s="21">
        <f t="shared" si="136"/>
        <v>11036883</v>
      </c>
      <c r="X70" s="21">
        <f t="shared" si="136"/>
        <v>11013195</v>
      </c>
      <c r="Y70" s="21">
        <f t="shared" si="136"/>
        <v>13251864</v>
      </c>
      <c r="Z70" s="21">
        <f t="shared" si="136"/>
        <v>12972718</v>
      </c>
      <c r="AA70" s="21">
        <f t="shared" si="136"/>
        <v>14083328</v>
      </c>
      <c r="AB70" s="21">
        <f t="shared" ref="AB70:AC70" si="137">AB46+AB53+AB59+AB66</f>
        <v>15134849</v>
      </c>
      <c r="AC70" s="21">
        <f t="shared" si="137"/>
        <v>15249730</v>
      </c>
      <c r="AD70" s="21">
        <f t="shared" ref="AD70:AE70" si="138">AD46+AD53+AD59+AD66</f>
        <v>22152373</v>
      </c>
      <c r="AE70" s="21">
        <f t="shared" si="138"/>
        <v>24338379</v>
      </c>
      <c r="AF70" s="21">
        <f t="shared" ref="AF70:AG70" si="139">AF46+AF53+AF59+AF66</f>
        <v>24042978</v>
      </c>
      <c r="AG70" s="21">
        <f t="shared" si="139"/>
        <v>21399954</v>
      </c>
      <c r="AH70" s="21">
        <f t="shared" ref="AH70:AI70" si="140">AH46+AH53+AH59+AH66</f>
        <v>17807645</v>
      </c>
      <c r="AI70" s="21">
        <f t="shared" si="140"/>
        <v>18922347.780000001</v>
      </c>
      <c r="AJ70" s="21">
        <f t="shared" ref="AJ70:AK70" si="141">AJ46+AJ53+AJ59+AJ66</f>
        <v>17829060.68</v>
      </c>
      <c r="AK70" s="21">
        <f t="shared" si="141"/>
        <v>19268774</v>
      </c>
      <c r="AL70" s="17"/>
    </row>
    <row r="71" spans="1:38" ht="13.5" customHeight="1" x14ac:dyDescent="0.2">
      <c r="A71" s="15"/>
      <c r="D71" s="1" t="s">
        <v>28</v>
      </c>
      <c r="E71" s="23"/>
      <c r="F71" s="23">
        <f t="shared" ref="F71:L71" si="142">F47+F54+F60</f>
        <v>673812</v>
      </c>
      <c r="G71" s="23">
        <f t="shared" si="142"/>
        <v>842038</v>
      </c>
      <c r="H71" s="23">
        <f t="shared" si="142"/>
        <v>847823</v>
      </c>
      <c r="I71" s="23">
        <f t="shared" si="142"/>
        <v>883343</v>
      </c>
      <c r="J71" s="23">
        <f t="shared" si="142"/>
        <v>1098151</v>
      </c>
      <c r="K71" s="23">
        <f t="shared" si="142"/>
        <v>1070523</v>
      </c>
      <c r="L71" s="23">
        <f t="shared" si="142"/>
        <v>908133</v>
      </c>
      <c r="M71" s="23">
        <f>M47+M54+M60</f>
        <v>1009837</v>
      </c>
      <c r="N71" s="23">
        <f>N47+N54+N60</f>
        <v>1389615</v>
      </c>
      <c r="O71" s="23">
        <f>O47+O54+O60</f>
        <v>1670543</v>
      </c>
      <c r="P71" s="23">
        <f>P47+P54+P60</f>
        <v>2221086</v>
      </c>
      <c r="Q71" s="23">
        <f>Q47+Q54+Q60+Q67</f>
        <v>2665034</v>
      </c>
      <c r="R71" s="23">
        <f>R47+R54+R60+R67</f>
        <v>2163824</v>
      </c>
      <c r="S71" s="23">
        <f t="shared" si="136"/>
        <v>2325412</v>
      </c>
      <c r="T71" s="23">
        <f t="shared" si="136"/>
        <v>2191225</v>
      </c>
      <c r="U71" s="23">
        <f t="shared" si="136"/>
        <v>2534485</v>
      </c>
      <c r="V71" s="23">
        <f t="shared" si="136"/>
        <v>2278760</v>
      </c>
      <c r="W71" s="23">
        <f t="shared" si="136"/>
        <v>3394140</v>
      </c>
      <c r="X71" s="23">
        <f t="shared" si="136"/>
        <v>3740912</v>
      </c>
      <c r="Y71" s="23">
        <f t="shared" si="136"/>
        <v>4156625</v>
      </c>
      <c r="Z71" s="23">
        <f t="shared" si="136"/>
        <v>3175270</v>
      </c>
      <c r="AA71" s="23">
        <f t="shared" si="136"/>
        <v>2957254</v>
      </c>
      <c r="AB71" s="23">
        <f t="shared" ref="AB71:AC71" si="143">AB47+AB54+AB60+AB67</f>
        <v>3182886</v>
      </c>
      <c r="AC71" s="23">
        <f t="shared" si="143"/>
        <v>2853601</v>
      </c>
      <c r="AD71" s="23">
        <f t="shared" ref="AD71:AE71" si="144">AD47+AD54+AD60+AD67</f>
        <v>3317154</v>
      </c>
      <c r="AE71" s="23">
        <f t="shared" si="144"/>
        <v>3289525</v>
      </c>
      <c r="AF71" s="23">
        <f t="shared" ref="AF71:AG71" si="145">AF47+AF54+AF60+AF67</f>
        <v>3017142</v>
      </c>
      <c r="AG71" s="23">
        <f t="shared" si="145"/>
        <v>3132242</v>
      </c>
      <c r="AH71" s="23">
        <f t="shared" ref="AH71:AI71" si="146">AH47+AH54+AH60+AH67</f>
        <v>3697269</v>
      </c>
      <c r="AI71" s="23">
        <f t="shared" si="146"/>
        <v>3163207</v>
      </c>
      <c r="AJ71" s="23">
        <f t="shared" ref="AJ71:AK71" si="147">AJ47+AJ54+AJ60+AJ67</f>
        <v>2956382.75</v>
      </c>
      <c r="AK71" s="23">
        <f t="shared" si="147"/>
        <v>3599377</v>
      </c>
      <c r="AL71" s="47"/>
    </row>
    <row r="72" spans="1:38" ht="13.5" customHeight="1" x14ac:dyDescent="0.2">
      <c r="A72" s="15"/>
      <c r="D72" s="1" t="s">
        <v>29</v>
      </c>
      <c r="E72" s="23"/>
      <c r="F72" s="24">
        <f t="shared" ref="F72:AA72" si="148">F48+F61</f>
        <v>4514126</v>
      </c>
      <c r="G72" s="24">
        <f t="shared" si="148"/>
        <v>5052054</v>
      </c>
      <c r="H72" s="24">
        <f t="shared" si="148"/>
        <v>5012882</v>
      </c>
      <c r="I72" s="24">
        <f t="shared" si="148"/>
        <v>4850802</v>
      </c>
      <c r="J72" s="24">
        <f t="shared" si="148"/>
        <v>4927497</v>
      </c>
      <c r="K72" s="24">
        <f t="shared" si="148"/>
        <v>4962217</v>
      </c>
      <c r="L72" s="24">
        <f t="shared" si="148"/>
        <v>5965750</v>
      </c>
      <c r="M72" s="24">
        <f t="shared" si="148"/>
        <v>6595229</v>
      </c>
      <c r="N72" s="24">
        <f t="shared" si="148"/>
        <v>6941695</v>
      </c>
      <c r="O72" s="24">
        <f t="shared" si="148"/>
        <v>6551000</v>
      </c>
      <c r="P72" s="24">
        <f t="shared" si="148"/>
        <v>5277116</v>
      </c>
      <c r="Q72" s="24">
        <f t="shared" si="148"/>
        <v>6624539</v>
      </c>
      <c r="R72" s="24">
        <f t="shared" si="148"/>
        <v>9045024</v>
      </c>
      <c r="S72" s="24">
        <f t="shared" si="148"/>
        <v>9631194</v>
      </c>
      <c r="T72" s="24">
        <f t="shared" si="148"/>
        <v>8826300</v>
      </c>
      <c r="U72" s="24">
        <f t="shared" si="148"/>
        <v>4292836</v>
      </c>
      <c r="V72" s="24">
        <f t="shared" si="148"/>
        <v>9189114</v>
      </c>
      <c r="W72" s="24">
        <f t="shared" si="148"/>
        <v>10549107</v>
      </c>
      <c r="X72" s="24">
        <f t="shared" si="148"/>
        <v>10650975</v>
      </c>
      <c r="Y72" s="24">
        <f t="shared" si="148"/>
        <v>10070745</v>
      </c>
      <c r="Z72" s="24">
        <f t="shared" si="148"/>
        <v>9836220</v>
      </c>
      <c r="AA72" s="24">
        <f t="shared" si="148"/>
        <v>10289052</v>
      </c>
      <c r="AB72" s="24">
        <f t="shared" ref="AB72:AC72" si="149">AB48+AB61</f>
        <v>10165893</v>
      </c>
      <c r="AC72" s="24">
        <f t="shared" si="149"/>
        <v>10654216</v>
      </c>
      <c r="AD72" s="24">
        <f t="shared" ref="AD72:AE72" si="150">AD48+AD61</f>
        <v>11593462</v>
      </c>
      <c r="AE72" s="24">
        <f t="shared" si="150"/>
        <v>12133473</v>
      </c>
      <c r="AF72" s="24">
        <f t="shared" ref="AF72:AG72" si="151">AF48+AF61</f>
        <v>11808498</v>
      </c>
      <c r="AG72" s="24">
        <f t="shared" si="151"/>
        <v>11597102</v>
      </c>
      <c r="AH72" s="24">
        <f t="shared" ref="AH72:AI72" si="152">AH48+AH61</f>
        <v>10869127</v>
      </c>
      <c r="AI72" s="24">
        <f t="shared" si="152"/>
        <v>2405316</v>
      </c>
      <c r="AJ72" s="24">
        <f t="shared" ref="AJ72:AK72" si="153">AJ48+AJ61</f>
        <v>2627253</v>
      </c>
      <c r="AK72" s="24">
        <f t="shared" si="153"/>
        <v>12487900</v>
      </c>
      <c r="AL72" s="47"/>
    </row>
    <row r="73" spans="1:38" ht="13.5" customHeight="1" x14ac:dyDescent="0.2">
      <c r="A73" s="15"/>
      <c r="E73" s="21"/>
      <c r="F73" s="21">
        <f t="shared" ref="F73:L73" si="154">SUM(F70:F72)</f>
        <v>8271389</v>
      </c>
      <c r="G73" s="21">
        <f t="shared" si="154"/>
        <v>8638935</v>
      </c>
      <c r="H73" s="21">
        <f t="shared" si="154"/>
        <v>8686090</v>
      </c>
      <c r="I73" s="21">
        <f t="shared" si="154"/>
        <v>9155891</v>
      </c>
      <c r="J73" s="21">
        <f t="shared" si="154"/>
        <v>10167453</v>
      </c>
      <c r="K73" s="21">
        <f t="shared" si="154"/>
        <v>11630783</v>
      </c>
      <c r="L73" s="21">
        <f t="shared" si="154"/>
        <v>13227038</v>
      </c>
      <c r="M73" s="21">
        <f t="shared" ref="M73:AA73" si="155">SUM(M70:M72)</f>
        <v>14597235</v>
      </c>
      <c r="N73" s="21">
        <f t="shared" si="155"/>
        <v>14194873</v>
      </c>
      <c r="O73" s="21">
        <f t="shared" si="155"/>
        <v>15225300</v>
      </c>
      <c r="P73" s="21">
        <f t="shared" si="155"/>
        <v>16119227</v>
      </c>
      <c r="Q73" s="21">
        <f t="shared" si="155"/>
        <v>17718326</v>
      </c>
      <c r="R73" s="21">
        <f t="shared" si="155"/>
        <v>17936836</v>
      </c>
      <c r="S73" s="21">
        <f t="shared" si="155"/>
        <v>18730492</v>
      </c>
      <c r="T73" s="21">
        <f t="shared" si="155"/>
        <v>18235191</v>
      </c>
      <c r="U73" s="21">
        <f t="shared" si="155"/>
        <v>13038431</v>
      </c>
      <c r="V73" s="21">
        <f t="shared" si="155"/>
        <v>21942832</v>
      </c>
      <c r="W73" s="21">
        <f t="shared" si="155"/>
        <v>24980130</v>
      </c>
      <c r="X73" s="21">
        <f t="shared" si="155"/>
        <v>25405082</v>
      </c>
      <c r="Y73" s="21">
        <f t="shared" si="155"/>
        <v>27479234</v>
      </c>
      <c r="Z73" s="21">
        <f t="shared" si="155"/>
        <v>25984208</v>
      </c>
      <c r="AA73" s="21">
        <f t="shared" si="155"/>
        <v>27329634</v>
      </c>
      <c r="AB73" s="21">
        <f t="shared" ref="AB73:AC73" si="156">SUM(AB70:AB72)</f>
        <v>28483628</v>
      </c>
      <c r="AC73" s="21">
        <f t="shared" si="156"/>
        <v>28757547</v>
      </c>
      <c r="AD73" s="21">
        <f t="shared" ref="AD73:AE73" si="157">SUM(AD70:AD72)</f>
        <v>37062989</v>
      </c>
      <c r="AE73" s="21">
        <f t="shared" si="157"/>
        <v>39761377</v>
      </c>
      <c r="AF73" s="21">
        <f t="shared" ref="AF73:AG73" si="158">SUM(AF70:AF72)</f>
        <v>38868618</v>
      </c>
      <c r="AG73" s="21">
        <f t="shared" si="158"/>
        <v>36129298</v>
      </c>
      <c r="AH73" s="21">
        <f t="shared" ref="AH73:AI73" si="159">SUM(AH70:AH72)</f>
        <v>32374041</v>
      </c>
      <c r="AI73" s="21">
        <f t="shared" si="159"/>
        <v>24490870.780000001</v>
      </c>
      <c r="AJ73" s="21">
        <f t="shared" ref="AJ73:AK73" si="160">SUM(AJ70:AJ72)</f>
        <v>23412696.43</v>
      </c>
      <c r="AK73" s="21">
        <f t="shared" si="160"/>
        <v>35356051</v>
      </c>
      <c r="AL73" s="17"/>
    </row>
    <row r="74" spans="1:38" ht="13.5" customHeight="1" x14ac:dyDescent="0.2">
      <c r="A74" s="3"/>
      <c r="C74" s="2" t="s">
        <v>37</v>
      </c>
      <c r="D74" s="2"/>
      <c r="L74" s="21"/>
      <c r="AL74" s="5"/>
    </row>
    <row r="75" spans="1:38" ht="13.5" customHeight="1" x14ac:dyDescent="0.2">
      <c r="A75" s="3"/>
      <c r="D75" s="1" t="s">
        <v>38</v>
      </c>
      <c r="F75" s="32">
        <v>134</v>
      </c>
      <c r="G75" s="32">
        <v>152</v>
      </c>
      <c r="H75" s="32">
        <v>136</v>
      </c>
      <c r="I75" s="32">
        <v>133</v>
      </c>
      <c r="J75" s="32">
        <v>160</v>
      </c>
      <c r="K75" s="32">
        <v>143</v>
      </c>
      <c r="L75" s="32">
        <v>127</v>
      </c>
      <c r="M75" s="32">
        <v>118</v>
      </c>
      <c r="N75" s="32">
        <v>155</v>
      </c>
      <c r="O75" s="32">
        <v>142</v>
      </c>
      <c r="P75" s="32">
        <v>208</v>
      </c>
      <c r="Q75" s="32">
        <v>215</v>
      </c>
      <c r="R75" s="32">
        <v>178</v>
      </c>
      <c r="S75" s="32">
        <v>186</v>
      </c>
      <c r="T75" s="32">
        <v>188</v>
      </c>
      <c r="U75" s="32">
        <v>192</v>
      </c>
      <c r="V75" s="32">
        <v>178</v>
      </c>
      <c r="W75" s="32">
        <v>242</v>
      </c>
      <c r="X75" s="32">
        <v>273</v>
      </c>
      <c r="Y75" s="32">
        <v>275</v>
      </c>
      <c r="Z75" s="32">
        <v>8</v>
      </c>
      <c r="AA75" s="32">
        <v>30</v>
      </c>
      <c r="AB75" s="32">
        <v>8</v>
      </c>
      <c r="AC75" s="32">
        <v>18</v>
      </c>
      <c r="AD75" s="32">
        <v>23</v>
      </c>
      <c r="AE75" s="32">
        <v>9</v>
      </c>
      <c r="AF75" s="32">
        <v>15</v>
      </c>
      <c r="AG75" s="32">
        <v>34</v>
      </c>
      <c r="AH75" s="32">
        <v>42</v>
      </c>
      <c r="AI75" s="32">
        <v>51</v>
      </c>
      <c r="AJ75" s="32">
        <v>62</v>
      </c>
      <c r="AK75" s="32">
        <v>43</v>
      </c>
      <c r="AL75" s="5"/>
    </row>
    <row r="76" spans="1:38" ht="13.5" customHeight="1" x14ac:dyDescent="0.2">
      <c r="A76" s="15"/>
      <c r="D76" s="1" t="s">
        <v>39</v>
      </c>
      <c r="F76" s="33">
        <v>701</v>
      </c>
      <c r="G76" s="33">
        <v>817</v>
      </c>
      <c r="H76" s="33">
        <v>627</v>
      </c>
      <c r="I76" s="33">
        <v>560</v>
      </c>
      <c r="J76" s="33">
        <v>524</v>
      </c>
      <c r="K76" s="33">
        <v>542</v>
      </c>
      <c r="L76" s="33">
        <v>558</v>
      </c>
      <c r="M76" s="33">
        <v>642</v>
      </c>
      <c r="N76" s="33">
        <v>803</v>
      </c>
      <c r="O76" s="33">
        <v>944</v>
      </c>
      <c r="P76" s="33">
        <v>1038</v>
      </c>
      <c r="Q76" s="33">
        <v>1147</v>
      </c>
      <c r="R76" s="33">
        <v>1066</v>
      </c>
      <c r="S76" s="33">
        <v>1042</v>
      </c>
      <c r="T76" s="33">
        <v>874</v>
      </c>
      <c r="U76" s="33">
        <v>739</v>
      </c>
      <c r="V76" s="33">
        <v>1048</v>
      </c>
      <c r="W76" s="33">
        <v>1324</v>
      </c>
      <c r="X76" s="33">
        <v>1063</v>
      </c>
      <c r="Y76" s="33">
        <v>1426</v>
      </c>
      <c r="Z76" s="33">
        <v>1593</v>
      </c>
      <c r="AA76" s="33">
        <v>1673</v>
      </c>
      <c r="AB76" s="33">
        <v>1307</v>
      </c>
      <c r="AC76" s="33">
        <v>1586</v>
      </c>
      <c r="AD76" s="33">
        <v>1420</v>
      </c>
      <c r="AE76" s="33">
        <v>1849</v>
      </c>
      <c r="AF76" s="33">
        <v>1785</v>
      </c>
      <c r="AG76" s="33">
        <v>1597</v>
      </c>
      <c r="AH76" s="33">
        <v>1418</v>
      </c>
      <c r="AI76" s="33">
        <v>1395</v>
      </c>
      <c r="AJ76" s="33">
        <v>1477</v>
      </c>
      <c r="AK76" s="33">
        <v>1527</v>
      </c>
      <c r="AL76" s="5"/>
    </row>
    <row r="77" spans="1:38" ht="13.5" customHeight="1" x14ac:dyDescent="0.2">
      <c r="A77" s="15"/>
      <c r="F77" s="32">
        <f t="shared" ref="F77:AA77" si="161">SUM(F75:F76)</f>
        <v>835</v>
      </c>
      <c r="G77" s="32">
        <f t="shared" si="161"/>
        <v>969</v>
      </c>
      <c r="H77" s="32">
        <f t="shared" si="161"/>
        <v>763</v>
      </c>
      <c r="I77" s="32">
        <f t="shared" si="161"/>
        <v>693</v>
      </c>
      <c r="J77" s="32">
        <f t="shared" si="161"/>
        <v>684</v>
      </c>
      <c r="K77" s="32">
        <f t="shared" si="161"/>
        <v>685</v>
      </c>
      <c r="L77" s="32">
        <f t="shared" si="161"/>
        <v>685</v>
      </c>
      <c r="M77" s="32">
        <f t="shared" si="161"/>
        <v>760</v>
      </c>
      <c r="N77" s="32">
        <f t="shared" si="161"/>
        <v>958</v>
      </c>
      <c r="O77" s="32">
        <f t="shared" si="161"/>
        <v>1086</v>
      </c>
      <c r="P77" s="32">
        <f t="shared" si="161"/>
        <v>1246</v>
      </c>
      <c r="Q77" s="32">
        <f t="shared" si="161"/>
        <v>1362</v>
      </c>
      <c r="R77" s="32">
        <f t="shared" si="161"/>
        <v>1244</v>
      </c>
      <c r="S77" s="32">
        <f t="shared" si="161"/>
        <v>1228</v>
      </c>
      <c r="T77" s="32">
        <f t="shared" si="161"/>
        <v>1062</v>
      </c>
      <c r="U77" s="32">
        <f t="shared" si="161"/>
        <v>931</v>
      </c>
      <c r="V77" s="32">
        <f t="shared" si="161"/>
        <v>1226</v>
      </c>
      <c r="W77" s="32">
        <f t="shared" si="161"/>
        <v>1566</v>
      </c>
      <c r="X77" s="32">
        <f t="shared" si="161"/>
        <v>1336</v>
      </c>
      <c r="Y77" s="32">
        <f t="shared" si="161"/>
        <v>1701</v>
      </c>
      <c r="Z77" s="32">
        <f t="shared" si="161"/>
        <v>1601</v>
      </c>
      <c r="AA77" s="32">
        <f t="shared" si="161"/>
        <v>1703</v>
      </c>
      <c r="AB77" s="32">
        <f t="shared" ref="AB77:AC77" si="162">SUM(AB75:AB76)</f>
        <v>1315</v>
      </c>
      <c r="AC77" s="32">
        <f t="shared" si="162"/>
        <v>1604</v>
      </c>
      <c r="AD77" s="32">
        <f t="shared" ref="AD77:AE77" si="163">SUM(AD75:AD76)</f>
        <v>1443</v>
      </c>
      <c r="AE77" s="32">
        <f t="shared" si="163"/>
        <v>1858</v>
      </c>
      <c r="AF77" s="32">
        <f t="shared" ref="AF77:AG77" si="164">SUM(AF75:AF76)</f>
        <v>1800</v>
      </c>
      <c r="AG77" s="32">
        <f t="shared" si="164"/>
        <v>1631</v>
      </c>
      <c r="AH77" s="32">
        <f t="shared" ref="AH77:AI77" si="165">SUM(AH75:AH76)</f>
        <v>1460</v>
      </c>
      <c r="AI77" s="32">
        <f t="shared" si="165"/>
        <v>1446</v>
      </c>
      <c r="AJ77" s="32">
        <f t="shared" ref="AJ77:AK77" si="166">SUM(AJ75:AJ76)</f>
        <v>1539</v>
      </c>
      <c r="AK77" s="32">
        <f t="shared" si="166"/>
        <v>1570</v>
      </c>
      <c r="AL77" s="5"/>
    </row>
    <row r="78" spans="1:38" ht="13.5" customHeight="1" x14ac:dyDescent="0.2">
      <c r="A78" s="15"/>
      <c r="AL78" s="17"/>
    </row>
    <row r="79" spans="1:38" ht="13.5" customHeight="1" x14ac:dyDescent="0.2">
      <c r="A79" s="15"/>
      <c r="AL79" s="17"/>
    </row>
    <row r="80" spans="1:38" ht="13.5" customHeight="1" x14ac:dyDescent="0.2">
      <c r="A80" s="15"/>
      <c r="F80" s="36" t="s">
        <v>3</v>
      </c>
      <c r="G80" s="36" t="s">
        <v>4</v>
      </c>
      <c r="H80" s="36" t="s">
        <v>5</v>
      </c>
      <c r="I80" s="36" t="s">
        <v>6</v>
      </c>
      <c r="J80" s="36" t="s">
        <v>7</v>
      </c>
      <c r="K80" s="36" t="s">
        <v>8</v>
      </c>
      <c r="L80" s="36" t="s">
        <v>9</v>
      </c>
      <c r="M80" s="36" t="s">
        <v>10</v>
      </c>
      <c r="N80" s="36" t="s">
        <v>11</v>
      </c>
      <c r="O80" s="36" t="s">
        <v>12</v>
      </c>
      <c r="P80" s="36" t="s">
        <v>13</v>
      </c>
      <c r="Q80" s="36" t="s">
        <v>14</v>
      </c>
      <c r="R80" s="36" t="s">
        <v>15</v>
      </c>
      <c r="S80" s="36" t="s">
        <v>16</v>
      </c>
      <c r="T80" s="36" t="s">
        <v>17</v>
      </c>
      <c r="U80" s="36" t="s">
        <v>18</v>
      </c>
      <c r="V80" s="36" t="s">
        <v>19</v>
      </c>
      <c r="W80" s="36" t="s">
        <v>20</v>
      </c>
      <c r="X80" s="36" t="s">
        <v>21</v>
      </c>
      <c r="Y80" s="36" t="s">
        <v>22</v>
      </c>
      <c r="Z80" s="36" t="s">
        <v>23</v>
      </c>
      <c r="AA80" s="36" t="s">
        <v>24</v>
      </c>
      <c r="AB80" s="36" t="s">
        <v>51</v>
      </c>
      <c r="AC80" s="36" t="s">
        <v>52</v>
      </c>
      <c r="AD80" s="36" t="s">
        <v>53</v>
      </c>
      <c r="AE80" s="36" t="s">
        <v>54</v>
      </c>
      <c r="AF80" s="36" t="s">
        <v>55</v>
      </c>
      <c r="AG80" s="36" t="s">
        <v>56</v>
      </c>
      <c r="AH80" s="36" t="s">
        <v>57</v>
      </c>
      <c r="AI80" s="36" t="s">
        <v>58</v>
      </c>
      <c r="AJ80" s="36" t="s">
        <v>59</v>
      </c>
      <c r="AK80" s="36" t="s">
        <v>60</v>
      </c>
      <c r="AL80" s="17"/>
    </row>
    <row r="81" spans="1:38" ht="13.5" customHeight="1" x14ac:dyDescent="0.2">
      <c r="A81" s="15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7"/>
    </row>
    <row r="82" spans="1:38" ht="13.5" customHeight="1" x14ac:dyDescent="0.2">
      <c r="A82" s="15"/>
      <c r="B82" s="49" t="s">
        <v>41</v>
      </c>
      <c r="C82" s="50"/>
      <c r="D82" s="50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17"/>
    </row>
    <row r="83" spans="1:38" ht="13.5" customHeight="1" x14ac:dyDescent="0.2">
      <c r="A83" s="15"/>
      <c r="C83" s="2" t="s">
        <v>26</v>
      </c>
      <c r="D83" s="2"/>
      <c r="AL83" s="17"/>
    </row>
    <row r="84" spans="1:38" ht="13.5" customHeight="1" x14ac:dyDescent="0.2">
      <c r="A84" s="15"/>
      <c r="D84" s="1" t="s">
        <v>27</v>
      </c>
      <c r="E84" s="21"/>
      <c r="F84" s="21">
        <f t="shared" ref="F84:AA86" si="167">F11+F46</f>
        <v>2494114</v>
      </c>
      <c r="G84" s="21">
        <f t="shared" si="167"/>
        <v>1808369</v>
      </c>
      <c r="H84" s="21">
        <f t="shared" si="167"/>
        <v>1835610</v>
      </c>
      <c r="I84" s="21">
        <f t="shared" si="167"/>
        <v>1766935</v>
      </c>
      <c r="J84" s="21">
        <f t="shared" si="167"/>
        <v>1822689</v>
      </c>
      <c r="K84" s="21">
        <f t="shared" si="167"/>
        <v>1821660</v>
      </c>
      <c r="L84" s="21">
        <f t="shared" si="167"/>
        <v>1997318</v>
      </c>
      <c r="M84" s="21">
        <f t="shared" si="167"/>
        <v>1816022</v>
      </c>
      <c r="N84" s="21">
        <f t="shared" si="167"/>
        <v>1971758</v>
      </c>
      <c r="O84" s="21">
        <f t="shared" si="167"/>
        <v>2306485</v>
      </c>
      <c r="P84" s="21">
        <f t="shared" si="167"/>
        <v>2655819</v>
      </c>
      <c r="Q84" s="21">
        <f t="shared" si="167"/>
        <v>2816486</v>
      </c>
      <c r="R84" s="21">
        <f t="shared" si="167"/>
        <v>2904963</v>
      </c>
      <c r="S84" s="21">
        <f t="shared" si="167"/>
        <v>2878554</v>
      </c>
      <c r="T84" s="21">
        <f t="shared" si="167"/>
        <v>3579706</v>
      </c>
      <c r="U84" s="21">
        <f t="shared" si="167"/>
        <v>4195938</v>
      </c>
      <c r="V84" s="21">
        <f t="shared" si="167"/>
        <v>5200629</v>
      </c>
      <c r="W84" s="21">
        <f t="shared" si="167"/>
        <v>6769571</v>
      </c>
      <c r="X84" s="21">
        <f t="shared" si="167"/>
        <v>8044403</v>
      </c>
      <c r="Y84" s="21">
        <f t="shared" si="167"/>
        <v>6481887</v>
      </c>
      <c r="Z84" s="21">
        <f t="shared" si="167"/>
        <v>6316662</v>
      </c>
      <c r="AA84" s="21">
        <f t="shared" si="167"/>
        <v>6558112</v>
      </c>
      <c r="AB84" s="21">
        <f t="shared" ref="AB84:AC84" si="168">AB11+AB46</f>
        <v>6796994</v>
      </c>
      <c r="AC84" s="21">
        <f t="shared" si="168"/>
        <v>7151228</v>
      </c>
      <c r="AD84" s="21">
        <f t="shared" ref="AD84:AE84" si="169">AD11+AD46</f>
        <v>7151375</v>
      </c>
      <c r="AE84" s="21">
        <f t="shared" si="169"/>
        <v>7821072</v>
      </c>
      <c r="AF84" s="21">
        <f t="shared" ref="AF84:AG84" si="170">AF11+AF46</f>
        <v>9355272</v>
      </c>
      <c r="AG84" s="21">
        <f t="shared" si="170"/>
        <v>10918528</v>
      </c>
      <c r="AH84" s="21">
        <f t="shared" ref="AH84:AI84" si="171">AH11+AH46</f>
        <v>12354546</v>
      </c>
      <c r="AI84" s="21">
        <f t="shared" si="171"/>
        <v>15802799</v>
      </c>
      <c r="AJ84" s="21">
        <f t="shared" ref="AJ84:AK84" si="172">AJ11+AJ46</f>
        <v>8831476</v>
      </c>
      <c r="AK84" s="21">
        <f t="shared" si="172"/>
        <v>9237298</v>
      </c>
      <c r="AL84" s="17"/>
    </row>
    <row r="85" spans="1:38" ht="13.5" customHeight="1" x14ac:dyDescent="0.2">
      <c r="A85" s="15"/>
      <c r="D85" s="1" t="s">
        <v>28</v>
      </c>
      <c r="E85" s="23"/>
      <c r="F85" s="23">
        <f t="shared" si="167"/>
        <v>5641335</v>
      </c>
      <c r="G85" s="23">
        <f t="shared" si="167"/>
        <v>8449758</v>
      </c>
      <c r="H85" s="23">
        <f t="shared" si="167"/>
        <v>9335001</v>
      </c>
      <c r="I85" s="23">
        <f t="shared" si="167"/>
        <v>11572977</v>
      </c>
      <c r="J85" s="23">
        <f t="shared" si="167"/>
        <v>12202037</v>
      </c>
      <c r="K85" s="23">
        <f t="shared" si="167"/>
        <v>11498628</v>
      </c>
      <c r="L85" s="23">
        <f t="shared" si="167"/>
        <v>10319553</v>
      </c>
      <c r="M85" s="23">
        <f t="shared" si="167"/>
        <v>9565063</v>
      </c>
      <c r="N85" s="23">
        <f t="shared" si="167"/>
        <v>10357357</v>
      </c>
      <c r="O85" s="23">
        <f t="shared" si="167"/>
        <v>10858713</v>
      </c>
      <c r="P85" s="23">
        <f t="shared" si="167"/>
        <v>12694886</v>
      </c>
      <c r="Q85" s="23">
        <f t="shared" si="167"/>
        <v>14982609</v>
      </c>
      <c r="R85" s="23">
        <f t="shared" si="167"/>
        <v>14941057</v>
      </c>
      <c r="S85" s="23">
        <f t="shared" si="167"/>
        <v>16894127</v>
      </c>
      <c r="T85" s="23">
        <f t="shared" si="167"/>
        <v>15850142</v>
      </c>
      <c r="U85" s="23">
        <f t="shared" si="167"/>
        <v>17425028</v>
      </c>
      <c r="V85" s="23">
        <f t="shared" si="167"/>
        <v>22097690</v>
      </c>
      <c r="W85" s="23">
        <f t="shared" si="167"/>
        <v>26754339</v>
      </c>
      <c r="X85" s="23">
        <f t="shared" si="167"/>
        <v>30758173</v>
      </c>
      <c r="Y85" s="23">
        <f t="shared" si="167"/>
        <v>33930355</v>
      </c>
      <c r="Z85" s="23">
        <f t="shared" si="167"/>
        <v>32696439</v>
      </c>
      <c r="AA85" s="23">
        <f t="shared" si="167"/>
        <v>33298497</v>
      </c>
      <c r="AB85" s="23">
        <f t="shared" ref="AB85:AC85" si="173">AB12+AB47</f>
        <v>34498272</v>
      </c>
      <c r="AC85" s="23">
        <f t="shared" si="173"/>
        <v>36417653</v>
      </c>
      <c r="AD85" s="23">
        <f t="shared" ref="AD85:AE85" si="174">AD12+AD47</f>
        <v>38384969</v>
      </c>
      <c r="AE85" s="23">
        <f t="shared" si="174"/>
        <v>38055109</v>
      </c>
      <c r="AF85" s="23">
        <f t="shared" ref="AF85:AG85" si="175">AF12+AF47</f>
        <v>37256256</v>
      </c>
      <c r="AG85" s="23">
        <f t="shared" si="175"/>
        <v>32881712</v>
      </c>
      <c r="AH85" s="23">
        <f t="shared" ref="AH85:AI85" si="176">AH12+AH47</f>
        <v>28463833</v>
      </c>
      <c r="AI85" s="23">
        <f t="shared" si="176"/>
        <v>24197967</v>
      </c>
      <c r="AJ85" s="23">
        <f t="shared" ref="AJ85:AK85" si="177">AJ12+AJ47</f>
        <v>22204239</v>
      </c>
      <c r="AK85" s="23">
        <f t="shared" si="177"/>
        <v>22327515</v>
      </c>
      <c r="AL85" s="17"/>
    </row>
    <row r="86" spans="1:38" ht="13.5" customHeight="1" x14ac:dyDescent="0.2">
      <c r="A86" s="15"/>
      <c r="D86" s="1" t="s">
        <v>29</v>
      </c>
      <c r="E86" s="23"/>
      <c r="F86" s="24">
        <f t="shared" si="167"/>
        <v>254653</v>
      </c>
      <c r="G86" s="24">
        <f t="shared" si="167"/>
        <v>255714</v>
      </c>
      <c r="H86" s="24">
        <f t="shared" si="167"/>
        <v>260718</v>
      </c>
      <c r="I86" s="24">
        <f t="shared" si="167"/>
        <v>261019</v>
      </c>
      <c r="J86" s="24">
        <f t="shared" si="167"/>
        <v>273967</v>
      </c>
      <c r="K86" s="24">
        <f t="shared" si="167"/>
        <v>359149</v>
      </c>
      <c r="L86" s="24">
        <f t="shared" si="167"/>
        <v>345401</v>
      </c>
      <c r="M86" s="24">
        <f t="shared" si="167"/>
        <v>366949</v>
      </c>
      <c r="N86" s="24">
        <f t="shared" si="167"/>
        <v>282152</v>
      </c>
      <c r="O86" s="24">
        <f t="shared" si="167"/>
        <v>302982</v>
      </c>
      <c r="P86" s="24">
        <f t="shared" si="167"/>
        <v>363655</v>
      </c>
      <c r="Q86" s="24">
        <f t="shared" si="167"/>
        <v>298965</v>
      </c>
      <c r="R86" s="24">
        <f t="shared" si="167"/>
        <v>215094</v>
      </c>
      <c r="S86" s="24">
        <f t="shared" si="167"/>
        <v>239171</v>
      </c>
      <c r="T86" s="24">
        <f t="shared" si="167"/>
        <v>236437</v>
      </c>
      <c r="U86" s="24">
        <f t="shared" si="167"/>
        <v>261235</v>
      </c>
      <c r="V86" s="24">
        <f t="shared" si="167"/>
        <v>312877</v>
      </c>
      <c r="W86" s="24">
        <f t="shared" si="167"/>
        <v>254476</v>
      </c>
      <c r="X86" s="24">
        <f t="shared" si="167"/>
        <v>227481</v>
      </c>
      <c r="Y86" s="24">
        <f t="shared" si="167"/>
        <v>284974</v>
      </c>
      <c r="Z86" s="24">
        <f t="shared" si="167"/>
        <v>238564</v>
      </c>
      <c r="AA86" s="24">
        <f t="shared" si="167"/>
        <v>257743</v>
      </c>
      <c r="AB86" s="24">
        <f t="shared" ref="AB86:AC86" si="178">AB13+AB48</f>
        <v>271432</v>
      </c>
      <c r="AC86" s="24">
        <f t="shared" si="178"/>
        <v>261227</v>
      </c>
      <c r="AD86" s="24">
        <f t="shared" ref="AD86:AE86" si="179">AD13+AD48</f>
        <v>267016</v>
      </c>
      <c r="AE86" s="24">
        <f t="shared" si="179"/>
        <v>281714</v>
      </c>
      <c r="AF86" s="24">
        <f t="shared" ref="AF86:AG86" si="180">AF13+AF48</f>
        <v>282343</v>
      </c>
      <c r="AG86" s="24">
        <f t="shared" si="180"/>
        <v>290426</v>
      </c>
      <c r="AH86" s="24">
        <f t="shared" ref="AH86:AI86" si="181">AH13+AH48</f>
        <v>298129</v>
      </c>
      <c r="AI86" s="24">
        <f t="shared" si="181"/>
        <v>316895</v>
      </c>
      <c r="AJ86" s="24">
        <f t="shared" ref="AJ86:AK86" si="182">AJ13+AJ48</f>
        <v>216782</v>
      </c>
      <c r="AK86" s="24">
        <f t="shared" si="182"/>
        <v>219730</v>
      </c>
      <c r="AL86" s="17"/>
    </row>
    <row r="87" spans="1:38" ht="13.5" customHeight="1" x14ac:dyDescent="0.2">
      <c r="A87" s="15"/>
      <c r="F87" s="21">
        <f t="shared" ref="F87:AA87" si="183">SUM(F84:F86)</f>
        <v>8390102</v>
      </c>
      <c r="G87" s="21">
        <f t="shared" si="183"/>
        <v>10513841</v>
      </c>
      <c r="H87" s="21">
        <f t="shared" si="183"/>
        <v>11431329</v>
      </c>
      <c r="I87" s="21">
        <f t="shared" si="183"/>
        <v>13600931</v>
      </c>
      <c r="J87" s="21">
        <f t="shared" si="183"/>
        <v>14298693</v>
      </c>
      <c r="K87" s="21">
        <f t="shared" si="183"/>
        <v>13679437</v>
      </c>
      <c r="L87" s="21">
        <f t="shared" si="183"/>
        <v>12662272</v>
      </c>
      <c r="M87" s="21">
        <f t="shared" si="183"/>
        <v>11748034</v>
      </c>
      <c r="N87" s="21">
        <f t="shared" si="183"/>
        <v>12611267</v>
      </c>
      <c r="O87" s="21">
        <f t="shared" si="183"/>
        <v>13468180</v>
      </c>
      <c r="P87" s="21">
        <f t="shared" si="183"/>
        <v>15714360</v>
      </c>
      <c r="Q87" s="21">
        <f t="shared" si="183"/>
        <v>18098060</v>
      </c>
      <c r="R87" s="21">
        <f t="shared" si="183"/>
        <v>18061114</v>
      </c>
      <c r="S87" s="21">
        <f t="shared" si="183"/>
        <v>20011852</v>
      </c>
      <c r="T87" s="21">
        <f t="shared" si="183"/>
        <v>19666285</v>
      </c>
      <c r="U87" s="21">
        <f t="shared" si="183"/>
        <v>21882201</v>
      </c>
      <c r="V87" s="21">
        <f t="shared" si="183"/>
        <v>27611196</v>
      </c>
      <c r="W87" s="21">
        <f t="shared" si="183"/>
        <v>33778386</v>
      </c>
      <c r="X87" s="21">
        <f t="shared" si="183"/>
        <v>39030057</v>
      </c>
      <c r="Y87" s="21">
        <f t="shared" si="183"/>
        <v>40697216</v>
      </c>
      <c r="Z87" s="21">
        <f t="shared" si="183"/>
        <v>39251665</v>
      </c>
      <c r="AA87" s="21">
        <f t="shared" si="183"/>
        <v>40114352</v>
      </c>
      <c r="AB87" s="21">
        <f t="shared" ref="AB87:AC87" si="184">SUM(AB84:AB86)</f>
        <v>41566698</v>
      </c>
      <c r="AC87" s="21">
        <f t="shared" si="184"/>
        <v>43830108</v>
      </c>
      <c r="AD87" s="21">
        <f t="shared" ref="AD87:AE87" si="185">SUM(AD84:AD86)</f>
        <v>45803360</v>
      </c>
      <c r="AE87" s="21">
        <f t="shared" si="185"/>
        <v>46157895</v>
      </c>
      <c r="AF87" s="21">
        <f t="shared" ref="AF87:AG87" si="186">SUM(AF84:AF86)</f>
        <v>46893871</v>
      </c>
      <c r="AG87" s="21">
        <f t="shared" si="186"/>
        <v>44090666</v>
      </c>
      <c r="AH87" s="21">
        <f t="shared" ref="AH87:AI87" si="187">SUM(AH84:AH86)</f>
        <v>41116508</v>
      </c>
      <c r="AI87" s="21">
        <f t="shared" si="187"/>
        <v>40317661</v>
      </c>
      <c r="AJ87" s="21">
        <f t="shared" ref="AJ87:AK87" si="188">SUM(AJ84:AJ86)</f>
        <v>31252497</v>
      </c>
      <c r="AK87" s="21">
        <f t="shared" si="188"/>
        <v>31784543</v>
      </c>
      <c r="AL87" s="17"/>
    </row>
    <row r="88" spans="1:38" ht="13.5" hidden="1" customHeight="1" x14ac:dyDescent="0.2">
      <c r="A88" s="15"/>
      <c r="D88" s="26"/>
      <c r="E88" s="27"/>
      <c r="F88" s="28">
        <f t="shared" ref="F88:AA88" si="189">F15+F50</f>
        <v>-125050</v>
      </c>
      <c r="G88" s="28">
        <f t="shared" si="189"/>
        <v>-122199</v>
      </c>
      <c r="H88" s="28">
        <f t="shared" si="189"/>
        <v>-142732</v>
      </c>
      <c r="I88" s="28">
        <f t="shared" si="189"/>
        <v>-136167</v>
      </c>
      <c r="J88" s="28">
        <f t="shared" si="189"/>
        <v>-127830</v>
      </c>
      <c r="K88" s="28">
        <f t="shared" si="189"/>
        <v>-171264</v>
      </c>
      <c r="L88" s="28">
        <f t="shared" si="189"/>
        <v>-167862</v>
      </c>
      <c r="M88" s="28">
        <f t="shared" si="189"/>
        <v>-171585</v>
      </c>
      <c r="N88" s="28">
        <f t="shared" si="189"/>
        <v>-134213</v>
      </c>
      <c r="O88" s="28">
        <f t="shared" si="189"/>
        <v>-134521</v>
      </c>
      <c r="P88" s="28">
        <f t="shared" si="189"/>
        <v>-143982</v>
      </c>
      <c r="Q88" s="28">
        <f t="shared" si="189"/>
        <v>-263060</v>
      </c>
      <c r="R88" s="28">
        <f t="shared" si="189"/>
        <v>0</v>
      </c>
      <c r="S88" s="28">
        <f t="shared" si="189"/>
        <v>0</v>
      </c>
      <c r="T88" s="28">
        <f t="shared" si="189"/>
        <v>0</v>
      </c>
      <c r="U88" s="28">
        <f t="shared" si="189"/>
        <v>0</v>
      </c>
      <c r="V88" s="28">
        <f t="shared" si="189"/>
        <v>-137525</v>
      </c>
      <c r="W88" s="28">
        <f t="shared" si="189"/>
        <v>0</v>
      </c>
      <c r="X88" s="28">
        <f t="shared" si="189"/>
        <v>0</v>
      </c>
      <c r="Y88" s="28">
        <f t="shared" si="189"/>
        <v>0</v>
      </c>
      <c r="Z88" s="28">
        <f t="shared" si="189"/>
        <v>0</v>
      </c>
      <c r="AA88" s="28">
        <f t="shared" si="189"/>
        <v>0</v>
      </c>
      <c r="AB88" s="28">
        <f t="shared" ref="AB88:AC88" si="190">AB15+AB50</f>
        <v>0</v>
      </c>
      <c r="AC88" s="28">
        <f t="shared" si="190"/>
        <v>0</v>
      </c>
      <c r="AD88" s="28">
        <f t="shared" ref="AD88:AE88" si="191">AD15+AD50</f>
        <v>0</v>
      </c>
      <c r="AE88" s="28">
        <f t="shared" si="191"/>
        <v>0</v>
      </c>
      <c r="AF88" s="28">
        <f t="shared" ref="AF88:AG88" si="192">AF15+AF50</f>
        <v>0</v>
      </c>
      <c r="AG88" s="28">
        <f t="shared" si="192"/>
        <v>0</v>
      </c>
      <c r="AH88" s="28">
        <f t="shared" ref="AH88:AI88" si="193">AH15+AH50</f>
        <v>0</v>
      </c>
      <c r="AI88" s="28">
        <f t="shared" si="193"/>
        <v>0</v>
      </c>
      <c r="AJ88" s="28">
        <f t="shared" ref="AJ88:AK88" si="194">AJ15+AJ50</f>
        <v>0</v>
      </c>
      <c r="AK88" s="28">
        <f t="shared" si="194"/>
        <v>0</v>
      </c>
      <c r="AL88" s="5"/>
    </row>
    <row r="89" spans="1:38" ht="13.5" customHeight="1" x14ac:dyDescent="0.2">
      <c r="A89" s="15"/>
      <c r="D89" s="26"/>
      <c r="E89" s="27" t="s">
        <v>30</v>
      </c>
      <c r="F89" s="29">
        <f t="shared" ref="F89:AA89" si="195">SUM(F87:F88)</f>
        <v>8265052</v>
      </c>
      <c r="G89" s="29">
        <f t="shared" si="195"/>
        <v>10391642</v>
      </c>
      <c r="H89" s="29">
        <f t="shared" si="195"/>
        <v>11288597</v>
      </c>
      <c r="I89" s="29">
        <f t="shared" si="195"/>
        <v>13464764</v>
      </c>
      <c r="J89" s="29">
        <f t="shared" si="195"/>
        <v>14170863</v>
      </c>
      <c r="K89" s="29">
        <f t="shared" si="195"/>
        <v>13508173</v>
      </c>
      <c r="L89" s="29">
        <f t="shared" si="195"/>
        <v>12494410</v>
      </c>
      <c r="M89" s="29">
        <f t="shared" si="195"/>
        <v>11576449</v>
      </c>
      <c r="N89" s="29">
        <f t="shared" si="195"/>
        <v>12477054</v>
      </c>
      <c r="O89" s="29">
        <f t="shared" si="195"/>
        <v>13333659</v>
      </c>
      <c r="P89" s="29">
        <f t="shared" si="195"/>
        <v>15570378</v>
      </c>
      <c r="Q89" s="29">
        <f t="shared" si="195"/>
        <v>17835000</v>
      </c>
      <c r="R89" s="29">
        <f t="shared" si="195"/>
        <v>18061114</v>
      </c>
      <c r="S89" s="29">
        <f t="shared" si="195"/>
        <v>20011852</v>
      </c>
      <c r="T89" s="29">
        <f t="shared" si="195"/>
        <v>19666285</v>
      </c>
      <c r="U89" s="29">
        <f t="shared" si="195"/>
        <v>21882201</v>
      </c>
      <c r="V89" s="29">
        <f t="shared" si="195"/>
        <v>27473671</v>
      </c>
      <c r="W89" s="29">
        <f t="shared" si="195"/>
        <v>33778386</v>
      </c>
      <c r="X89" s="29">
        <f t="shared" si="195"/>
        <v>39030057</v>
      </c>
      <c r="Y89" s="29">
        <f t="shared" si="195"/>
        <v>40697216</v>
      </c>
      <c r="Z89" s="29">
        <f t="shared" si="195"/>
        <v>39251665</v>
      </c>
      <c r="AA89" s="29">
        <f t="shared" si="195"/>
        <v>40114352</v>
      </c>
      <c r="AB89" s="29">
        <f t="shared" ref="AB89:AC89" si="196">SUM(AB87:AB88)</f>
        <v>41566698</v>
      </c>
      <c r="AC89" s="29">
        <f t="shared" si="196"/>
        <v>43830108</v>
      </c>
      <c r="AD89" s="29">
        <f t="shared" ref="AD89:AE89" si="197">SUM(AD87:AD88)</f>
        <v>45803360</v>
      </c>
      <c r="AE89" s="29">
        <f t="shared" si="197"/>
        <v>46157895</v>
      </c>
      <c r="AF89" s="29">
        <f t="shared" ref="AF89:AG89" si="198">SUM(AF87:AF88)</f>
        <v>46893871</v>
      </c>
      <c r="AG89" s="29">
        <f t="shared" si="198"/>
        <v>44090666</v>
      </c>
      <c r="AH89" s="29">
        <f t="shared" ref="AH89:AI89" si="199">SUM(AH87:AH88)</f>
        <v>41116508</v>
      </c>
      <c r="AI89" s="29">
        <f t="shared" si="199"/>
        <v>40317661</v>
      </c>
      <c r="AJ89" s="29">
        <f t="shared" ref="AJ89:AK89" si="200">SUM(AJ87:AJ88)</f>
        <v>31252497</v>
      </c>
      <c r="AK89" s="29">
        <f t="shared" si="200"/>
        <v>31784543</v>
      </c>
      <c r="AL89" s="5"/>
    </row>
    <row r="90" spans="1:38" ht="13.5" customHeight="1" x14ac:dyDescent="0.2">
      <c r="A90" s="15"/>
      <c r="C90" s="2" t="s">
        <v>31</v>
      </c>
      <c r="AL90" s="17"/>
    </row>
    <row r="91" spans="1:38" ht="13.5" customHeight="1" x14ac:dyDescent="0.2">
      <c r="A91" s="15"/>
      <c r="D91" s="1" t="s">
        <v>27</v>
      </c>
      <c r="E91" s="21"/>
      <c r="F91" s="21">
        <f t="shared" ref="F91:AA92" si="201">F18+F53</f>
        <v>1505537</v>
      </c>
      <c r="G91" s="21">
        <f t="shared" si="201"/>
        <v>1798182</v>
      </c>
      <c r="H91" s="21">
        <f t="shared" si="201"/>
        <v>1766445</v>
      </c>
      <c r="I91" s="21">
        <f t="shared" si="201"/>
        <v>1801486</v>
      </c>
      <c r="J91" s="21">
        <f t="shared" si="201"/>
        <v>2012893</v>
      </c>
      <c r="K91" s="21">
        <f t="shared" si="201"/>
        <v>1962824</v>
      </c>
      <c r="L91" s="21">
        <f t="shared" si="201"/>
        <v>2053718</v>
      </c>
      <c r="M91" s="21">
        <f t="shared" si="201"/>
        <v>2044089</v>
      </c>
      <c r="N91" s="21">
        <f t="shared" si="201"/>
        <v>2220701</v>
      </c>
      <c r="O91" s="21">
        <f t="shared" si="201"/>
        <v>2270354</v>
      </c>
      <c r="P91" s="21">
        <f t="shared" si="201"/>
        <v>2329198</v>
      </c>
      <c r="Q91" s="21">
        <f t="shared" si="201"/>
        <v>2341656</v>
      </c>
      <c r="R91" s="21">
        <f t="shared" si="201"/>
        <v>2386416</v>
      </c>
      <c r="S91" s="21">
        <f t="shared" si="201"/>
        <v>2691745</v>
      </c>
      <c r="T91" s="21">
        <f t="shared" si="201"/>
        <v>2777056</v>
      </c>
      <c r="U91" s="21">
        <f t="shared" si="201"/>
        <v>3450249</v>
      </c>
      <c r="V91" s="21">
        <f t="shared" si="201"/>
        <v>3558922</v>
      </c>
      <c r="W91" s="21">
        <f t="shared" si="201"/>
        <v>3474590</v>
      </c>
      <c r="X91" s="21">
        <f t="shared" si="201"/>
        <v>2749888</v>
      </c>
      <c r="Y91" s="21">
        <f t="shared" si="201"/>
        <v>2787540</v>
      </c>
      <c r="Z91" s="21">
        <f t="shared" si="201"/>
        <v>3182605</v>
      </c>
      <c r="AA91" s="21">
        <f t="shared" si="201"/>
        <v>3775600</v>
      </c>
      <c r="AB91" s="21">
        <f t="shared" ref="AB91:AC91" si="202">AB18+AB53</f>
        <v>5127498</v>
      </c>
      <c r="AC91" s="21">
        <f t="shared" si="202"/>
        <v>5965146</v>
      </c>
      <c r="AD91" s="21">
        <f t="shared" ref="AD91:AE91" si="203">AD18+AD53</f>
        <v>6613759</v>
      </c>
      <c r="AE91" s="21">
        <f t="shared" si="203"/>
        <v>6543008</v>
      </c>
      <c r="AF91" s="21">
        <f t="shared" ref="AF91:AG91" si="204">AF18+AF53</f>
        <v>6783258</v>
      </c>
      <c r="AG91" s="21">
        <f t="shared" si="204"/>
        <v>6312798</v>
      </c>
      <c r="AH91" s="21">
        <f t="shared" ref="AH91:AI91" si="205">AH18+AH53</f>
        <v>5178746</v>
      </c>
      <c r="AI91" s="21">
        <f t="shared" si="205"/>
        <v>5962943</v>
      </c>
      <c r="AJ91" s="21">
        <f t="shared" ref="AJ91:AK91" si="206">AJ18+AJ53</f>
        <v>6130996</v>
      </c>
      <c r="AK91" s="21">
        <f t="shared" si="206"/>
        <v>6213835</v>
      </c>
      <c r="AL91" s="17"/>
    </row>
    <row r="92" spans="1:38" ht="13.5" customHeight="1" x14ac:dyDescent="0.2">
      <c r="A92" s="15"/>
      <c r="D92" s="1" t="s">
        <v>28</v>
      </c>
      <c r="E92" s="23"/>
      <c r="F92" s="24">
        <f t="shared" si="201"/>
        <v>0</v>
      </c>
      <c r="G92" s="24">
        <f t="shared" si="201"/>
        <v>0</v>
      </c>
      <c r="H92" s="24">
        <f t="shared" si="201"/>
        <v>0</v>
      </c>
      <c r="I92" s="24">
        <f t="shared" si="201"/>
        <v>0</v>
      </c>
      <c r="J92" s="24">
        <f t="shared" si="201"/>
        <v>0</v>
      </c>
      <c r="K92" s="24">
        <f t="shared" si="201"/>
        <v>0</v>
      </c>
      <c r="L92" s="24">
        <f t="shared" si="201"/>
        <v>0</v>
      </c>
      <c r="M92" s="24">
        <f t="shared" si="201"/>
        <v>406692</v>
      </c>
      <c r="N92" s="24">
        <f t="shared" si="201"/>
        <v>372187</v>
      </c>
      <c r="O92" s="24">
        <f t="shared" si="201"/>
        <v>233697</v>
      </c>
      <c r="P92" s="24">
        <f t="shared" si="201"/>
        <v>98450</v>
      </c>
      <c r="Q92" s="24">
        <f t="shared" si="201"/>
        <v>66797</v>
      </c>
      <c r="R92" s="24">
        <f t="shared" si="201"/>
        <v>8750</v>
      </c>
      <c r="S92" s="24">
        <f t="shared" si="201"/>
        <v>0</v>
      </c>
      <c r="T92" s="24">
        <f t="shared" si="201"/>
        <v>0</v>
      </c>
      <c r="U92" s="24">
        <f t="shared" si="201"/>
        <v>0</v>
      </c>
      <c r="V92" s="24">
        <f t="shared" si="201"/>
        <v>0</v>
      </c>
      <c r="W92" s="24">
        <f t="shared" si="201"/>
        <v>0</v>
      </c>
      <c r="X92" s="24">
        <f t="shared" si="201"/>
        <v>0</v>
      </c>
      <c r="Y92" s="24">
        <f t="shared" si="201"/>
        <v>0</v>
      </c>
      <c r="Z92" s="24">
        <f t="shared" si="201"/>
        <v>0</v>
      </c>
      <c r="AA92" s="24">
        <f t="shared" si="201"/>
        <v>0</v>
      </c>
      <c r="AB92" s="24">
        <f t="shared" ref="AB92:AC92" si="207">AB19+AB54</f>
        <v>0</v>
      </c>
      <c r="AC92" s="24">
        <f t="shared" si="207"/>
        <v>0</v>
      </c>
      <c r="AD92" s="24">
        <f t="shared" ref="AD92:AE92" si="208">AD19+AD54</f>
        <v>0</v>
      </c>
      <c r="AE92" s="24">
        <f t="shared" si="208"/>
        <v>0</v>
      </c>
      <c r="AF92" s="24">
        <f t="shared" ref="AF92:AG92" si="209">AF19+AF54</f>
        <v>0</v>
      </c>
      <c r="AG92" s="24">
        <f t="shared" si="209"/>
        <v>0</v>
      </c>
      <c r="AH92" s="24">
        <f t="shared" ref="AH92:AI92" si="210">AH19+AH54</f>
        <v>0</v>
      </c>
      <c r="AI92" s="24">
        <f t="shared" si="210"/>
        <v>0</v>
      </c>
      <c r="AJ92" s="24">
        <f t="shared" ref="AJ92:AK92" si="211">AJ19+AJ54</f>
        <v>0</v>
      </c>
      <c r="AK92" s="24">
        <f t="shared" si="211"/>
        <v>0</v>
      </c>
      <c r="AL92" s="17"/>
    </row>
    <row r="93" spans="1:38" ht="13.5" customHeight="1" x14ac:dyDescent="0.2">
      <c r="A93" s="15"/>
      <c r="F93" s="21">
        <f t="shared" ref="F93:AA93" si="212">SUM(F91:F92)</f>
        <v>1505537</v>
      </c>
      <c r="G93" s="21">
        <f t="shared" si="212"/>
        <v>1798182</v>
      </c>
      <c r="H93" s="21">
        <f t="shared" si="212"/>
        <v>1766445</v>
      </c>
      <c r="I93" s="21">
        <f t="shared" si="212"/>
        <v>1801486</v>
      </c>
      <c r="J93" s="21">
        <f t="shared" si="212"/>
        <v>2012893</v>
      </c>
      <c r="K93" s="21">
        <f t="shared" si="212"/>
        <v>1962824</v>
      </c>
      <c r="L93" s="21">
        <f t="shared" si="212"/>
        <v>2053718</v>
      </c>
      <c r="M93" s="21">
        <f t="shared" si="212"/>
        <v>2450781</v>
      </c>
      <c r="N93" s="21">
        <f t="shared" si="212"/>
        <v>2592888</v>
      </c>
      <c r="O93" s="21">
        <f t="shared" si="212"/>
        <v>2504051</v>
      </c>
      <c r="P93" s="21">
        <f t="shared" si="212"/>
        <v>2427648</v>
      </c>
      <c r="Q93" s="21">
        <f t="shared" si="212"/>
        <v>2408453</v>
      </c>
      <c r="R93" s="21">
        <f t="shared" si="212"/>
        <v>2395166</v>
      </c>
      <c r="S93" s="21">
        <f t="shared" si="212"/>
        <v>2691745</v>
      </c>
      <c r="T93" s="21">
        <f t="shared" si="212"/>
        <v>2777056</v>
      </c>
      <c r="U93" s="21">
        <f t="shared" si="212"/>
        <v>3450249</v>
      </c>
      <c r="V93" s="21">
        <f t="shared" si="212"/>
        <v>3558922</v>
      </c>
      <c r="W93" s="21">
        <f t="shared" si="212"/>
        <v>3474590</v>
      </c>
      <c r="X93" s="21">
        <f t="shared" si="212"/>
        <v>2749888</v>
      </c>
      <c r="Y93" s="21">
        <f t="shared" si="212"/>
        <v>2787540</v>
      </c>
      <c r="Z93" s="21">
        <f t="shared" si="212"/>
        <v>3182605</v>
      </c>
      <c r="AA93" s="21">
        <f t="shared" si="212"/>
        <v>3775600</v>
      </c>
      <c r="AB93" s="21">
        <f t="shared" ref="AB93:AC93" si="213">SUM(AB91:AB92)</f>
        <v>5127498</v>
      </c>
      <c r="AC93" s="21">
        <f t="shared" si="213"/>
        <v>5965146</v>
      </c>
      <c r="AD93" s="21">
        <f t="shared" ref="AD93:AE93" si="214">SUM(AD91:AD92)</f>
        <v>6613759</v>
      </c>
      <c r="AE93" s="21">
        <f t="shared" si="214"/>
        <v>6543008</v>
      </c>
      <c r="AF93" s="21">
        <f t="shared" ref="AF93:AG93" si="215">SUM(AF91:AF92)</f>
        <v>6783258</v>
      </c>
      <c r="AG93" s="21">
        <f t="shared" si="215"/>
        <v>6312798</v>
      </c>
      <c r="AH93" s="21">
        <f t="shared" ref="AH93:AI93" si="216">SUM(AH91:AH92)</f>
        <v>5178746</v>
      </c>
      <c r="AI93" s="21">
        <f t="shared" si="216"/>
        <v>5962943</v>
      </c>
      <c r="AJ93" s="21">
        <f t="shared" ref="AJ93:AK93" si="217">SUM(AJ91:AJ92)</f>
        <v>6130996</v>
      </c>
      <c r="AK93" s="21">
        <f t="shared" si="217"/>
        <v>6213835</v>
      </c>
      <c r="AL93" s="17"/>
    </row>
    <row r="94" spans="1:38" ht="13.5" hidden="1" customHeight="1" x14ac:dyDescent="0.2">
      <c r="A94" s="15"/>
      <c r="D94" s="26"/>
      <c r="E94" s="27"/>
      <c r="F94" s="28">
        <f t="shared" ref="F94:AA94" si="218">F21+F56</f>
        <v>0</v>
      </c>
      <c r="G94" s="28">
        <f t="shared" si="218"/>
        <v>0</v>
      </c>
      <c r="H94" s="28">
        <f t="shared" si="218"/>
        <v>0</v>
      </c>
      <c r="I94" s="28">
        <f t="shared" si="218"/>
        <v>0</v>
      </c>
      <c r="J94" s="28">
        <f t="shared" si="218"/>
        <v>0</v>
      </c>
      <c r="K94" s="28">
        <f t="shared" si="218"/>
        <v>0</v>
      </c>
      <c r="L94" s="28">
        <f t="shared" si="218"/>
        <v>0</v>
      </c>
      <c r="M94" s="28">
        <f t="shared" si="218"/>
        <v>0</v>
      </c>
      <c r="N94" s="28">
        <f t="shared" si="218"/>
        <v>0</v>
      </c>
      <c r="O94" s="28">
        <f t="shared" si="218"/>
        <v>0</v>
      </c>
      <c r="P94" s="28">
        <f t="shared" si="218"/>
        <v>0</v>
      </c>
      <c r="Q94" s="28">
        <f t="shared" si="218"/>
        <v>0</v>
      </c>
      <c r="R94" s="28">
        <f t="shared" si="218"/>
        <v>0</v>
      </c>
      <c r="S94" s="28">
        <f t="shared" si="218"/>
        <v>0</v>
      </c>
      <c r="T94" s="28">
        <f t="shared" si="218"/>
        <v>0</v>
      </c>
      <c r="U94" s="28">
        <f t="shared" si="218"/>
        <v>0</v>
      </c>
      <c r="V94" s="28">
        <f t="shared" si="218"/>
        <v>-3000</v>
      </c>
      <c r="W94" s="28">
        <f t="shared" si="218"/>
        <v>0</v>
      </c>
      <c r="X94" s="28">
        <f t="shared" si="218"/>
        <v>0</v>
      </c>
      <c r="Y94" s="28">
        <f t="shared" si="218"/>
        <v>0</v>
      </c>
      <c r="Z94" s="28">
        <f t="shared" si="218"/>
        <v>0</v>
      </c>
      <c r="AA94" s="28">
        <f t="shared" si="218"/>
        <v>0</v>
      </c>
      <c r="AB94" s="28">
        <f t="shared" ref="AB94:AC94" si="219">AB21+AB56</f>
        <v>0</v>
      </c>
      <c r="AC94" s="28">
        <f t="shared" si="219"/>
        <v>0</v>
      </c>
      <c r="AD94" s="28">
        <f t="shared" ref="AD94:AE94" si="220">AD21+AD56</f>
        <v>0</v>
      </c>
      <c r="AE94" s="28">
        <f t="shared" si="220"/>
        <v>0</v>
      </c>
      <c r="AF94" s="28">
        <f t="shared" ref="AF94:AG94" si="221">AF21+AF56</f>
        <v>0</v>
      </c>
      <c r="AG94" s="28">
        <f t="shared" si="221"/>
        <v>0</v>
      </c>
      <c r="AH94" s="28">
        <f t="shared" ref="AH94:AI94" si="222">AH21+AH56</f>
        <v>0</v>
      </c>
      <c r="AI94" s="28">
        <f t="shared" si="222"/>
        <v>0</v>
      </c>
      <c r="AJ94" s="28">
        <f t="shared" ref="AJ94:AK94" si="223">AJ21+AJ56</f>
        <v>0</v>
      </c>
      <c r="AK94" s="28">
        <f t="shared" si="223"/>
        <v>0</v>
      </c>
      <c r="AL94" s="5"/>
    </row>
    <row r="95" spans="1:38" ht="13.5" customHeight="1" x14ac:dyDescent="0.2">
      <c r="A95" s="15"/>
      <c r="D95" s="26"/>
      <c r="E95" s="27" t="s">
        <v>30</v>
      </c>
      <c r="F95" s="29">
        <f t="shared" ref="F95:AA95" si="224">SUM(F93:F94)</f>
        <v>1505537</v>
      </c>
      <c r="G95" s="29">
        <f t="shared" si="224"/>
        <v>1798182</v>
      </c>
      <c r="H95" s="29">
        <f t="shared" si="224"/>
        <v>1766445</v>
      </c>
      <c r="I95" s="29">
        <f t="shared" si="224"/>
        <v>1801486</v>
      </c>
      <c r="J95" s="29">
        <f t="shared" si="224"/>
        <v>2012893</v>
      </c>
      <c r="K95" s="29">
        <f t="shared" si="224"/>
        <v>1962824</v>
      </c>
      <c r="L95" s="29">
        <f t="shared" si="224"/>
        <v>2053718</v>
      </c>
      <c r="M95" s="29">
        <f t="shared" si="224"/>
        <v>2450781</v>
      </c>
      <c r="N95" s="29">
        <f t="shared" si="224"/>
        <v>2592888</v>
      </c>
      <c r="O95" s="29">
        <f t="shared" si="224"/>
        <v>2504051</v>
      </c>
      <c r="P95" s="29">
        <f t="shared" si="224"/>
        <v>2427648</v>
      </c>
      <c r="Q95" s="29">
        <f t="shared" si="224"/>
        <v>2408453</v>
      </c>
      <c r="R95" s="29">
        <f t="shared" si="224"/>
        <v>2395166</v>
      </c>
      <c r="S95" s="29">
        <f t="shared" si="224"/>
        <v>2691745</v>
      </c>
      <c r="T95" s="29">
        <f t="shared" si="224"/>
        <v>2777056</v>
      </c>
      <c r="U95" s="29">
        <f t="shared" si="224"/>
        <v>3450249</v>
      </c>
      <c r="V95" s="29">
        <f t="shared" si="224"/>
        <v>3555922</v>
      </c>
      <c r="W95" s="29">
        <f t="shared" si="224"/>
        <v>3474590</v>
      </c>
      <c r="X95" s="29">
        <f t="shared" si="224"/>
        <v>2749888</v>
      </c>
      <c r="Y95" s="29">
        <f t="shared" si="224"/>
        <v>2787540</v>
      </c>
      <c r="Z95" s="29">
        <f t="shared" si="224"/>
        <v>3182605</v>
      </c>
      <c r="AA95" s="29">
        <f t="shared" si="224"/>
        <v>3775600</v>
      </c>
      <c r="AB95" s="29">
        <f t="shared" ref="AB95:AC95" si="225">SUM(AB93:AB94)</f>
        <v>5127498</v>
      </c>
      <c r="AC95" s="29">
        <f t="shared" si="225"/>
        <v>5965146</v>
      </c>
      <c r="AD95" s="29">
        <f t="shared" ref="AD95:AE95" si="226">SUM(AD93:AD94)</f>
        <v>6613759</v>
      </c>
      <c r="AE95" s="29">
        <f t="shared" si="226"/>
        <v>6543008</v>
      </c>
      <c r="AF95" s="29">
        <f t="shared" ref="AF95:AG95" si="227">SUM(AF93:AF94)</f>
        <v>6783258</v>
      </c>
      <c r="AG95" s="29">
        <f t="shared" si="227"/>
        <v>6312798</v>
      </c>
      <c r="AH95" s="29">
        <f t="shared" ref="AH95:AI95" si="228">SUM(AH93:AH94)</f>
        <v>5178746</v>
      </c>
      <c r="AI95" s="29">
        <f t="shared" si="228"/>
        <v>5962943</v>
      </c>
      <c r="AJ95" s="29">
        <f t="shared" ref="AJ95:AK95" si="229">SUM(AJ93:AJ94)</f>
        <v>6130996</v>
      </c>
      <c r="AK95" s="29">
        <f t="shared" si="229"/>
        <v>6213835</v>
      </c>
      <c r="AL95" s="5"/>
    </row>
    <row r="96" spans="1:38" ht="13.5" customHeight="1" x14ac:dyDescent="0.2">
      <c r="A96" s="15"/>
      <c r="C96" s="2" t="s">
        <v>32</v>
      </c>
      <c r="D96" s="2"/>
      <c r="AL96" s="17"/>
    </row>
    <row r="97" spans="1:38" ht="13.5" customHeight="1" x14ac:dyDescent="0.2">
      <c r="A97" s="15"/>
      <c r="D97" s="1" t="s">
        <v>27</v>
      </c>
      <c r="E97" s="21"/>
      <c r="F97" s="21">
        <f t="shared" ref="F97:AA99" si="230">F24+F59</f>
        <v>7378812</v>
      </c>
      <c r="G97" s="21">
        <f t="shared" si="230"/>
        <v>7370803</v>
      </c>
      <c r="H97" s="21">
        <f t="shared" si="230"/>
        <v>8073923</v>
      </c>
      <c r="I97" s="21">
        <f t="shared" si="230"/>
        <v>9772172</v>
      </c>
      <c r="J97" s="21">
        <f t="shared" si="230"/>
        <v>11714006</v>
      </c>
      <c r="K97" s="21">
        <f t="shared" si="230"/>
        <v>13110575</v>
      </c>
      <c r="L97" s="21">
        <f t="shared" si="230"/>
        <v>15539656</v>
      </c>
      <c r="M97" s="21">
        <f t="shared" si="230"/>
        <v>15813620</v>
      </c>
      <c r="N97" s="21">
        <f t="shared" si="230"/>
        <v>14165435</v>
      </c>
      <c r="O97" s="21">
        <f t="shared" si="230"/>
        <v>15236112</v>
      </c>
      <c r="P97" s="21">
        <f t="shared" si="230"/>
        <v>16887433</v>
      </c>
      <c r="Q97" s="21">
        <f t="shared" si="230"/>
        <v>17728942</v>
      </c>
      <c r="R97" s="21">
        <f t="shared" si="230"/>
        <v>16338336</v>
      </c>
      <c r="S97" s="21">
        <f t="shared" si="230"/>
        <v>17741832</v>
      </c>
      <c r="T97" s="21">
        <f t="shared" si="230"/>
        <v>20560970</v>
      </c>
      <c r="U97" s="21">
        <f t="shared" si="230"/>
        <v>20620802</v>
      </c>
      <c r="V97" s="21">
        <f t="shared" si="230"/>
        <v>22850944</v>
      </c>
      <c r="W97" s="21">
        <f t="shared" si="230"/>
        <v>24627474</v>
      </c>
      <c r="X97" s="21">
        <f t="shared" si="230"/>
        <v>27059260</v>
      </c>
      <c r="Y97" s="21">
        <f t="shared" si="230"/>
        <v>28345521</v>
      </c>
      <c r="Z97" s="21">
        <f t="shared" si="230"/>
        <v>30555062</v>
      </c>
      <c r="AA97" s="21">
        <f t="shared" si="230"/>
        <v>32071496</v>
      </c>
      <c r="AB97" s="21">
        <f t="shared" ref="AB97:AC97" si="231">AB24+AB59</f>
        <v>34447569</v>
      </c>
      <c r="AC97" s="21">
        <f t="shared" si="231"/>
        <v>37216578</v>
      </c>
      <c r="AD97" s="21">
        <f t="shared" ref="AD97:AE97" si="232">AD24+AD59</f>
        <v>40603571</v>
      </c>
      <c r="AE97" s="21">
        <f t="shared" si="232"/>
        <v>42534878</v>
      </c>
      <c r="AF97" s="21">
        <f t="shared" ref="AF97:AG97" si="233">AF24+AF59</f>
        <v>42817193</v>
      </c>
      <c r="AG97" s="21">
        <f t="shared" si="233"/>
        <v>45481024</v>
      </c>
      <c r="AH97" s="21">
        <f t="shared" ref="AH97:AI97" si="234">AH24+AH59</f>
        <v>44664571</v>
      </c>
      <c r="AI97" s="21">
        <f t="shared" si="234"/>
        <v>46020069</v>
      </c>
      <c r="AJ97" s="21">
        <f t="shared" ref="AJ97:AK97" si="235">AJ24+AJ59</f>
        <v>49631231</v>
      </c>
      <c r="AK97" s="21">
        <f t="shared" si="235"/>
        <v>55087668</v>
      </c>
      <c r="AL97" s="17"/>
    </row>
    <row r="98" spans="1:38" ht="13.5" customHeight="1" x14ac:dyDescent="0.2">
      <c r="A98" s="15"/>
      <c r="D98" s="1" t="s">
        <v>28</v>
      </c>
      <c r="E98" s="23"/>
      <c r="F98" s="23">
        <f t="shared" si="230"/>
        <v>392779</v>
      </c>
      <c r="G98" s="23">
        <f t="shared" si="230"/>
        <v>283954</v>
      </c>
      <c r="H98" s="23">
        <f t="shared" si="230"/>
        <v>266500</v>
      </c>
      <c r="I98" s="23">
        <f t="shared" si="230"/>
        <v>503423</v>
      </c>
      <c r="J98" s="23">
        <f t="shared" si="230"/>
        <v>979158</v>
      </c>
      <c r="K98" s="23">
        <f t="shared" si="230"/>
        <v>1132103</v>
      </c>
      <c r="L98" s="23">
        <f t="shared" si="230"/>
        <v>1604351</v>
      </c>
      <c r="M98" s="23">
        <f t="shared" si="230"/>
        <v>1255657</v>
      </c>
      <c r="N98" s="23">
        <f t="shared" si="230"/>
        <v>1255528</v>
      </c>
      <c r="O98" s="23">
        <f t="shared" si="230"/>
        <v>1092936</v>
      </c>
      <c r="P98" s="23">
        <f t="shared" si="230"/>
        <v>264420</v>
      </c>
      <c r="Q98" s="23">
        <f t="shared" si="230"/>
        <v>1021605</v>
      </c>
      <c r="R98" s="23">
        <f t="shared" si="230"/>
        <v>881026</v>
      </c>
      <c r="S98" s="23">
        <f t="shared" si="230"/>
        <v>944935</v>
      </c>
      <c r="T98" s="23">
        <f t="shared" si="230"/>
        <v>740373</v>
      </c>
      <c r="U98" s="23">
        <f t="shared" si="230"/>
        <v>829949</v>
      </c>
      <c r="V98" s="23">
        <f t="shared" si="230"/>
        <v>871813</v>
      </c>
      <c r="W98" s="23">
        <f t="shared" si="230"/>
        <v>759539</v>
      </c>
      <c r="X98" s="23">
        <f t="shared" si="230"/>
        <v>1000230</v>
      </c>
      <c r="Y98" s="23">
        <f t="shared" si="230"/>
        <v>1518724</v>
      </c>
      <c r="Z98" s="23">
        <f t="shared" si="230"/>
        <v>999586</v>
      </c>
      <c r="AA98" s="23">
        <f t="shared" si="230"/>
        <v>614332</v>
      </c>
      <c r="AB98" s="23">
        <f t="shared" ref="AB98:AC98" si="236">AB25+AB60</f>
        <v>590027</v>
      </c>
      <c r="AC98" s="23">
        <f t="shared" si="236"/>
        <v>373693</v>
      </c>
      <c r="AD98" s="23">
        <f t="shared" ref="AD98:AE98" si="237">AD25+AD60</f>
        <v>466020</v>
      </c>
      <c r="AE98" s="23">
        <f t="shared" si="237"/>
        <v>535337</v>
      </c>
      <c r="AF98" s="23">
        <f t="shared" ref="AF98:AG98" si="238">AF25+AF60</f>
        <v>549484</v>
      </c>
      <c r="AG98" s="23">
        <f t="shared" si="238"/>
        <v>516094</v>
      </c>
      <c r="AH98" s="23">
        <f t="shared" ref="AH98:AI98" si="239">AH25+AH60</f>
        <v>368212</v>
      </c>
      <c r="AI98" s="23">
        <f t="shared" si="239"/>
        <v>286983</v>
      </c>
      <c r="AJ98" s="23">
        <f t="shared" ref="AJ98:AK98" si="240">AJ25+AJ60</f>
        <v>398671</v>
      </c>
      <c r="AK98" s="23">
        <f t="shared" si="240"/>
        <v>413898</v>
      </c>
      <c r="AL98" s="17"/>
    </row>
    <row r="99" spans="1:38" ht="13.5" customHeight="1" x14ac:dyDescent="0.2">
      <c r="A99" s="15"/>
      <c r="D99" s="1" t="s">
        <v>29</v>
      </c>
      <c r="E99" s="23"/>
      <c r="F99" s="24">
        <f t="shared" si="230"/>
        <v>5328471</v>
      </c>
      <c r="G99" s="24">
        <f t="shared" si="230"/>
        <v>5931233</v>
      </c>
      <c r="H99" s="24">
        <f t="shared" si="230"/>
        <v>6017056</v>
      </c>
      <c r="I99" s="24">
        <f t="shared" si="230"/>
        <v>5887598</v>
      </c>
      <c r="J99" s="24">
        <f t="shared" si="230"/>
        <v>6060855</v>
      </c>
      <c r="K99" s="24">
        <f t="shared" si="230"/>
        <v>6124418</v>
      </c>
      <c r="L99" s="24">
        <f t="shared" si="230"/>
        <v>7249293</v>
      </c>
      <c r="M99" s="24">
        <f t="shared" si="230"/>
        <v>7836109</v>
      </c>
      <c r="N99" s="24">
        <f t="shared" si="230"/>
        <v>8143775</v>
      </c>
      <c r="O99" s="24">
        <f t="shared" si="230"/>
        <v>7734284</v>
      </c>
      <c r="P99" s="24">
        <f t="shared" si="230"/>
        <v>6344599</v>
      </c>
      <c r="Q99" s="24">
        <f t="shared" si="230"/>
        <v>8136775</v>
      </c>
      <c r="R99" s="24">
        <f t="shared" si="230"/>
        <v>10691177</v>
      </c>
      <c r="S99" s="24">
        <f t="shared" si="230"/>
        <v>11314019</v>
      </c>
      <c r="T99" s="24">
        <f t="shared" si="230"/>
        <v>10409756</v>
      </c>
      <c r="U99" s="24">
        <f t="shared" si="230"/>
        <v>10470332</v>
      </c>
      <c r="V99" s="24">
        <f t="shared" si="230"/>
        <v>11389114</v>
      </c>
      <c r="W99" s="24">
        <f t="shared" si="230"/>
        <v>13091210</v>
      </c>
      <c r="X99" s="24">
        <f t="shared" si="230"/>
        <v>13218579</v>
      </c>
      <c r="Y99" s="24">
        <f t="shared" si="230"/>
        <v>12708290</v>
      </c>
      <c r="Z99" s="24">
        <f t="shared" si="230"/>
        <v>12545123</v>
      </c>
      <c r="AA99" s="24">
        <f t="shared" si="230"/>
        <v>13149790</v>
      </c>
      <c r="AB99" s="24">
        <f t="shared" ref="AB99:AC99" si="241">AB26+AB61</f>
        <v>13199177</v>
      </c>
      <c r="AC99" s="24">
        <f t="shared" si="241"/>
        <v>13775902</v>
      </c>
      <c r="AD99" s="24">
        <f t="shared" ref="AD99:AE99" si="242">AD26+AD61</f>
        <v>14506209</v>
      </c>
      <c r="AE99" s="24">
        <f t="shared" si="242"/>
        <v>15199424</v>
      </c>
      <c r="AF99" s="24">
        <f t="shared" ref="AF99:AG99" si="243">AF26+AF61</f>
        <v>14652197</v>
      </c>
      <c r="AG99" s="24">
        <f t="shared" si="243"/>
        <v>14244457</v>
      </c>
      <c r="AH99" s="24">
        <f t="shared" ref="AH99:AI99" si="244">AH26+AH61</f>
        <v>13188222</v>
      </c>
      <c r="AI99" s="24">
        <f t="shared" si="244"/>
        <v>13235200</v>
      </c>
      <c r="AJ99" s="24">
        <f t="shared" ref="AJ99:AK99" si="245">AJ26+AJ61</f>
        <v>13911845</v>
      </c>
      <c r="AK99" s="24">
        <f t="shared" si="245"/>
        <v>15461887</v>
      </c>
      <c r="AL99" s="17"/>
    </row>
    <row r="100" spans="1:38" ht="13.5" customHeight="1" x14ac:dyDescent="0.2">
      <c r="A100" s="3"/>
      <c r="E100" s="21"/>
      <c r="F100" s="21">
        <f t="shared" ref="F100:AA100" si="246">SUM(F97:F99)</f>
        <v>13100062</v>
      </c>
      <c r="G100" s="21">
        <f t="shared" si="246"/>
        <v>13585990</v>
      </c>
      <c r="H100" s="21">
        <f t="shared" si="246"/>
        <v>14357479</v>
      </c>
      <c r="I100" s="21">
        <f t="shared" si="246"/>
        <v>16163193</v>
      </c>
      <c r="J100" s="21">
        <f t="shared" si="246"/>
        <v>18754019</v>
      </c>
      <c r="K100" s="21">
        <f t="shared" si="246"/>
        <v>20367096</v>
      </c>
      <c r="L100" s="21">
        <f t="shared" si="246"/>
        <v>24393300</v>
      </c>
      <c r="M100" s="21">
        <f t="shared" si="246"/>
        <v>24905386</v>
      </c>
      <c r="N100" s="21">
        <f t="shared" si="246"/>
        <v>23564738</v>
      </c>
      <c r="O100" s="21">
        <f t="shared" si="246"/>
        <v>24063332</v>
      </c>
      <c r="P100" s="21">
        <f t="shared" si="246"/>
        <v>23496452</v>
      </c>
      <c r="Q100" s="21">
        <f t="shared" si="246"/>
        <v>26887322</v>
      </c>
      <c r="R100" s="21">
        <f t="shared" si="246"/>
        <v>27910539</v>
      </c>
      <c r="S100" s="21">
        <f t="shared" si="246"/>
        <v>30000786</v>
      </c>
      <c r="T100" s="21">
        <f t="shared" si="246"/>
        <v>31711099</v>
      </c>
      <c r="U100" s="21">
        <f t="shared" si="246"/>
        <v>31921083</v>
      </c>
      <c r="V100" s="21">
        <f t="shared" si="246"/>
        <v>35111871</v>
      </c>
      <c r="W100" s="21">
        <f t="shared" si="246"/>
        <v>38478223</v>
      </c>
      <c r="X100" s="21">
        <f t="shared" si="246"/>
        <v>41278069</v>
      </c>
      <c r="Y100" s="21">
        <f t="shared" si="246"/>
        <v>42572535</v>
      </c>
      <c r="Z100" s="21">
        <f t="shared" si="246"/>
        <v>44099771</v>
      </c>
      <c r="AA100" s="21">
        <f t="shared" si="246"/>
        <v>45835618</v>
      </c>
      <c r="AB100" s="21">
        <f t="shared" ref="AB100:AC100" si="247">SUM(AB97:AB99)</f>
        <v>48236773</v>
      </c>
      <c r="AC100" s="21">
        <f t="shared" si="247"/>
        <v>51366173</v>
      </c>
      <c r="AD100" s="21">
        <f t="shared" ref="AD100:AE100" si="248">SUM(AD97:AD99)</f>
        <v>55575800</v>
      </c>
      <c r="AE100" s="21">
        <f t="shared" si="248"/>
        <v>58269639</v>
      </c>
      <c r="AF100" s="21">
        <f t="shared" ref="AF100:AG100" si="249">SUM(AF97:AF99)</f>
        <v>58018874</v>
      </c>
      <c r="AG100" s="21">
        <f t="shared" si="249"/>
        <v>60241575</v>
      </c>
      <c r="AH100" s="21">
        <f t="shared" ref="AH100:AI100" si="250">SUM(AH97:AH99)</f>
        <v>58221005</v>
      </c>
      <c r="AI100" s="21">
        <f t="shared" si="250"/>
        <v>59542252</v>
      </c>
      <c r="AJ100" s="21">
        <f t="shared" ref="AJ100:AK100" si="251">SUM(AJ97:AJ99)</f>
        <v>63941747</v>
      </c>
      <c r="AK100" s="21">
        <f t="shared" si="251"/>
        <v>70963453</v>
      </c>
      <c r="AL100" s="5"/>
    </row>
    <row r="101" spans="1:38" ht="13.5" hidden="1" customHeight="1" x14ac:dyDescent="0.2">
      <c r="A101" s="15"/>
      <c r="D101" s="26"/>
      <c r="E101" s="27"/>
      <c r="F101" s="28">
        <f t="shared" ref="F101:AA101" si="252">F28+F63</f>
        <v>125050</v>
      </c>
      <c r="G101" s="28">
        <f t="shared" si="252"/>
        <v>122199</v>
      </c>
      <c r="H101" s="28">
        <f t="shared" si="252"/>
        <v>142732</v>
      </c>
      <c r="I101" s="28">
        <f t="shared" si="252"/>
        <v>136167</v>
      </c>
      <c r="J101" s="28">
        <f t="shared" si="252"/>
        <v>127830</v>
      </c>
      <c r="K101" s="28">
        <f t="shared" si="252"/>
        <v>171264</v>
      </c>
      <c r="L101" s="28">
        <f t="shared" si="252"/>
        <v>167862</v>
      </c>
      <c r="M101" s="28">
        <f t="shared" si="252"/>
        <v>171585</v>
      </c>
      <c r="N101" s="28">
        <f t="shared" si="252"/>
        <v>134213</v>
      </c>
      <c r="O101" s="28">
        <f t="shared" si="252"/>
        <v>134521</v>
      </c>
      <c r="P101" s="28">
        <f t="shared" si="252"/>
        <v>143982</v>
      </c>
      <c r="Q101" s="28">
        <f t="shared" si="252"/>
        <v>263060</v>
      </c>
      <c r="R101" s="28">
        <f t="shared" si="252"/>
        <v>0</v>
      </c>
      <c r="S101" s="28">
        <f t="shared" si="252"/>
        <v>0</v>
      </c>
      <c r="T101" s="28">
        <f t="shared" si="252"/>
        <v>0</v>
      </c>
      <c r="U101" s="28">
        <f t="shared" si="252"/>
        <v>0</v>
      </c>
      <c r="V101" s="28">
        <f t="shared" si="252"/>
        <v>140525</v>
      </c>
      <c r="W101" s="28">
        <f t="shared" si="252"/>
        <v>0</v>
      </c>
      <c r="X101" s="28">
        <f t="shared" si="252"/>
        <v>0</v>
      </c>
      <c r="Y101" s="28">
        <f t="shared" si="252"/>
        <v>0</v>
      </c>
      <c r="Z101" s="28">
        <f t="shared" si="252"/>
        <v>0</v>
      </c>
      <c r="AA101" s="28">
        <f t="shared" si="252"/>
        <v>0</v>
      </c>
      <c r="AB101" s="28">
        <f t="shared" ref="AB101:AC101" si="253">AB28+AB63</f>
        <v>0</v>
      </c>
      <c r="AC101" s="28">
        <f t="shared" si="253"/>
        <v>0</v>
      </c>
      <c r="AD101" s="28">
        <f t="shared" ref="AD101:AE101" si="254">AD28+AD63</f>
        <v>0</v>
      </c>
      <c r="AE101" s="28">
        <f t="shared" si="254"/>
        <v>0</v>
      </c>
      <c r="AF101" s="28">
        <f t="shared" ref="AF101:AG101" si="255">AF28+AF63</f>
        <v>0</v>
      </c>
      <c r="AG101" s="28">
        <f t="shared" si="255"/>
        <v>0</v>
      </c>
      <c r="AH101" s="28">
        <f t="shared" ref="AH101:AI101" si="256">AH28+AH63</f>
        <v>0</v>
      </c>
      <c r="AI101" s="28">
        <f t="shared" si="256"/>
        <v>0</v>
      </c>
      <c r="AJ101" s="28">
        <f t="shared" ref="AJ101:AK101" si="257">AJ28+AJ63</f>
        <v>0</v>
      </c>
      <c r="AK101" s="28">
        <f t="shared" si="257"/>
        <v>0</v>
      </c>
      <c r="AL101" s="5"/>
    </row>
    <row r="102" spans="1:38" ht="13.5" customHeight="1" x14ac:dyDescent="0.2">
      <c r="A102" s="15"/>
      <c r="D102" s="26"/>
      <c r="E102" s="27" t="s">
        <v>33</v>
      </c>
      <c r="F102" s="29">
        <f t="shared" ref="F102:AA102" si="258">SUM(F100:F101)</f>
        <v>13225112</v>
      </c>
      <c r="G102" s="29">
        <f t="shared" si="258"/>
        <v>13708189</v>
      </c>
      <c r="H102" s="29">
        <f t="shared" si="258"/>
        <v>14500211</v>
      </c>
      <c r="I102" s="29">
        <f t="shared" si="258"/>
        <v>16299360</v>
      </c>
      <c r="J102" s="29">
        <f t="shared" si="258"/>
        <v>18881849</v>
      </c>
      <c r="K102" s="29">
        <f t="shared" si="258"/>
        <v>20538360</v>
      </c>
      <c r="L102" s="29">
        <f t="shared" si="258"/>
        <v>24561162</v>
      </c>
      <c r="M102" s="29">
        <f t="shared" si="258"/>
        <v>25076971</v>
      </c>
      <c r="N102" s="29">
        <f t="shared" si="258"/>
        <v>23698951</v>
      </c>
      <c r="O102" s="29">
        <f t="shared" si="258"/>
        <v>24197853</v>
      </c>
      <c r="P102" s="29">
        <f t="shared" si="258"/>
        <v>23640434</v>
      </c>
      <c r="Q102" s="29">
        <f t="shared" si="258"/>
        <v>27150382</v>
      </c>
      <c r="R102" s="29">
        <f t="shared" si="258"/>
        <v>27910539</v>
      </c>
      <c r="S102" s="29">
        <f t="shared" si="258"/>
        <v>30000786</v>
      </c>
      <c r="T102" s="29">
        <f t="shared" si="258"/>
        <v>31711099</v>
      </c>
      <c r="U102" s="29">
        <f t="shared" si="258"/>
        <v>31921083</v>
      </c>
      <c r="V102" s="29">
        <f t="shared" si="258"/>
        <v>35252396</v>
      </c>
      <c r="W102" s="29">
        <f t="shared" si="258"/>
        <v>38478223</v>
      </c>
      <c r="X102" s="29">
        <f t="shared" si="258"/>
        <v>41278069</v>
      </c>
      <c r="Y102" s="29">
        <f t="shared" si="258"/>
        <v>42572535</v>
      </c>
      <c r="Z102" s="29">
        <f t="shared" si="258"/>
        <v>44099771</v>
      </c>
      <c r="AA102" s="29">
        <f t="shared" si="258"/>
        <v>45835618</v>
      </c>
      <c r="AB102" s="29">
        <f t="shared" ref="AB102:AC102" si="259">SUM(AB100:AB101)</f>
        <v>48236773</v>
      </c>
      <c r="AC102" s="29">
        <f t="shared" si="259"/>
        <v>51366173</v>
      </c>
      <c r="AD102" s="29">
        <f t="shared" ref="AD102:AE102" si="260">SUM(AD100:AD101)</f>
        <v>55575800</v>
      </c>
      <c r="AE102" s="29">
        <f t="shared" si="260"/>
        <v>58269639</v>
      </c>
      <c r="AF102" s="29">
        <f t="shared" ref="AF102:AG102" si="261">SUM(AF100:AF101)</f>
        <v>58018874</v>
      </c>
      <c r="AG102" s="29">
        <f t="shared" si="261"/>
        <v>60241575</v>
      </c>
      <c r="AH102" s="29">
        <f t="shared" ref="AH102:AI102" si="262">SUM(AH100:AH101)</f>
        <v>58221005</v>
      </c>
      <c r="AI102" s="29">
        <f t="shared" si="262"/>
        <v>59542252</v>
      </c>
      <c r="AJ102" s="29">
        <f t="shared" ref="AJ102:AK102" si="263">SUM(AJ100:AJ101)</f>
        <v>63941747</v>
      </c>
      <c r="AK102" s="29">
        <f t="shared" si="263"/>
        <v>70963453</v>
      </c>
      <c r="AL102" s="5"/>
    </row>
    <row r="103" spans="1:38" ht="13.5" customHeight="1" x14ac:dyDescent="0.2">
      <c r="A103" s="15"/>
      <c r="C103" s="2" t="s">
        <v>34</v>
      </c>
      <c r="D103" s="2"/>
      <c r="AL103" s="17"/>
    </row>
    <row r="104" spans="1:38" ht="13.5" customHeight="1" x14ac:dyDescent="0.2">
      <c r="A104" s="15"/>
      <c r="D104" s="1" t="s">
        <v>27</v>
      </c>
      <c r="E104" s="21"/>
      <c r="F104" s="21">
        <f t="shared" ref="F104:AA105" si="264">F31+F66</f>
        <v>1423441</v>
      </c>
      <c r="G104" s="21">
        <f t="shared" si="264"/>
        <v>1783059</v>
      </c>
      <c r="H104" s="21">
        <f t="shared" si="264"/>
        <v>1727579</v>
      </c>
      <c r="I104" s="21">
        <f t="shared" si="264"/>
        <v>1808875</v>
      </c>
      <c r="J104" s="21">
        <f t="shared" si="264"/>
        <v>2559801</v>
      </c>
      <c r="K104" s="21">
        <f t="shared" si="264"/>
        <v>2259627</v>
      </c>
      <c r="L104" s="21">
        <f t="shared" si="264"/>
        <v>2914137</v>
      </c>
      <c r="M104" s="21">
        <f t="shared" si="264"/>
        <v>2277729</v>
      </c>
      <c r="N104" s="21">
        <f t="shared" si="264"/>
        <v>2746413</v>
      </c>
      <c r="O104" s="21">
        <f t="shared" si="264"/>
        <v>3508567</v>
      </c>
      <c r="P104" s="21">
        <f t="shared" si="264"/>
        <v>4374834</v>
      </c>
      <c r="Q104" s="21">
        <f t="shared" si="264"/>
        <v>3744832</v>
      </c>
      <c r="R104" s="21">
        <f t="shared" si="264"/>
        <v>4244806</v>
      </c>
      <c r="S104" s="21">
        <f t="shared" si="264"/>
        <v>4228774</v>
      </c>
      <c r="T104" s="21">
        <f t="shared" si="264"/>
        <v>3860569</v>
      </c>
      <c r="U104" s="21">
        <f t="shared" si="264"/>
        <v>4540259</v>
      </c>
      <c r="V104" s="21">
        <f t="shared" si="264"/>
        <v>8390774</v>
      </c>
      <c r="W104" s="21">
        <f t="shared" si="264"/>
        <v>8213696</v>
      </c>
      <c r="X104" s="21">
        <f t="shared" si="264"/>
        <v>6667256</v>
      </c>
      <c r="Y104" s="21">
        <f t="shared" si="264"/>
        <v>8568464</v>
      </c>
      <c r="Z104" s="21">
        <f t="shared" si="264"/>
        <v>7896296</v>
      </c>
      <c r="AA104" s="21">
        <f t="shared" si="264"/>
        <v>8661348</v>
      </c>
      <c r="AB104" s="21">
        <f t="shared" ref="AB104:AC104" si="265">AB31+AB66</f>
        <v>8870395</v>
      </c>
      <c r="AC104" s="21">
        <f t="shared" si="265"/>
        <v>8274142</v>
      </c>
      <c r="AD104" s="21">
        <f t="shared" ref="AD104:AE104" si="266">AD31+AD66</f>
        <v>15043259</v>
      </c>
      <c r="AE104" s="21">
        <f t="shared" si="266"/>
        <v>13871386</v>
      </c>
      <c r="AF104" s="21">
        <f t="shared" ref="AF104:AG104" si="267">AF31+AF66</f>
        <v>12623791</v>
      </c>
      <c r="AG104" s="21">
        <f t="shared" si="267"/>
        <v>12066855</v>
      </c>
      <c r="AH104" s="21">
        <f t="shared" ref="AH104:AI104" si="268">AH31+AH66</f>
        <v>9883348</v>
      </c>
      <c r="AI104" s="21">
        <f t="shared" si="268"/>
        <v>8941740.7799999993</v>
      </c>
      <c r="AJ104" s="21">
        <f t="shared" ref="AJ104:AK104" si="269">AJ31+AJ66</f>
        <v>7096430.6799999997</v>
      </c>
      <c r="AK104" s="21">
        <f t="shared" si="269"/>
        <v>7716829</v>
      </c>
      <c r="AL104" s="17"/>
    </row>
    <row r="105" spans="1:38" ht="13.5" customHeight="1" x14ac:dyDescent="0.2">
      <c r="A105" s="15"/>
      <c r="D105" s="1" t="s">
        <v>28</v>
      </c>
      <c r="E105" s="23"/>
      <c r="F105" s="31" t="s">
        <v>35</v>
      </c>
      <c r="G105" s="31" t="s">
        <v>35</v>
      </c>
      <c r="H105" s="31" t="s">
        <v>35</v>
      </c>
      <c r="I105" s="31" t="s">
        <v>35</v>
      </c>
      <c r="J105" s="31" t="s">
        <v>35</v>
      </c>
      <c r="K105" s="31" t="s">
        <v>35</v>
      </c>
      <c r="L105" s="31" t="s">
        <v>35</v>
      </c>
      <c r="M105" s="31" t="s">
        <v>35</v>
      </c>
      <c r="N105" s="31" t="s">
        <v>35</v>
      </c>
      <c r="O105" s="31" t="s">
        <v>35</v>
      </c>
      <c r="P105" s="31" t="s">
        <v>35</v>
      </c>
      <c r="Q105" s="24">
        <f t="shared" si="264"/>
        <v>1958697</v>
      </c>
      <c r="R105" s="24">
        <f t="shared" si="264"/>
        <v>2824090</v>
      </c>
      <c r="S105" s="24">
        <f t="shared" si="264"/>
        <v>3533422</v>
      </c>
      <c r="T105" s="24">
        <f t="shared" si="264"/>
        <v>4400264</v>
      </c>
      <c r="U105" s="24">
        <f t="shared" si="264"/>
        <v>4591864</v>
      </c>
      <c r="V105" s="24">
        <f t="shared" si="264"/>
        <v>4096271</v>
      </c>
      <c r="W105" s="24">
        <f t="shared" si="264"/>
        <v>3672830</v>
      </c>
      <c r="X105" s="24">
        <f t="shared" si="264"/>
        <v>2480698</v>
      </c>
      <c r="Y105" s="24">
        <f t="shared" si="264"/>
        <v>2834676</v>
      </c>
      <c r="Z105" s="24">
        <f t="shared" si="264"/>
        <v>3080820</v>
      </c>
      <c r="AA105" s="24">
        <f t="shared" si="264"/>
        <v>3815031</v>
      </c>
      <c r="AB105" s="24">
        <f t="shared" ref="AB105:AC105" si="270">AB32+AB67</f>
        <v>4393110</v>
      </c>
      <c r="AC105" s="24">
        <f t="shared" si="270"/>
        <v>4700252</v>
      </c>
      <c r="AD105" s="24">
        <f t="shared" ref="AD105:AE105" si="271">AD32+AD67</f>
        <v>5745008</v>
      </c>
      <c r="AE105" s="24">
        <f t="shared" si="271"/>
        <v>6332989</v>
      </c>
      <c r="AF105" s="24">
        <f t="shared" ref="AF105:AG105" si="272">AF32+AF67</f>
        <v>7256093</v>
      </c>
      <c r="AG105" s="24">
        <f t="shared" si="272"/>
        <v>7675536</v>
      </c>
      <c r="AH105" s="24">
        <f t="shared" ref="AH105:AI105" si="273">AH32+AH67</f>
        <v>7233826</v>
      </c>
      <c r="AI105" s="24">
        <f t="shared" si="273"/>
        <v>7325736</v>
      </c>
      <c r="AJ105" s="24">
        <f t="shared" ref="AJ105:AK105" si="274">AJ32+AJ67</f>
        <v>9266089.75</v>
      </c>
      <c r="AK105" s="24">
        <f t="shared" si="274"/>
        <v>11042535</v>
      </c>
      <c r="AL105" s="17"/>
    </row>
    <row r="106" spans="1:38" ht="13.5" customHeight="1" x14ac:dyDescent="0.2">
      <c r="A106" s="15"/>
      <c r="F106" s="21">
        <f t="shared" ref="F106:AA106" si="275">SUM(F104:F105)</f>
        <v>1423441</v>
      </c>
      <c r="G106" s="21">
        <f t="shared" si="275"/>
        <v>1783059</v>
      </c>
      <c r="H106" s="21">
        <f t="shared" si="275"/>
        <v>1727579</v>
      </c>
      <c r="I106" s="21">
        <f t="shared" si="275"/>
        <v>1808875</v>
      </c>
      <c r="J106" s="21">
        <f t="shared" si="275"/>
        <v>2559801</v>
      </c>
      <c r="K106" s="21">
        <f t="shared" si="275"/>
        <v>2259627</v>
      </c>
      <c r="L106" s="21">
        <f t="shared" si="275"/>
        <v>2914137</v>
      </c>
      <c r="M106" s="21">
        <f t="shared" ref="M106:O106" si="276">M104</f>
        <v>2277729</v>
      </c>
      <c r="N106" s="21">
        <f t="shared" si="276"/>
        <v>2746413</v>
      </c>
      <c r="O106" s="21">
        <f t="shared" si="276"/>
        <v>3508567</v>
      </c>
      <c r="P106" s="21">
        <f>P104</f>
        <v>4374834</v>
      </c>
      <c r="Q106" s="21">
        <f t="shared" si="275"/>
        <v>5703529</v>
      </c>
      <c r="R106" s="21">
        <f t="shared" si="275"/>
        <v>7068896</v>
      </c>
      <c r="S106" s="21">
        <f t="shared" si="275"/>
        <v>7762196</v>
      </c>
      <c r="T106" s="21">
        <f t="shared" si="275"/>
        <v>8260833</v>
      </c>
      <c r="U106" s="21">
        <f t="shared" si="275"/>
        <v>9132123</v>
      </c>
      <c r="V106" s="21">
        <f t="shared" si="275"/>
        <v>12487045</v>
      </c>
      <c r="W106" s="21">
        <f t="shared" si="275"/>
        <v>11886526</v>
      </c>
      <c r="X106" s="21">
        <f t="shared" si="275"/>
        <v>9147954</v>
      </c>
      <c r="Y106" s="21">
        <f t="shared" si="275"/>
        <v>11403140</v>
      </c>
      <c r="Z106" s="21">
        <f t="shared" si="275"/>
        <v>10977116</v>
      </c>
      <c r="AA106" s="21">
        <f t="shared" si="275"/>
        <v>12476379</v>
      </c>
      <c r="AB106" s="21">
        <f t="shared" ref="AB106:AC106" si="277">SUM(AB104:AB105)</f>
        <v>13263505</v>
      </c>
      <c r="AC106" s="21">
        <f t="shared" si="277"/>
        <v>12974394</v>
      </c>
      <c r="AD106" s="21">
        <f t="shared" ref="AD106:AE106" si="278">SUM(AD104:AD105)</f>
        <v>20788267</v>
      </c>
      <c r="AE106" s="21">
        <f t="shared" si="278"/>
        <v>20204375</v>
      </c>
      <c r="AF106" s="21">
        <f t="shared" ref="AF106:AG106" si="279">SUM(AF104:AF105)</f>
        <v>19879884</v>
      </c>
      <c r="AG106" s="21">
        <f t="shared" si="279"/>
        <v>19742391</v>
      </c>
      <c r="AH106" s="21">
        <f t="shared" ref="AH106:AI106" si="280">SUM(AH104:AH105)</f>
        <v>17117174</v>
      </c>
      <c r="AI106" s="21">
        <f t="shared" si="280"/>
        <v>16267476.779999999</v>
      </c>
      <c r="AJ106" s="21">
        <f t="shared" ref="AJ106:AK106" si="281">SUM(AJ104:AJ105)</f>
        <v>16362520.43</v>
      </c>
      <c r="AK106" s="21">
        <f t="shared" si="281"/>
        <v>18759364</v>
      </c>
      <c r="AL106" s="17"/>
    </row>
    <row r="107" spans="1:38" ht="13.5" customHeight="1" x14ac:dyDescent="0.2">
      <c r="A107" s="15"/>
      <c r="C107" s="2" t="s">
        <v>36</v>
      </c>
      <c r="D107" s="2"/>
      <c r="AL107" s="17"/>
    </row>
    <row r="108" spans="1:38" ht="13.5" customHeight="1" x14ac:dyDescent="0.2">
      <c r="A108" s="15"/>
      <c r="D108" s="1" t="s">
        <v>27</v>
      </c>
      <c r="E108" s="21"/>
      <c r="F108" s="21">
        <f t="shared" ref="F108:AA109" si="282">F84+F91+F97+F104</f>
        <v>12801904</v>
      </c>
      <c r="G108" s="21">
        <f t="shared" si="282"/>
        <v>12760413</v>
      </c>
      <c r="H108" s="21">
        <f t="shared" si="282"/>
        <v>13403557</v>
      </c>
      <c r="I108" s="21">
        <f t="shared" si="282"/>
        <v>15149468</v>
      </c>
      <c r="J108" s="21">
        <f t="shared" si="282"/>
        <v>18109389</v>
      </c>
      <c r="K108" s="21">
        <f t="shared" si="282"/>
        <v>19154686</v>
      </c>
      <c r="L108" s="21">
        <f t="shared" si="282"/>
        <v>22504829</v>
      </c>
      <c r="M108" s="21">
        <f t="shared" si="282"/>
        <v>21951460</v>
      </c>
      <c r="N108" s="21">
        <f t="shared" si="282"/>
        <v>21104307</v>
      </c>
      <c r="O108" s="21">
        <f t="shared" si="282"/>
        <v>23321518</v>
      </c>
      <c r="P108" s="21">
        <f t="shared" si="282"/>
        <v>26247284</v>
      </c>
      <c r="Q108" s="21">
        <f t="shared" si="282"/>
        <v>26631916</v>
      </c>
      <c r="R108" s="21">
        <f t="shared" si="282"/>
        <v>25874521</v>
      </c>
      <c r="S108" s="21">
        <f t="shared" si="282"/>
        <v>27540905</v>
      </c>
      <c r="T108" s="21">
        <f t="shared" si="282"/>
        <v>30778301</v>
      </c>
      <c r="U108" s="21">
        <f t="shared" si="282"/>
        <v>32807248</v>
      </c>
      <c r="V108" s="21">
        <f t="shared" si="282"/>
        <v>40001269</v>
      </c>
      <c r="W108" s="21">
        <f t="shared" si="282"/>
        <v>43085331</v>
      </c>
      <c r="X108" s="21">
        <f t="shared" si="282"/>
        <v>44520807</v>
      </c>
      <c r="Y108" s="21">
        <f t="shared" si="282"/>
        <v>46183412</v>
      </c>
      <c r="Z108" s="21">
        <f t="shared" si="282"/>
        <v>47950625</v>
      </c>
      <c r="AA108" s="21">
        <f t="shared" si="282"/>
        <v>51066556</v>
      </c>
      <c r="AB108" s="21">
        <f t="shared" ref="AB108:AC108" si="283">AB84+AB91+AB97+AB104</f>
        <v>55242456</v>
      </c>
      <c r="AC108" s="21">
        <f t="shared" si="283"/>
        <v>58607094</v>
      </c>
      <c r="AD108" s="21">
        <f t="shared" ref="AD108:AE108" si="284">AD84+AD91+AD97+AD104</f>
        <v>69411964</v>
      </c>
      <c r="AE108" s="21">
        <f t="shared" si="284"/>
        <v>70770344</v>
      </c>
      <c r="AF108" s="21">
        <f t="shared" ref="AF108:AG108" si="285">AF84+AF91+AF97+AF104</f>
        <v>71579514</v>
      </c>
      <c r="AG108" s="21">
        <f t="shared" si="285"/>
        <v>74779205</v>
      </c>
      <c r="AH108" s="21">
        <f t="shared" ref="AH108:AI108" si="286">AH84+AH91+AH97+AH104</f>
        <v>72081211</v>
      </c>
      <c r="AI108" s="21">
        <f t="shared" si="286"/>
        <v>76727551.780000001</v>
      </c>
      <c r="AJ108" s="21">
        <f t="shared" ref="AJ108:AK108" si="287">AJ84+AJ91+AJ97+AJ104</f>
        <v>71690133.680000007</v>
      </c>
      <c r="AK108" s="21">
        <f t="shared" si="287"/>
        <v>78255630</v>
      </c>
      <c r="AL108" s="5"/>
    </row>
    <row r="109" spans="1:38" ht="13.5" customHeight="1" x14ac:dyDescent="0.2">
      <c r="A109" s="15"/>
      <c r="D109" s="1" t="s">
        <v>28</v>
      </c>
      <c r="E109" s="23"/>
      <c r="F109" s="23">
        <f t="shared" ref="F109:L109" si="288">F85+F92+F98</f>
        <v>6034114</v>
      </c>
      <c r="G109" s="23">
        <f t="shared" si="288"/>
        <v>8733712</v>
      </c>
      <c r="H109" s="23">
        <f t="shared" si="288"/>
        <v>9601501</v>
      </c>
      <c r="I109" s="23">
        <f t="shared" si="288"/>
        <v>12076400</v>
      </c>
      <c r="J109" s="23">
        <f t="shared" si="288"/>
        <v>13181195</v>
      </c>
      <c r="K109" s="23">
        <f t="shared" si="288"/>
        <v>12630731</v>
      </c>
      <c r="L109" s="23">
        <f t="shared" si="288"/>
        <v>11923904</v>
      </c>
      <c r="M109" s="23">
        <f>M85+M92+M98</f>
        <v>11227412</v>
      </c>
      <c r="N109" s="23">
        <f>N85+N92+N98</f>
        <v>11985072</v>
      </c>
      <c r="O109" s="23">
        <f>O85+O92+O98</f>
        <v>12185346</v>
      </c>
      <c r="P109" s="23">
        <f>P85+P92+P98</f>
        <v>13057756</v>
      </c>
      <c r="Q109" s="23">
        <f>Q85+Q92+Q98+Q105</f>
        <v>18029708</v>
      </c>
      <c r="R109" s="23">
        <f>R85+R92+R98+R105</f>
        <v>18654923</v>
      </c>
      <c r="S109" s="23">
        <f t="shared" si="282"/>
        <v>21372484</v>
      </c>
      <c r="T109" s="23">
        <f t="shared" si="282"/>
        <v>20990779</v>
      </c>
      <c r="U109" s="23">
        <f t="shared" si="282"/>
        <v>22846841</v>
      </c>
      <c r="V109" s="23">
        <f t="shared" si="282"/>
        <v>27065774</v>
      </c>
      <c r="W109" s="23">
        <f t="shared" si="282"/>
        <v>31186708</v>
      </c>
      <c r="X109" s="23">
        <f t="shared" si="282"/>
        <v>34239101</v>
      </c>
      <c r="Y109" s="23">
        <f t="shared" si="282"/>
        <v>38283755</v>
      </c>
      <c r="Z109" s="23">
        <f t="shared" si="282"/>
        <v>36776845</v>
      </c>
      <c r="AA109" s="23">
        <f t="shared" si="282"/>
        <v>37727860</v>
      </c>
      <c r="AB109" s="23">
        <f t="shared" ref="AB109:AC109" si="289">AB85+AB92+AB98+AB105</f>
        <v>39481409</v>
      </c>
      <c r="AC109" s="23">
        <f t="shared" si="289"/>
        <v>41491598</v>
      </c>
      <c r="AD109" s="23">
        <f t="shared" ref="AD109:AE109" si="290">AD85+AD92+AD98+AD105</f>
        <v>44595997</v>
      </c>
      <c r="AE109" s="23">
        <f t="shared" si="290"/>
        <v>44923435</v>
      </c>
      <c r="AF109" s="23">
        <f t="shared" ref="AF109:AG109" si="291">AF85+AF92+AF98+AF105</f>
        <v>45061833</v>
      </c>
      <c r="AG109" s="23">
        <f t="shared" si="291"/>
        <v>41073342</v>
      </c>
      <c r="AH109" s="23">
        <f t="shared" ref="AH109:AI109" si="292">AH85+AH92+AH98+AH105</f>
        <v>36065871</v>
      </c>
      <c r="AI109" s="23">
        <f t="shared" si="292"/>
        <v>31810686</v>
      </c>
      <c r="AJ109" s="23">
        <f t="shared" ref="AJ109:AK109" si="293">AJ85+AJ92+AJ98+AJ105</f>
        <v>31868999.75</v>
      </c>
      <c r="AK109" s="23">
        <f t="shared" si="293"/>
        <v>33783948</v>
      </c>
      <c r="AL109" s="5"/>
    </row>
    <row r="110" spans="1:38" ht="13.5" customHeight="1" x14ac:dyDescent="0.2">
      <c r="A110" s="15"/>
      <c r="D110" s="1" t="s">
        <v>29</v>
      </c>
      <c r="E110" s="23"/>
      <c r="F110" s="24">
        <f t="shared" ref="F110:AA110" si="294">F86+F99</f>
        <v>5583124</v>
      </c>
      <c r="G110" s="24">
        <f t="shared" si="294"/>
        <v>6186947</v>
      </c>
      <c r="H110" s="24">
        <f t="shared" si="294"/>
        <v>6277774</v>
      </c>
      <c r="I110" s="24">
        <f t="shared" si="294"/>
        <v>6148617</v>
      </c>
      <c r="J110" s="24">
        <f t="shared" si="294"/>
        <v>6334822</v>
      </c>
      <c r="K110" s="24">
        <f t="shared" si="294"/>
        <v>6483567</v>
      </c>
      <c r="L110" s="24">
        <f t="shared" si="294"/>
        <v>7594694</v>
      </c>
      <c r="M110" s="24">
        <f t="shared" si="294"/>
        <v>8203058</v>
      </c>
      <c r="N110" s="24">
        <f t="shared" si="294"/>
        <v>8425927</v>
      </c>
      <c r="O110" s="24">
        <f t="shared" si="294"/>
        <v>8037266</v>
      </c>
      <c r="P110" s="24">
        <f t="shared" si="294"/>
        <v>6708254</v>
      </c>
      <c r="Q110" s="24">
        <f t="shared" si="294"/>
        <v>8435740</v>
      </c>
      <c r="R110" s="24">
        <f t="shared" si="294"/>
        <v>10906271</v>
      </c>
      <c r="S110" s="24">
        <f t="shared" si="294"/>
        <v>11553190</v>
      </c>
      <c r="T110" s="24">
        <f t="shared" si="294"/>
        <v>10646193</v>
      </c>
      <c r="U110" s="24">
        <f t="shared" si="294"/>
        <v>10731567</v>
      </c>
      <c r="V110" s="24">
        <f t="shared" si="294"/>
        <v>11701991</v>
      </c>
      <c r="W110" s="24">
        <f t="shared" si="294"/>
        <v>13345686</v>
      </c>
      <c r="X110" s="24">
        <f t="shared" si="294"/>
        <v>13446060</v>
      </c>
      <c r="Y110" s="24">
        <f t="shared" si="294"/>
        <v>12993264</v>
      </c>
      <c r="Z110" s="24">
        <f t="shared" si="294"/>
        <v>12783687</v>
      </c>
      <c r="AA110" s="24">
        <f t="shared" si="294"/>
        <v>13407533</v>
      </c>
      <c r="AB110" s="24">
        <f t="shared" ref="AB110:AC110" si="295">AB86+AB99</f>
        <v>13470609</v>
      </c>
      <c r="AC110" s="24">
        <f t="shared" si="295"/>
        <v>14037129</v>
      </c>
      <c r="AD110" s="24">
        <f t="shared" ref="AD110:AE110" si="296">AD86+AD99</f>
        <v>14773225</v>
      </c>
      <c r="AE110" s="24">
        <f t="shared" si="296"/>
        <v>15481138</v>
      </c>
      <c r="AF110" s="24">
        <f t="shared" ref="AF110:AG110" si="297">AF86+AF99</f>
        <v>14934540</v>
      </c>
      <c r="AG110" s="24">
        <f t="shared" si="297"/>
        <v>14534883</v>
      </c>
      <c r="AH110" s="24">
        <f t="shared" ref="AH110:AI110" si="298">AH86+AH99</f>
        <v>13486351</v>
      </c>
      <c r="AI110" s="24">
        <f t="shared" si="298"/>
        <v>13552095</v>
      </c>
      <c r="AJ110" s="24">
        <f t="shared" ref="AJ110:AK110" si="299">AJ86+AJ99</f>
        <v>14128627</v>
      </c>
      <c r="AK110" s="24">
        <f t="shared" si="299"/>
        <v>15681617</v>
      </c>
      <c r="AL110" s="5"/>
    </row>
    <row r="111" spans="1:38" ht="13.5" customHeight="1" x14ac:dyDescent="0.2">
      <c r="A111" s="3"/>
      <c r="E111" s="21"/>
      <c r="F111" s="21">
        <f t="shared" ref="F111:L111" si="300">SUM(F108:F110)</f>
        <v>24419142</v>
      </c>
      <c r="G111" s="21">
        <f t="shared" si="300"/>
        <v>27681072</v>
      </c>
      <c r="H111" s="21">
        <f t="shared" si="300"/>
        <v>29282832</v>
      </c>
      <c r="I111" s="21">
        <f t="shared" si="300"/>
        <v>33374485</v>
      </c>
      <c r="J111" s="21">
        <f t="shared" si="300"/>
        <v>37625406</v>
      </c>
      <c r="K111" s="21">
        <f t="shared" si="300"/>
        <v>38268984</v>
      </c>
      <c r="L111" s="21">
        <f t="shared" si="300"/>
        <v>42023427</v>
      </c>
      <c r="M111" s="21">
        <f t="shared" ref="M111:AA111" si="301">SUM(M108:M110)</f>
        <v>41381930</v>
      </c>
      <c r="N111" s="21">
        <f t="shared" si="301"/>
        <v>41515306</v>
      </c>
      <c r="O111" s="21">
        <f t="shared" si="301"/>
        <v>43544130</v>
      </c>
      <c r="P111" s="21">
        <f t="shared" si="301"/>
        <v>46013294</v>
      </c>
      <c r="Q111" s="21">
        <f t="shared" si="301"/>
        <v>53097364</v>
      </c>
      <c r="R111" s="21">
        <f t="shared" si="301"/>
        <v>55435715</v>
      </c>
      <c r="S111" s="21">
        <f t="shared" si="301"/>
        <v>60466579</v>
      </c>
      <c r="T111" s="21">
        <f t="shared" si="301"/>
        <v>62415273</v>
      </c>
      <c r="U111" s="21">
        <f t="shared" si="301"/>
        <v>66385656</v>
      </c>
      <c r="V111" s="21">
        <f t="shared" si="301"/>
        <v>78769034</v>
      </c>
      <c r="W111" s="21">
        <f t="shared" si="301"/>
        <v>87617725</v>
      </c>
      <c r="X111" s="21">
        <f t="shared" si="301"/>
        <v>92205968</v>
      </c>
      <c r="Y111" s="21">
        <f t="shared" si="301"/>
        <v>97460431</v>
      </c>
      <c r="Z111" s="21">
        <f t="shared" si="301"/>
        <v>97511157</v>
      </c>
      <c r="AA111" s="21">
        <f t="shared" si="301"/>
        <v>102201949</v>
      </c>
      <c r="AB111" s="21">
        <f t="shared" ref="AB111:AC111" si="302">SUM(AB108:AB110)</f>
        <v>108194474</v>
      </c>
      <c r="AC111" s="21">
        <f t="shared" si="302"/>
        <v>114135821</v>
      </c>
      <c r="AD111" s="21">
        <f t="shared" ref="AD111:AE111" si="303">SUM(AD108:AD110)</f>
        <v>128781186</v>
      </c>
      <c r="AE111" s="21">
        <f t="shared" si="303"/>
        <v>131174917</v>
      </c>
      <c r="AF111" s="21">
        <f t="shared" ref="AF111:AG111" si="304">SUM(AF108:AF110)</f>
        <v>131575887</v>
      </c>
      <c r="AG111" s="21">
        <f t="shared" si="304"/>
        <v>130387430</v>
      </c>
      <c r="AH111" s="21">
        <f t="shared" ref="AH111:AI111" si="305">SUM(AH108:AH110)</f>
        <v>121633433</v>
      </c>
      <c r="AI111" s="21">
        <f t="shared" si="305"/>
        <v>122090332.78</v>
      </c>
      <c r="AJ111" s="21">
        <f t="shared" ref="AJ111:AK111" si="306">SUM(AJ108:AJ110)</f>
        <v>117687760.43000001</v>
      </c>
      <c r="AK111" s="21">
        <f t="shared" si="306"/>
        <v>127721195</v>
      </c>
      <c r="AL111" s="5"/>
    </row>
    <row r="112" spans="1:38" ht="13.5" customHeight="1" x14ac:dyDescent="0.2">
      <c r="A112" s="3"/>
      <c r="C112" s="2" t="s">
        <v>37</v>
      </c>
      <c r="D112" s="2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5"/>
    </row>
    <row r="113" spans="1:38" ht="13.5" customHeight="1" x14ac:dyDescent="0.2">
      <c r="A113" s="3"/>
      <c r="D113" s="1" t="s">
        <v>38</v>
      </c>
      <c r="E113" s="21"/>
      <c r="F113" s="32">
        <f t="shared" ref="F113:T114" si="307">F40+F75</f>
        <v>1958</v>
      </c>
      <c r="G113" s="32">
        <f t="shared" si="307"/>
        <v>2042</v>
      </c>
      <c r="H113" s="32">
        <f t="shared" si="307"/>
        <v>2079</v>
      </c>
      <c r="I113" s="32">
        <f t="shared" si="307"/>
        <v>2354</v>
      </c>
      <c r="J113" s="32">
        <f t="shared" si="307"/>
        <v>2650</v>
      </c>
      <c r="K113" s="32">
        <f t="shared" si="307"/>
        <v>2506</v>
      </c>
      <c r="L113" s="32">
        <f t="shared" si="307"/>
        <v>2410</v>
      </c>
      <c r="M113" s="32">
        <f t="shared" si="307"/>
        <v>2197</v>
      </c>
      <c r="N113" s="32">
        <f t="shared" si="307"/>
        <v>2201</v>
      </c>
      <c r="O113" s="32">
        <f t="shared" si="307"/>
        <v>1745</v>
      </c>
      <c r="P113" s="32">
        <f t="shared" si="307"/>
        <v>1948</v>
      </c>
      <c r="Q113" s="32">
        <f t="shared" si="307"/>
        <v>2146</v>
      </c>
      <c r="R113" s="32">
        <f t="shared" si="307"/>
        <v>2096</v>
      </c>
      <c r="S113" s="32">
        <f t="shared" si="307"/>
        <v>2096</v>
      </c>
      <c r="T113" s="32">
        <f t="shared" si="307"/>
        <v>2022</v>
      </c>
      <c r="U113" s="32">
        <v>2216</v>
      </c>
      <c r="V113" s="32">
        <f>V40+V75</f>
        <v>2871</v>
      </c>
      <c r="W113" s="32">
        <f>W40+W75</f>
        <v>3217</v>
      </c>
      <c r="X113" s="32">
        <v>3476</v>
      </c>
      <c r="Y113" s="32">
        <f>Y40+Y75</f>
        <v>3580</v>
      </c>
      <c r="Z113" s="32">
        <v>3350</v>
      </c>
      <c r="AA113" s="32">
        <v>3456</v>
      </c>
      <c r="AB113" s="32">
        <v>3382</v>
      </c>
      <c r="AC113" s="32">
        <v>3478</v>
      </c>
      <c r="AD113" s="32">
        <v>3499</v>
      </c>
      <c r="AE113" s="32">
        <v>3528</v>
      </c>
      <c r="AF113" s="32">
        <v>3384</v>
      </c>
      <c r="AG113" s="32">
        <v>3050</v>
      </c>
      <c r="AH113" s="32">
        <v>2794</v>
      </c>
      <c r="AI113" s="32">
        <v>2448</v>
      </c>
      <c r="AJ113" s="32">
        <v>2497</v>
      </c>
      <c r="AK113" s="32">
        <v>2854</v>
      </c>
      <c r="AL113" s="5"/>
    </row>
    <row r="114" spans="1:38" ht="13.5" customHeight="1" x14ac:dyDescent="0.2">
      <c r="A114" s="3"/>
      <c r="D114" s="1" t="s">
        <v>39</v>
      </c>
      <c r="E114" s="21"/>
      <c r="F114" s="33">
        <f t="shared" si="307"/>
        <v>2365</v>
      </c>
      <c r="G114" s="33">
        <f t="shared" si="307"/>
        <v>2582</v>
      </c>
      <c r="H114" s="33">
        <f t="shared" si="307"/>
        <v>2375</v>
      </c>
      <c r="I114" s="33">
        <f t="shared" si="307"/>
        <v>2144</v>
      </c>
      <c r="J114" s="33">
        <f t="shared" si="307"/>
        <v>2104</v>
      </c>
      <c r="K114" s="33">
        <f t="shared" si="307"/>
        <v>1864</v>
      </c>
      <c r="L114" s="33">
        <f t="shared" si="307"/>
        <v>1908</v>
      </c>
      <c r="M114" s="33">
        <f t="shared" si="307"/>
        <v>2005</v>
      </c>
      <c r="N114" s="33">
        <f t="shared" si="307"/>
        <v>2133</v>
      </c>
      <c r="O114" s="33">
        <f t="shared" si="307"/>
        <v>2793</v>
      </c>
      <c r="P114" s="33">
        <f t="shared" si="307"/>
        <v>2856</v>
      </c>
      <c r="Q114" s="33">
        <f t="shared" si="307"/>
        <v>3111</v>
      </c>
      <c r="R114" s="33">
        <f t="shared" si="307"/>
        <v>3092</v>
      </c>
      <c r="S114" s="33">
        <f t="shared" si="307"/>
        <v>3255</v>
      </c>
      <c r="T114" s="33">
        <f t="shared" si="307"/>
        <v>3330</v>
      </c>
      <c r="U114" s="33">
        <v>3050</v>
      </c>
      <c r="V114" s="33">
        <f>V41+V76</f>
        <v>2979</v>
      </c>
      <c r="W114" s="33">
        <f>W41+W76</f>
        <v>3456</v>
      </c>
      <c r="X114" s="33">
        <v>3459</v>
      </c>
      <c r="Y114" s="33">
        <f>Y41+Y76</f>
        <v>3507</v>
      </c>
      <c r="Z114" s="33">
        <v>3716</v>
      </c>
      <c r="AA114" s="33">
        <v>3363</v>
      </c>
      <c r="AB114" s="33">
        <v>3658</v>
      </c>
      <c r="AC114" s="33">
        <v>4244</v>
      </c>
      <c r="AD114" s="33">
        <v>4209</v>
      </c>
      <c r="AE114" s="33">
        <v>4800</v>
      </c>
      <c r="AF114" s="33">
        <v>4794</v>
      </c>
      <c r="AG114" s="33">
        <v>4654</v>
      </c>
      <c r="AH114" s="33">
        <v>4327</v>
      </c>
      <c r="AI114" s="33">
        <v>4405</v>
      </c>
      <c r="AJ114" s="33">
        <v>4251</v>
      </c>
      <c r="AK114" s="33">
        <v>3866</v>
      </c>
      <c r="AL114" s="5"/>
    </row>
    <row r="115" spans="1:38" ht="13.5" customHeight="1" x14ac:dyDescent="0.2">
      <c r="A115" s="3"/>
      <c r="F115" s="32">
        <f t="shared" ref="F115:AA115" si="308">SUM(F113:F114)</f>
        <v>4323</v>
      </c>
      <c r="G115" s="32">
        <f t="shared" si="308"/>
        <v>4624</v>
      </c>
      <c r="H115" s="32">
        <f t="shared" si="308"/>
        <v>4454</v>
      </c>
      <c r="I115" s="32">
        <f t="shared" si="308"/>
        <v>4498</v>
      </c>
      <c r="J115" s="32">
        <f t="shared" si="308"/>
        <v>4754</v>
      </c>
      <c r="K115" s="32">
        <f t="shared" si="308"/>
        <v>4370</v>
      </c>
      <c r="L115" s="32">
        <f t="shared" si="308"/>
        <v>4318</v>
      </c>
      <c r="M115" s="32">
        <f t="shared" si="308"/>
        <v>4202</v>
      </c>
      <c r="N115" s="32">
        <f t="shared" si="308"/>
        <v>4334</v>
      </c>
      <c r="O115" s="32">
        <f t="shared" si="308"/>
        <v>4538</v>
      </c>
      <c r="P115" s="32">
        <f t="shared" si="308"/>
        <v>4804</v>
      </c>
      <c r="Q115" s="32">
        <f t="shared" si="308"/>
        <v>5257</v>
      </c>
      <c r="R115" s="32">
        <f t="shared" si="308"/>
        <v>5188</v>
      </c>
      <c r="S115" s="32">
        <f t="shared" si="308"/>
        <v>5351</v>
      </c>
      <c r="T115" s="32">
        <f t="shared" si="308"/>
        <v>5352</v>
      </c>
      <c r="U115" s="32">
        <f t="shared" si="308"/>
        <v>5266</v>
      </c>
      <c r="V115" s="32">
        <f t="shared" si="308"/>
        <v>5850</v>
      </c>
      <c r="W115" s="32">
        <f t="shared" si="308"/>
        <v>6673</v>
      </c>
      <c r="X115" s="32">
        <f t="shared" si="308"/>
        <v>6935</v>
      </c>
      <c r="Y115" s="32">
        <f t="shared" si="308"/>
        <v>7087</v>
      </c>
      <c r="Z115" s="32">
        <f t="shared" si="308"/>
        <v>7066</v>
      </c>
      <c r="AA115" s="32">
        <f t="shared" si="308"/>
        <v>6819</v>
      </c>
      <c r="AB115" s="32">
        <f t="shared" ref="AB115:AC115" si="309">SUM(AB113:AB114)</f>
        <v>7040</v>
      </c>
      <c r="AC115" s="32">
        <f t="shared" si="309"/>
        <v>7722</v>
      </c>
      <c r="AD115" s="32">
        <f t="shared" ref="AD115:AE115" si="310">SUM(AD113:AD114)</f>
        <v>7708</v>
      </c>
      <c r="AE115" s="32">
        <f t="shared" si="310"/>
        <v>8328</v>
      </c>
      <c r="AF115" s="32">
        <f t="shared" ref="AF115:AG115" si="311">SUM(AF113:AF114)</f>
        <v>8178</v>
      </c>
      <c r="AG115" s="32">
        <f t="shared" si="311"/>
        <v>7704</v>
      </c>
      <c r="AH115" s="32">
        <f t="shared" ref="AH115:AI115" si="312">SUM(AH113:AH114)</f>
        <v>7121</v>
      </c>
      <c r="AI115" s="32">
        <f t="shared" si="312"/>
        <v>6853</v>
      </c>
      <c r="AJ115" s="32">
        <f t="shared" ref="AJ115:AK115" si="313">SUM(AJ113:AJ114)</f>
        <v>6748</v>
      </c>
      <c r="AK115" s="32">
        <f t="shared" si="313"/>
        <v>6720</v>
      </c>
      <c r="AL115" s="5"/>
    </row>
    <row r="116" spans="1:38" ht="13.5" customHeight="1" x14ac:dyDescent="0.2">
      <c r="A116" s="3"/>
      <c r="B116" s="12"/>
      <c r="C116" s="12"/>
      <c r="D116" s="12"/>
      <c r="E116" s="12"/>
      <c r="F116" s="12"/>
      <c r="G116" s="12"/>
      <c r="H116" s="12"/>
      <c r="I116" s="12"/>
      <c r="J116" s="12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5"/>
    </row>
    <row r="117" spans="1:38" ht="13.5" customHeight="1" x14ac:dyDescent="0.2">
      <c r="A117" s="3"/>
      <c r="AL117" s="5"/>
    </row>
    <row r="118" spans="1:38" ht="13.5" customHeight="1" x14ac:dyDescent="0.2">
      <c r="A118" s="3"/>
      <c r="B118" s="1" t="s">
        <v>42</v>
      </c>
      <c r="AL118" s="5"/>
    </row>
    <row r="119" spans="1:38" ht="13.5" customHeight="1" x14ac:dyDescent="0.2">
      <c r="A119" s="3"/>
      <c r="AL119" s="5"/>
    </row>
    <row r="120" spans="1:38" ht="13.5" customHeight="1" x14ac:dyDescent="0.2">
      <c r="A120" s="3"/>
      <c r="B120" s="1" t="s">
        <v>43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5"/>
    </row>
    <row r="121" spans="1:38" ht="13.5" customHeight="1" x14ac:dyDescent="0.2">
      <c r="A121" s="3"/>
      <c r="B121" s="1" t="s">
        <v>44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5"/>
    </row>
    <row r="122" spans="1:38" ht="13.5" customHeight="1" x14ac:dyDescent="0.2">
      <c r="A122" s="3"/>
      <c r="B122" s="1" t="s">
        <v>45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5"/>
    </row>
    <row r="123" spans="1:38" ht="13.5" customHeight="1" x14ac:dyDescent="0.2">
      <c r="A123" s="3"/>
      <c r="AL123" s="5"/>
    </row>
    <row r="124" spans="1:38" ht="13.5" customHeight="1" x14ac:dyDescent="0.25">
      <c r="A124" s="39"/>
      <c r="B124" s="69" t="s">
        <v>46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70"/>
      <c r="AE124" s="71"/>
      <c r="AF124" s="71"/>
      <c r="AG124" s="40"/>
      <c r="AH124" s="40"/>
      <c r="AI124" s="40"/>
      <c r="AJ124" s="40"/>
      <c r="AK124" s="40" t="s">
        <v>61</v>
      </c>
      <c r="AL124" s="41"/>
    </row>
    <row r="126" spans="1:38" ht="13.5" customHeight="1" x14ac:dyDescent="0.2">
      <c r="AC126" s="46"/>
      <c r="AD126" s="46"/>
      <c r="AE126" s="46"/>
      <c r="AF126" s="46"/>
      <c r="AG126" s="21"/>
      <c r="AH126" s="21"/>
      <c r="AI126" s="21"/>
      <c r="AJ126" s="21">
        <f>AJ111/AJ115</f>
        <v>17440.391290752817</v>
      </c>
      <c r="AK126" s="21">
        <f>AK111/AK115</f>
        <v>19006.130208333332</v>
      </c>
    </row>
    <row r="127" spans="1:38" ht="13.5" customHeight="1" x14ac:dyDescent="0.2"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</row>
    <row r="128" spans="1:38" ht="13.5" customHeight="1" x14ac:dyDescent="0.2">
      <c r="AG128" s="46"/>
      <c r="AH128" s="46"/>
      <c r="AI128" s="46"/>
      <c r="AJ128" s="46"/>
      <c r="AK128" s="46"/>
    </row>
    <row r="133" spans="8:39" ht="13.5" customHeight="1" x14ac:dyDescent="0.2"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</row>
    <row r="134" spans="8:39" ht="13.5" customHeight="1" x14ac:dyDescent="0.2"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</row>
    <row r="135" spans="8:39" ht="13.5" customHeight="1" x14ac:dyDescent="0.2"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</row>
    <row r="136" spans="8:39" ht="13.5" customHeight="1" x14ac:dyDescent="0.2"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</row>
    <row r="137" spans="8:39" ht="13.5" customHeight="1" x14ac:dyDescent="0.2"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</row>
  </sheetData>
  <mergeCells count="2">
    <mergeCell ref="A2:AL2"/>
    <mergeCell ref="B124:AF124"/>
  </mergeCells>
  <hyperlinks>
    <hyperlink ref="B124:AC124" r:id="rId1" display="Source: DHE 14-1, Student Financial Aid Awarded" xr:uid="{386CCABF-7171-44A2-9C7C-10E6D19541E7}"/>
    <hyperlink ref="B124:AD124" r:id="rId2" display="Source: DHE 14-1, Student Financial Aid Awarded" xr:uid="{64C1F6A5-F98C-419D-B88B-0A3F6844C54F}"/>
  </hyperlinks>
  <printOptions horizontalCentered="1"/>
  <pageMargins left="0.7" right="0.45" top="0.5" bottom="0.25" header="0.5" footer="0.5"/>
  <pageSetup scale="77" orientation="portrait" verticalDpi="300" r:id="rId3"/>
  <headerFooter alignWithMargins="0"/>
  <rowBreaks count="1" manualBreakCount="1">
    <brk id="78" max="16383" man="1"/>
  </rowBreaks>
  <ignoredErrors>
    <ignoredError sqref="F87:Z105 AA87:AA103 AB87 AB93:AB94 AB100 AC87:AC101 AD87:AD100 AE87:AE108 AF87:AG87 AF100:AG100 AF93 AF94:AG94 AG93 AH87:AH100 AI87:AI104 AJ87:AJ107 AK87:AK10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/>
  <dimension ref="A2:AO137"/>
  <sheetViews>
    <sheetView zoomScaleNormal="100" workbookViewId="0"/>
  </sheetViews>
  <sheetFormatPr defaultColWidth="10.85546875" defaultRowHeight="13.5" customHeight="1" x14ac:dyDescent="0.2"/>
  <cols>
    <col min="1" max="3" width="2.7109375" style="1" customWidth="1"/>
    <col min="4" max="4" width="13.7109375" style="1" customWidth="1"/>
    <col min="5" max="5" width="3.7109375" style="1" customWidth="1"/>
    <col min="6" max="31" width="13.7109375" style="1" hidden="1" customWidth="1"/>
    <col min="32" max="37" width="13.7109375" style="1" customWidth="1"/>
    <col min="38" max="38" width="2.7109375" style="1" customWidth="1"/>
    <col min="39" max="39" width="8.28515625" style="1" customWidth="1"/>
    <col min="40" max="73" width="10.85546875" style="1" customWidth="1"/>
    <col min="74" max="16384" width="10.85546875" style="1"/>
  </cols>
  <sheetData>
    <row r="2" spans="1:41" ht="15" customHeight="1" x14ac:dyDescent="0.25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8"/>
      <c r="AM2" s="2"/>
      <c r="AN2" s="2"/>
      <c r="AO2" s="2"/>
    </row>
    <row r="3" spans="1:41" ht="13.5" customHeight="1" x14ac:dyDescent="0.2">
      <c r="A3" s="3"/>
      <c r="B3" s="2"/>
      <c r="C3" s="2"/>
      <c r="D3" s="2"/>
      <c r="E3" s="2"/>
      <c r="F3" s="2"/>
      <c r="G3" s="2"/>
      <c r="H3" s="2"/>
      <c r="I3" s="2"/>
      <c r="J3" s="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5"/>
    </row>
    <row r="4" spans="1:41" ht="15" customHeight="1" x14ac:dyDescent="0.25">
      <c r="A4" s="3"/>
      <c r="B4" s="6" t="s">
        <v>1</v>
      </c>
      <c r="C4" s="7"/>
      <c r="D4" s="7"/>
      <c r="E4" s="7"/>
      <c r="F4" s="7"/>
      <c r="G4" s="7"/>
      <c r="H4" s="7"/>
      <c r="I4" s="7"/>
      <c r="J4" s="7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5"/>
    </row>
    <row r="5" spans="1:41" ht="15" customHeight="1" x14ac:dyDescent="0.25">
      <c r="A5" s="15"/>
      <c r="B5" s="8" t="s">
        <v>49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5"/>
    </row>
    <row r="6" spans="1:41" ht="13.5" customHeight="1" thickBot="1" x14ac:dyDescent="0.25">
      <c r="A6" s="15"/>
      <c r="B6" s="9"/>
      <c r="C6" s="9"/>
      <c r="D6" s="9"/>
      <c r="E6" s="9"/>
      <c r="F6" s="9"/>
      <c r="G6" s="9"/>
      <c r="H6" s="9"/>
      <c r="I6" s="9"/>
      <c r="J6" s="9"/>
      <c r="K6" s="2"/>
      <c r="L6" s="10"/>
      <c r="M6" s="10"/>
      <c r="N6" s="1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5"/>
    </row>
    <row r="7" spans="1:41" ht="13.5" customHeight="1" thickTop="1" x14ac:dyDescent="0.2">
      <c r="A7" s="15"/>
      <c r="B7" s="12"/>
      <c r="C7" s="12"/>
      <c r="D7" s="12"/>
      <c r="E7" s="12"/>
      <c r="F7" s="40" t="s">
        <v>3</v>
      </c>
      <c r="G7" s="40" t="s">
        <v>4</v>
      </c>
      <c r="H7" s="40" t="s">
        <v>5</v>
      </c>
      <c r="I7" s="40" t="s">
        <v>6</v>
      </c>
      <c r="J7" s="40" t="s">
        <v>7</v>
      </c>
      <c r="K7" s="14" t="s">
        <v>8</v>
      </c>
      <c r="L7" s="14" t="s">
        <v>9</v>
      </c>
      <c r="M7" s="14" t="s">
        <v>10</v>
      </c>
      <c r="N7" s="14" t="s">
        <v>11</v>
      </c>
      <c r="O7" s="14" t="s">
        <v>12</v>
      </c>
      <c r="P7" s="14" t="s">
        <v>13</v>
      </c>
      <c r="Q7" s="14" t="s">
        <v>14</v>
      </c>
      <c r="R7" s="14" t="s">
        <v>15</v>
      </c>
      <c r="S7" s="14" t="s">
        <v>16</v>
      </c>
      <c r="T7" s="14" t="s">
        <v>17</v>
      </c>
      <c r="U7" s="14" t="s">
        <v>18</v>
      </c>
      <c r="V7" s="14" t="s">
        <v>19</v>
      </c>
      <c r="W7" s="14" t="s">
        <v>20</v>
      </c>
      <c r="X7" s="14" t="s">
        <v>21</v>
      </c>
      <c r="Y7" s="14" t="s">
        <v>22</v>
      </c>
      <c r="Z7" s="14" t="s">
        <v>23</v>
      </c>
      <c r="AA7" s="14" t="s">
        <v>24</v>
      </c>
      <c r="AB7" s="14" t="s">
        <v>51</v>
      </c>
      <c r="AC7" s="14" t="s">
        <v>52</v>
      </c>
      <c r="AD7" s="14" t="s">
        <v>53</v>
      </c>
      <c r="AE7" s="14" t="s">
        <v>54</v>
      </c>
      <c r="AF7" s="14" t="s">
        <v>55</v>
      </c>
      <c r="AG7" s="14" t="s">
        <v>56</v>
      </c>
      <c r="AH7" s="14" t="s">
        <v>57</v>
      </c>
      <c r="AI7" s="14" t="s">
        <v>58</v>
      </c>
      <c r="AJ7" s="14" t="s">
        <v>59</v>
      </c>
      <c r="AK7" s="14" t="s">
        <v>60</v>
      </c>
      <c r="AL7" s="5"/>
    </row>
    <row r="8" spans="1:41" ht="13.5" customHeight="1" x14ac:dyDescent="0.2">
      <c r="A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7"/>
    </row>
    <row r="9" spans="1:41" ht="13.5" customHeight="1" x14ac:dyDescent="0.2">
      <c r="A9" s="15"/>
      <c r="B9" s="53" t="s">
        <v>25</v>
      </c>
      <c r="C9" s="54"/>
      <c r="D9" s="54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17"/>
    </row>
    <row r="10" spans="1:41" ht="13.5" customHeight="1" x14ac:dyDescent="0.2">
      <c r="A10" s="15"/>
      <c r="C10" s="2" t="s">
        <v>26</v>
      </c>
      <c r="D10" s="2"/>
      <c r="AL10" s="17"/>
    </row>
    <row r="11" spans="1:41" ht="13.5" customHeight="1" x14ac:dyDescent="0.2">
      <c r="A11" s="15"/>
      <c r="D11" s="1" t="s">
        <v>27</v>
      </c>
      <c r="E11" s="21"/>
      <c r="F11" s="21">
        <v>2859059</v>
      </c>
      <c r="G11" s="21">
        <v>2631643</v>
      </c>
      <c r="H11" s="21">
        <v>2819027</v>
      </c>
      <c r="I11" s="21">
        <v>3075665</v>
      </c>
      <c r="J11" s="21">
        <v>3405849</v>
      </c>
      <c r="K11" s="21">
        <v>3613528</v>
      </c>
      <c r="L11" s="21">
        <v>4145247</v>
      </c>
      <c r="M11" s="21">
        <v>4306047</v>
      </c>
      <c r="N11" s="21">
        <v>5325344</v>
      </c>
      <c r="O11" s="21">
        <v>6272860</v>
      </c>
      <c r="P11" s="21">
        <v>6569031</v>
      </c>
      <c r="Q11" s="21">
        <v>7389440</v>
      </c>
      <c r="R11" s="21">
        <f>265286+7033126+328878</f>
        <v>7627290</v>
      </c>
      <c r="S11" s="21">
        <f>516066+7073084+304822</f>
        <v>7893972</v>
      </c>
      <c r="T11" s="21">
        <f>267542+7415432+469896</f>
        <v>8152870</v>
      </c>
      <c r="U11" s="21">
        <f>261721+8193733+77954+136000+271668</f>
        <v>8941076</v>
      </c>
      <c r="V11" s="21">
        <f>98525+9295492+76000+350682+102000+251280+306494</f>
        <v>10480473</v>
      </c>
      <c r="W11" s="21">
        <f>184451+14941044+228500+330604+208640+258917+304235</f>
        <v>16456391</v>
      </c>
      <c r="X11" s="21">
        <f>197266+16038460+269000+282994+221000+166133+80234+56515+306261</f>
        <v>17617863</v>
      </c>
      <c r="Y11" s="21">
        <f>16372335+292502+196500+208508+9621+33656+293402</f>
        <v>17406524</v>
      </c>
      <c r="Z11" s="21">
        <f>16091481+292323+158300+204095+30638+26165+283251</f>
        <v>17086253</v>
      </c>
      <c r="AA11" s="21">
        <f>16088753+281308+140971+2104096+41950+268661</f>
        <v>18925739</v>
      </c>
      <c r="AB11" s="21">
        <f>16161565+376845+108305+2109653+15333+248718</f>
        <v>19020419</v>
      </c>
      <c r="AC11" s="21">
        <f>14883830+367485+135627+2094139+10604+330476</f>
        <v>17822161</v>
      </c>
      <c r="AD11" s="21">
        <f>13296317+381696+119737+1742023+8712+203494</f>
        <v>15751979</v>
      </c>
      <c r="AE11" s="21">
        <f>14561203+371700+91420+1975521+200855</f>
        <v>17200699</v>
      </c>
      <c r="AF11" s="21">
        <f>13939482+382139+86589+2121087+234071</f>
        <v>16763368</v>
      </c>
      <c r="AG11" s="21">
        <f>12661557+424645+38945+1655923+11092+216160</f>
        <v>15008322</v>
      </c>
      <c r="AH11" s="21">
        <f>11627383+606115+19783+1465993+2965304</f>
        <v>16684578</v>
      </c>
      <c r="AI11" s="21">
        <f>11086419+761303+51393+1629071+139037</f>
        <v>13667223</v>
      </c>
      <c r="AJ11" s="21">
        <f>11504173+656814+60481+1627496+143252</f>
        <v>13992216</v>
      </c>
      <c r="AK11" s="21">
        <f>12313821+486047+47150+1874089+161216</f>
        <v>14882323</v>
      </c>
      <c r="AL11" s="22"/>
    </row>
    <row r="12" spans="1:41" ht="13.5" customHeight="1" x14ac:dyDescent="0.2">
      <c r="A12" s="15"/>
      <c r="D12" s="1" t="s">
        <v>28</v>
      </c>
      <c r="E12" s="23"/>
      <c r="F12" s="23">
        <v>5824966</v>
      </c>
      <c r="G12" s="23">
        <v>9821265</v>
      </c>
      <c r="H12" s="23">
        <v>15548647</v>
      </c>
      <c r="I12" s="23">
        <v>20559387</v>
      </c>
      <c r="J12" s="23">
        <v>23313711</v>
      </c>
      <c r="K12" s="23">
        <v>24003015</v>
      </c>
      <c r="L12" s="23">
        <v>23975553</v>
      </c>
      <c r="M12" s="23">
        <v>23987009</v>
      </c>
      <c r="N12" s="23">
        <v>28047943</v>
      </c>
      <c r="O12" s="23">
        <v>28186852</v>
      </c>
      <c r="P12" s="23">
        <v>31980496</v>
      </c>
      <c r="Q12" s="23">
        <v>37545141</v>
      </c>
      <c r="R12" s="23">
        <f>544025+19922634+15931619+3025994+0+0+0+0+0+15250</f>
        <v>39439522</v>
      </c>
      <c r="S12" s="23">
        <f>438968+20466690+16577946+3640559+0+12375</f>
        <v>41136538</v>
      </c>
      <c r="T12" s="23">
        <f>327620+20930290+17487597+3849118+15000</f>
        <v>42609625</v>
      </c>
      <c r="U12" s="23">
        <f>207824+22473299+17432179+3341804+9505</f>
        <v>43464611</v>
      </c>
      <c r="V12" s="23">
        <f>6400+128700+3314884+22011021+23755617</f>
        <v>49216622</v>
      </c>
      <c r="W12" s="23">
        <f>772438+802736+117589+0+0+243195+3429994+23897028+27936075</f>
        <v>57199055</v>
      </c>
      <c r="X12" s="23">
        <f>25312140+27557542+3893596+0+334230</f>
        <v>57097508</v>
      </c>
      <c r="Y12" s="23">
        <f>25322033+27367131+3682353+271110+86781</f>
        <v>56729408</v>
      </c>
      <c r="Z12" s="23">
        <f>24350850+27190944+2784214+372596</f>
        <v>54698604</v>
      </c>
      <c r="AA12" s="23">
        <f>22833911+25509876+2948259+463016</f>
        <v>51755062</v>
      </c>
      <c r="AB12" s="23">
        <f>21524499+23809501+1711772+607160</f>
        <v>47652932</v>
      </c>
      <c r="AC12" s="23">
        <f>19003434+21690712+2358065+329300</f>
        <v>43381511</v>
      </c>
      <c r="AD12" s="23">
        <f>16808718+19108395+2120565+110478</f>
        <v>38148156</v>
      </c>
      <c r="AE12" s="23">
        <f>15802868+16685427+2277287+3300+101143</f>
        <v>34870025</v>
      </c>
      <c r="AF12" s="23">
        <f>14900991+15546048+2549934</f>
        <v>32996973</v>
      </c>
      <c r="AG12" s="23">
        <f>13127048+13322102+1977681</f>
        <v>28426831</v>
      </c>
      <c r="AH12" s="23">
        <f>11224690+12151646+1888544+10000</f>
        <v>25274880</v>
      </c>
      <c r="AI12" s="23">
        <f>9532962+10656472+1760284+3000</f>
        <v>21952718</v>
      </c>
      <c r="AJ12" s="23">
        <f>9573658+10470417+1896212+5500</f>
        <v>21945787</v>
      </c>
      <c r="AK12" s="23">
        <f>9344011+9827405+1915083+8300</f>
        <v>21094799</v>
      </c>
      <c r="AL12" s="22"/>
    </row>
    <row r="13" spans="1:41" ht="13.5" customHeight="1" x14ac:dyDescent="0.2">
      <c r="A13" s="15"/>
      <c r="D13" s="1" t="s">
        <v>29</v>
      </c>
      <c r="E13" s="23"/>
      <c r="F13" s="24">
        <v>200375</v>
      </c>
      <c r="G13" s="24">
        <v>160388</v>
      </c>
      <c r="H13" s="24">
        <v>173994</v>
      </c>
      <c r="I13" s="24">
        <v>147519</v>
      </c>
      <c r="J13" s="24">
        <v>155191</v>
      </c>
      <c r="K13" s="24">
        <v>290593</v>
      </c>
      <c r="L13" s="24">
        <v>335014</v>
      </c>
      <c r="M13" s="24">
        <v>310361</v>
      </c>
      <c r="N13" s="24">
        <v>238854</v>
      </c>
      <c r="O13" s="24">
        <v>342317</v>
      </c>
      <c r="P13" s="24">
        <v>699276</v>
      </c>
      <c r="Q13" s="24">
        <v>393769</v>
      </c>
      <c r="R13" s="24">
        <f>306137</f>
        <v>306137</v>
      </c>
      <c r="S13" s="24">
        <f>819081</f>
        <v>819081</v>
      </c>
      <c r="T13" s="24">
        <f>333736</f>
        <v>333736</v>
      </c>
      <c r="U13" s="24">
        <f>251887</f>
        <v>251887</v>
      </c>
      <c r="V13" s="24">
        <v>256110</v>
      </c>
      <c r="W13" s="24">
        <f>304554</f>
        <v>304554</v>
      </c>
      <c r="X13" s="24">
        <f>264728</f>
        <v>264728</v>
      </c>
      <c r="Y13" s="24">
        <f>287370</f>
        <v>287370</v>
      </c>
      <c r="Z13" s="24">
        <f>333141</f>
        <v>333141</v>
      </c>
      <c r="AA13" s="24">
        <v>236288</v>
      </c>
      <c r="AB13" s="24">
        <v>215758</v>
      </c>
      <c r="AC13" s="24">
        <v>212721</v>
      </c>
      <c r="AD13" s="24">
        <v>203289</v>
      </c>
      <c r="AE13" s="24">
        <v>81395</v>
      </c>
      <c r="AF13" s="24">
        <v>555330</v>
      </c>
      <c r="AG13" s="24">
        <v>347602</v>
      </c>
      <c r="AH13" s="24">
        <v>298700</v>
      </c>
      <c r="AI13" s="24">
        <v>262980</v>
      </c>
      <c r="AJ13" s="24">
        <v>309501</v>
      </c>
      <c r="AK13" s="24">
        <v>528586</v>
      </c>
      <c r="AL13" s="22"/>
    </row>
    <row r="14" spans="1:41" ht="13.5" customHeight="1" x14ac:dyDescent="0.2">
      <c r="A14" s="15"/>
      <c r="E14" s="23"/>
      <c r="F14" s="21">
        <f t="shared" ref="F14:L14" si="0">F11+F12+F13</f>
        <v>8884400</v>
      </c>
      <c r="G14" s="21">
        <f t="shared" si="0"/>
        <v>12613296</v>
      </c>
      <c r="H14" s="21">
        <f t="shared" si="0"/>
        <v>18541668</v>
      </c>
      <c r="I14" s="21">
        <f t="shared" si="0"/>
        <v>23782571</v>
      </c>
      <c r="J14" s="21">
        <f t="shared" si="0"/>
        <v>26874751</v>
      </c>
      <c r="K14" s="21">
        <f t="shared" si="0"/>
        <v>27907136</v>
      </c>
      <c r="L14" s="21">
        <f t="shared" si="0"/>
        <v>28455814</v>
      </c>
      <c r="M14" s="21">
        <f t="shared" ref="M14:AA14" si="1">SUM(M11:M13)</f>
        <v>28603417</v>
      </c>
      <c r="N14" s="21">
        <f t="shared" si="1"/>
        <v>33612141</v>
      </c>
      <c r="O14" s="21">
        <f t="shared" si="1"/>
        <v>34802029</v>
      </c>
      <c r="P14" s="21">
        <f t="shared" si="1"/>
        <v>39248803</v>
      </c>
      <c r="Q14" s="21">
        <f t="shared" si="1"/>
        <v>45328350</v>
      </c>
      <c r="R14" s="21">
        <f t="shared" si="1"/>
        <v>47372949</v>
      </c>
      <c r="S14" s="21">
        <f t="shared" si="1"/>
        <v>49849591</v>
      </c>
      <c r="T14" s="21">
        <f t="shared" si="1"/>
        <v>51096231</v>
      </c>
      <c r="U14" s="21">
        <f t="shared" si="1"/>
        <v>52657574</v>
      </c>
      <c r="V14" s="21">
        <f t="shared" si="1"/>
        <v>59953205</v>
      </c>
      <c r="W14" s="21">
        <f t="shared" si="1"/>
        <v>73960000</v>
      </c>
      <c r="X14" s="21">
        <f t="shared" si="1"/>
        <v>74980099</v>
      </c>
      <c r="Y14" s="21">
        <f t="shared" si="1"/>
        <v>74423302</v>
      </c>
      <c r="Z14" s="21">
        <f t="shared" si="1"/>
        <v>72117998</v>
      </c>
      <c r="AA14" s="21">
        <f t="shared" si="1"/>
        <v>70917089</v>
      </c>
      <c r="AB14" s="21">
        <f t="shared" ref="AB14:AC14" si="2">SUM(AB11:AB13)</f>
        <v>66889109</v>
      </c>
      <c r="AC14" s="21">
        <f t="shared" si="2"/>
        <v>61416393</v>
      </c>
      <c r="AD14" s="21">
        <f t="shared" ref="AD14:AE14" si="3">SUM(AD11:AD13)</f>
        <v>54103424</v>
      </c>
      <c r="AE14" s="21">
        <f t="shared" si="3"/>
        <v>52152119</v>
      </c>
      <c r="AF14" s="21">
        <f t="shared" ref="AF14:AG14" si="4">SUM(AF11:AF13)</f>
        <v>50315671</v>
      </c>
      <c r="AG14" s="21">
        <f t="shared" si="4"/>
        <v>43782755</v>
      </c>
      <c r="AH14" s="21">
        <f t="shared" ref="AH14" si="5">SUM(AH11:AH13)</f>
        <v>42258158</v>
      </c>
      <c r="AI14" s="21">
        <f>SUM(AI11:AI13)</f>
        <v>35882921</v>
      </c>
      <c r="AJ14" s="21">
        <f>SUM(AJ11:AJ13)</f>
        <v>36247504</v>
      </c>
      <c r="AK14" s="21">
        <f>SUM(AK11:AK13)</f>
        <v>36505708</v>
      </c>
      <c r="AL14" s="22"/>
    </row>
    <row r="15" spans="1:41" ht="13.5" hidden="1" customHeight="1" x14ac:dyDescent="0.2">
      <c r="A15" s="15"/>
      <c r="D15" s="26"/>
      <c r="E15" s="45"/>
      <c r="F15" s="28">
        <v>-89532</v>
      </c>
      <c r="G15" s="28">
        <v>-104331</v>
      </c>
      <c r="H15" s="30"/>
      <c r="I15" s="28">
        <v>-110995</v>
      </c>
      <c r="J15" s="28">
        <v>-137</v>
      </c>
      <c r="K15" s="28">
        <v>-226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28">
        <v>-262264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-25009</v>
      </c>
      <c r="AB15" s="28">
        <v>-50578</v>
      </c>
      <c r="AC15" s="28">
        <v>0</v>
      </c>
      <c r="AD15" s="28">
        <v>0</v>
      </c>
      <c r="AE15" s="28">
        <v>-7389</v>
      </c>
      <c r="AF15" s="28">
        <v>0</v>
      </c>
      <c r="AG15" s="28">
        <v>0</v>
      </c>
      <c r="AH15" s="28">
        <v>-2796</v>
      </c>
      <c r="AI15" s="28">
        <v>0</v>
      </c>
      <c r="AJ15" s="28">
        <v>-10108</v>
      </c>
      <c r="AK15" s="28">
        <v>-8568</v>
      </c>
      <c r="AL15" s="22"/>
    </row>
    <row r="16" spans="1:41" ht="13.5" customHeight="1" x14ac:dyDescent="0.2">
      <c r="A16" s="15"/>
      <c r="D16" s="26"/>
      <c r="E16" s="27" t="s">
        <v>30</v>
      </c>
      <c r="F16" s="29">
        <f t="shared" ref="F16:AA16" si="6">SUM(F14:F15)</f>
        <v>8794868</v>
      </c>
      <c r="G16" s="29">
        <f t="shared" si="6"/>
        <v>12508965</v>
      </c>
      <c r="H16" s="29"/>
      <c r="I16" s="29">
        <f t="shared" si="6"/>
        <v>23671576</v>
      </c>
      <c r="J16" s="29">
        <f t="shared" si="6"/>
        <v>26874614</v>
      </c>
      <c r="K16" s="29">
        <f t="shared" si="6"/>
        <v>27906910</v>
      </c>
      <c r="L16" s="29">
        <f t="shared" si="6"/>
        <v>28455814</v>
      </c>
      <c r="M16" s="29">
        <f t="shared" si="6"/>
        <v>28603417</v>
      </c>
      <c r="N16" s="29">
        <f t="shared" si="6"/>
        <v>33612141</v>
      </c>
      <c r="O16" s="29">
        <f t="shared" si="6"/>
        <v>34802029</v>
      </c>
      <c r="P16" s="29">
        <f t="shared" si="6"/>
        <v>39248803</v>
      </c>
      <c r="Q16" s="29">
        <f t="shared" si="6"/>
        <v>45066086</v>
      </c>
      <c r="R16" s="29">
        <f t="shared" si="6"/>
        <v>47372949</v>
      </c>
      <c r="S16" s="29">
        <f t="shared" si="6"/>
        <v>49849591</v>
      </c>
      <c r="T16" s="29">
        <f t="shared" si="6"/>
        <v>51096231</v>
      </c>
      <c r="U16" s="29">
        <f t="shared" si="6"/>
        <v>52657574</v>
      </c>
      <c r="V16" s="29">
        <f t="shared" si="6"/>
        <v>59953205</v>
      </c>
      <c r="W16" s="29">
        <f t="shared" si="6"/>
        <v>73960000</v>
      </c>
      <c r="X16" s="29">
        <f t="shared" si="6"/>
        <v>74980099</v>
      </c>
      <c r="Y16" s="29">
        <f t="shared" si="6"/>
        <v>74423302</v>
      </c>
      <c r="Z16" s="29">
        <f t="shared" si="6"/>
        <v>72117998</v>
      </c>
      <c r="AA16" s="29">
        <f t="shared" si="6"/>
        <v>70892080</v>
      </c>
      <c r="AB16" s="29">
        <f t="shared" ref="AB16" si="7">SUM(AB14:AB15)</f>
        <v>66838531</v>
      </c>
      <c r="AC16" s="29">
        <f t="shared" ref="AC16:AH16" si="8">SUM(AC14:AC15)</f>
        <v>61416393</v>
      </c>
      <c r="AD16" s="29">
        <f t="shared" si="8"/>
        <v>54103424</v>
      </c>
      <c r="AE16" s="29">
        <f t="shared" si="8"/>
        <v>52144730</v>
      </c>
      <c r="AF16" s="29">
        <f t="shared" si="8"/>
        <v>50315671</v>
      </c>
      <c r="AG16" s="29">
        <f t="shared" si="8"/>
        <v>43782755</v>
      </c>
      <c r="AH16" s="29">
        <f t="shared" si="8"/>
        <v>42255362</v>
      </c>
      <c r="AI16" s="29">
        <f t="shared" ref="AI16:AJ16" si="9">SUM(AI14:AI15)</f>
        <v>35882921</v>
      </c>
      <c r="AJ16" s="29">
        <f t="shared" si="9"/>
        <v>36237396</v>
      </c>
      <c r="AK16" s="29">
        <f t="shared" ref="AK16" si="10">SUM(AK14:AK15)</f>
        <v>36497140</v>
      </c>
      <c r="AL16" s="22"/>
    </row>
    <row r="17" spans="1:38" ht="13.5" customHeight="1" x14ac:dyDescent="0.2">
      <c r="A17" s="15"/>
      <c r="C17" s="2" t="s">
        <v>31</v>
      </c>
      <c r="AL17" s="17"/>
    </row>
    <row r="18" spans="1:38" ht="13.5" customHeight="1" x14ac:dyDescent="0.2">
      <c r="A18" s="15"/>
      <c r="D18" s="1" t="s">
        <v>27</v>
      </c>
      <c r="E18" s="21"/>
      <c r="F18" s="21">
        <v>306184</v>
      </c>
      <c r="G18" s="21">
        <v>331955</v>
      </c>
      <c r="H18" s="21">
        <v>465759</v>
      </c>
      <c r="I18" s="21">
        <v>415598</v>
      </c>
      <c r="J18" s="21">
        <v>590469</v>
      </c>
      <c r="K18" s="21">
        <v>807732</v>
      </c>
      <c r="L18" s="21">
        <v>1348747</v>
      </c>
      <c r="M18" s="21">
        <v>1440871</v>
      </c>
      <c r="N18" s="21">
        <v>1458027</v>
      </c>
      <c r="O18" s="21">
        <v>1885850</v>
      </c>
      <c r="P18" s="21">
        <v>1589205</v>
      </c>
      <c r="Q18" s="21">
        <v>1725261</v>
      </c>
      <c r="R18" s="21">
        <f>468453+266000+291575+0+163712+13000+1500+213392+135266</f>
        <v>1552898</v>
      </c>
      <c r="S18" s="21">
        <f>943942+292000+360839+144315+9000+6000+344759+178122</f>
        <v>2278977</v>
      </c>
      <c r="T18" s="21">
        <f>591630+284000+282725+167372+5000+3000+318267+274877</f>
        <v>1926871</v>
      </c>
      <c r="U18" s="21">
        <f>305000+2036055+212654+15000+3000+348548+220344</f>
        <v>3140601</v>
      </c>
      <c r="V18" s="21">
        <f>2154350+26550+235000+90627+11000+3000+409456+369397</f>
        <v>3299380</v>
      </c>
      <c r="W18" s="21">
        <f>2183860+38350+170000+72206+3000+2947+201739+351462</f>
        <v>3023564</v>
      </c>
      <c r="X18" s="21">
        <f>1467708+23600+132750+47155+4000+169175+206802</f>
        <v>2051190</v>
      </c>
      <c r="Y18" s="21">
        <f>1541725+2950+133000+40232+2000+3139+257889+114101</f>
        <v>2095036</v>
      </c>
      <c r="Z18" s="21">
        <f>1622834+160000+90835+2000+6466+500+220518+88652</f>
        <v>2191805</v>
      </c>
      <c r="AA18" s="21">
        <f>1762218+222000+105503+2000+5246+500+191679+106474</f>
        <v>2395620</v>
      </c>
      <c r="AB18" s="21">
        <f>2572720+289500+3000+103572+2000+2674+1881+215660+96351</f>
        <v>3287358</v>
      </c>
      <c r="AC18" s="21">
        <f>3123184+289500+4000+117661+2000+2703+3048+241610+150037</f>
        <v>3933743</v>
      </c>
      <c r="AD18" s="21">
        <f>3236831+294000+86174+19043+225636+99733</f>
        <v>3961417</v>
      </c>
      <c r="AE18" s="21">
        <f>2549270+312226+82908+500+11090+237517+84321</f>
        <v>3277832</v>
      </c>
      <c r="AF18" s="21">
        <f>3030023+303000+74333+14864+187843+86709</f>
        <v>3696772</v>
      </c>
      <c r="AG18" s="21">
        <f>2990968+316500+32292+500+7839+180421+81593</f>
        <v>3610113</v>
      </c>
      <c r="AH18" s="21">
        <f>2730995+261900+155354+68592</f>
        <v>3216841</v>
      </c>
      <c r="AI18" s="21">
        <f>2993526+297000+160926+91218</f>
        <v>3542670</v>
      </c>
      <c r="AJ18" s="21">
        <f>3021174+324000+171145+111084</f>
        <v>3627403</v>
      </c>
      <c r="AK18" s="21">
        <f>3489033+289000+198535+59489</f>
        <v>4036057</v>
      </c>
      <c r="AL18" s="22"/>
    </row>
    <row r="19" spans="1:38" ht="13.5" customHeight="1" x14ac:dyDescent="0.2">
      <c r="A19" s="15"/>
      <c r="D19" s="1" t="s">
        <v>28</v>
      </c>
      <c r="E19" s="23"/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71684</v>
      </c>
      <c r="N19" s="24">
        <v>28951</v>
      </c>
      <c r="O19" s="24">
        <v>15201</v>
      </c>
      <c r="P19" s="24">
        <v>13750</v>
      </c>
      <c r="Q19" s="24">
        <v>5750</v>
      </c>
      <c r="R19" s="24">
        <f>2500+0</f>
        <v>2500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2"/>
    </row>
    <row r="20" spans="1:38" ht="13.5" customHeight="1" x14ac:dyDescent="0.2">
      <c r="A20" s="15"/>
      <c r="E20" s="23"/>
      <c r="F20" s="21">
        <f t="shared" ref="F20:L20" si="11">SUM(F18:F19)</f>
        <v>306184</v>
      </c>
      <c r="G20" s="21">
        <f t="shared" si="11"/>
        <v>331955</v>
      </c>
      <c r="H20" s="21">
        <f t="shared" si="11"/>
        <v>465759</v>
      </c>
      <c r="I20" s="21">
        <f t="shared" si="11"/>
        <v>415598</v>
      </c>
      <c r="J20" s="21">
        <f t="shared" si="11"/>
        <v>590469</v>
      </c>
      <c r="K20" s="21">
        <f t="shared" si="11"/>
        <v>807732</v>
      </c>
      <c r="L20" s="21">
        <f t="shared" si="11"/>
        <v>1348747</v>
      </c>
      <c r="M20" s="21">
        <f t="shared" ref="M20:AA20" si="12">SUM(M18:M19)</f>
        <v>1512555</v>
      </c>
      <c r="N20" s="21">
        <f t="shared" si="12"/>
        <v>1486978</v>
      </c>
      <c r="O20" s="21">
        <f t="shared" si="12"/>
        <v>1901051</v>
      </c>
      <c r="P20" s="21">
        <f t="shared" si="12"/>
        <v>1602955</v>
      </c>
      <c r="Q20" s="21">
        <f t="shared" si="12"/>
        <v>1731011</v>
      </c>
      <c r="R20" s="21">
        <f t="shared" si="12"/>
        <v>1555398</v>
      </c>
      <c r="S20" s="21">
        <f t="shared" si="12"/>
        <v>2278977</v>
      </c>
      <c r="T20" s="21">
        <f t="shared" si="12"/>
        <v>1926871</v>
      </c>
      <c r="U20" s="21">
        <f t="shared" si="12"/>
        <v>3140601</v>
      </c>
      <c r="V20" s="21">
        <f t="shared" si="12"/>
        <v>3299380</v>
      </c>
      <c r="W20" s="21">
        <f t="shared" si="12"/>
        <v>3023564</v>
      </c>
      <c r="X20" s="21">
        <f t="shared" si="12"/>
        <v>2051190</v>
      </c>
      <c r="Y20" s="21">
        <f t="shared" si="12"/>
        <v>2095036</v>
      </c>
      <c r="Z20" s="21">
        <f t="shared" si="12"/>
        <v>2191805</v>
      </c>
      <c r="AA20" s="21">
        <f t="shared" si="12"/>
        <v>2395620</v>
      </c>
      <c r="AB20" s="21">
        <f t="shared" ref="AB20:AC20" si="13">SUM(AB18:AB19)</f>
        <v>3287358</v>
      </c>
      <c r="AC20" s="21">
        <f t="shared" si="13"/>
        <v>3933743</v>
      </c>
      <c r="AD20" s="21">
        <f t="shared" ref="AD20:AE20" si="14">SUM(AD18:AD19)</f>
        <v>3961417</v>
      </c>
      <c r="AE20" s="21">
        <f t="shared" si="14"/>
        <v>3277832</v>
      </c>
      <c r="AF20" s="21">
        <f t="shared" ref="AF20:AG20" si="15">SUM(AF18:AF19)</f>
        <v>3696772</v>
      </c>
      <c r="AG20" s="21">
        <f t="shared" si="15"/>
        <v>3610113</v>
      </c>
      <c r="AH20" s="21">
        <f t="shared" ref="AH20:AI20" si="16">SUM(AH18:AH19)</f>
        <v>3216841</v>
      </c>
      <c r="AI20" s="21">
        <f t="shared" si="16"/>
        <v>3542670</v>
      </c>
      <c r="AJ20" s="21">
        <f t="shared" ref="AJ20:AK20" si="17">SUM(AJ18:AJ19)</f>
        <v>3627403</v>
      </c>
      <c r="AK20" s="21">
        <f t="shared" si="17"/>
        <v>4036057</v>
      </c>
      <c r="AL20" s="17"/>
    </row>
    <row r="21" spans="1:38" ht="13.5" hidden="1" customHeight="1" x14ac:dyDescent="0.2">
      <c r="A21" s="15"/>
      <c r="D21" s="26"/>
      <c r="E21" s="45"/>
      <c r="F21" s="28">
        <v>-5250</v>
      </c>
      <c r="G21" s="28">
        <v>-2500</v>
      </c>
      <c r="H21" s="30"/>
      <c r="I21" s="28">
        <v>-7000</v>
      </c>
      <c r="J21" s="28">
        <v>-3750</v>
      </c>
      <c r="K21" s="28">
        <v>-10000</v>
      </c>
      <c r="L21" s="28">
        <v>-6053</v>
      </c>
      <c r="M21" s="28">
        <v>-39777</v>
      </c>
      <c r="N21" s="28">
        <v>-15335</v>
      </c>
      <c r="O21" s="28">
        <v>-24386</v>
      </c>
      <c r="P21" s="28">
        <v>-27877</v>
      </c>
      <c r="Q21" s="28">
        <v>-43569</v>
      </c>
      <c r="R21" s="28">
        <v>-32776</v>
      </c>
      <c r="S21" s="28">
        <v>-9439</v>
      </c>
      <c r="T21" s="28">
        <v>-5500</v>
      </c>
      <c r="U21" s="28">
        <v>-19867</v>
      </c>
      <c r="V21" s="28">
        <v>-10658</v>
      </c>
      <c r="W21" s="28">
        <v>-1500</v>
      </c>
      <c r="X21" s="28">
        <v>-2000</v>
      </c>
      <c r="Y21" s="28">
        <v>-1000</v>
      </c>
      <c r="Z21" s="28">
        <v>-1000</v>
      </c>
      <c r="AA21" s="28">
        <v>-1000</v>
      </c>
      <c r="AB21" s="28">
        <v>-1000</v>
      </c>
      <c r="AC21" s="28">
        <v>-1000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17"/>
    </row>
    <row r="22" spans="1:38" ht="13.5" customHeight="1" x14ac:dyDescent="0.2">
      <c r="A22" s="15"/>
      <c r="D22" s="26"/>
      <c r="E22" s="27" t="s">
        <v>30</v>
      </c>
      <c r="F22" s="29">
        <f t="shared" ref="F22:AA22" si="18">SUM(F20:F21)</f>
        <v>300934</v>
      </c>
      <c r="G22" s="29">
        <f t="shared" si="18"/>
        <v>329455</v>
      </c>
      <c r="H22" s="29"/>
      <c r="I22" s="29">
        <f t="shared" si="18"/>
        <v>408598</v>
      </c>
      <c r="J22" s="29">
        <f t="shared" si="18"/>
        <v>586719</v>
      </c>
      <c r="K22" s="29">
        <f t="shared" si="18"/>
        <v>797732</v>
      </c>
      <c r="L22" s="29">
        <f t="shared" si="18"/>
        <v>1342694</v>
      </c>
      <c r="M22" s="29">
        <f t="shared" si="18"/>
        <v>1472778</v>
      </c>
      <c r="N22" s="29">
        <f t="shared" si="18"/>
        <v>1471643</v>
      </c>
      <c r="O22" s="29">
        <f t="shared" si="18"/>
        <v>1876665</v>
      </c>
      <c r="P22" s="29">
        <f t="shared" si="18"/>
        <v>1575078</v>
      </c>
      <c r="Q22" s="29">
        <f t="shared" si="18"/>
        <v>1687442</v>
      </c>
      <c r="R22" s="29">
        <f t="shared" si="18"/>
        <v>1522622</v>
      </c>
      <c r="S22" s="29">
        <f t="shared" si="18"/>
        <v>2269538</v>
      </c>
      <c r="T22" s="29">
        <f t="shared" si="18"/>
        <v>1921371</v>
      </c>
      <c r="U22" s="29">
        <f t="shared" si="18"/>
        <v>3120734</v>
      </c>
      <c r="V22" s="29">
        <f t="shared" si="18"/>
        <v>3288722</v>
      </c>
      <c r="W22" s="29">
        <f t="shared" si="18"/>
        <v>3022064</v>
      </c>
      <c r="X22" s="29">
        <f t="shared" si="18"/>
        <v>2049190</v>
      </c>
      <c r="Y22" s="29">
        <f t="shared" si="18"/>
        <v>2094036</v>
      </c>
      <c r="Z22" s="29">
        <f t="shared" si="18"/>
        <v>2190805</v>
      </c>
      <c r="AA22" s="29">
        <f t="shared" si="18"/>
        <v>2394620</v>
      </c>
      <c r="AB22" s="29">
        <f t="shared" ref="AB22" si="19">SUM(AB20:AB21)</f>
        <v>3286358</v>
      </c>
      <c r="AC22" s="29">
        <f t="shared" ref="AC22:AH22" si="20">SUM(AC20:AC21)</f>
        <v>3932743</v>
      </c>
      <c r="AD22" s="29">
        <f t="shared" si="20"/>
        <v>3961417</v>
      </c>
      <c r="AE22" s="29">
        <f t="shared" si="20"/>
        <v>3277832</v>
      </c>
      <c r="AF22" s="29">
        <f t="shared" si="20"/>
        <v>3696772</v>
      </c>
      <c r="AG22" s="29">
        <f t="shared" si="20"/>
        <v>3610113</v>
      </c>
      <c r="AH22" s="29">
        <f t="shared" si="20"/>
        <v>3216841</v>
      </c>
      <c r="AI22" s="29">
        <f t="shared" ref="AI22:AJ22" si="21">SUM(AI20:AI21)</f>
        <v>3542670</v>
      </c>
      <c r="AJ22" s="29">
        <f t="shared" si="21"/>
        <v>3627403</v>
      </c>
      <c r="AK22" s="29">
        <f t="shared" ref="AK22" si="22">SUM(AK20:AK21)</f>
        <v>4036057</v>
      </c>
      <c r="AL22" s="22"/>
    </row>
    <row r="23" spans="1:38" ht="13.5" customHeight="1" x14ac:dyDescent="0.2">
      <c r="A23" s="15"/>
      <c r="C23" s="2" t="s">
        <v>32</v>
      </c>
      <c r="D23" s="2"/>
      <c r="E23" s="23"/>
      <c r="AL23" s="17"/>
    </row>
    <row r="24" spans="1:38" ht="13.5" customHeight="1" x14ac:dyDescent="0.2">
      <c r="A24" s="15"/>
      <c r="D24" s="1" t="s">
        <v>27</v>
      </c>
      <c r="E24" s="21"/>
      <c r="F24" s="21">
        <v>1542245</v>
      </c>
      <c r="G24" s="21">
        <v>2387066</v>
      </c>
      <c r="H24" s="21">
        <v>3883480</v>
      </c>
      <c r="I24" s="21">
        <v>4059098</v>
      </c>
      <c r="J24" s="21">
        <v>4280112</v>
      </c>
      <c r="K24" s="21">
        <v>5288747</v>
      </c>
      <c r="L24" s="21">
        <v>5465108</v>
      </c>
      <c r="M24" s="21">
        <v>5168569</v>
      </c>
      <c r="N24" s="21">
        <v>5712078</v>
      </c>
      <c r="O24" s="21">
        <v>5756871</v>
      </c>
      <c r="P24" s="21">
        <v>5334048</v>
      </c>
      <c r="Q24" s="21">
        <v>5516714</v>
      </c>
      <c r="R24" s="21">
        <f>190410+4178942+568195+0+595417</f>
        <v>5532964</v>
      </c>
      <c r="S24" s="21">
        <f>424009+4947094+620183+211668+1034916</f>
        <v>7237870</v>
      </c>
      <c r="T24" s="21">
        <f>875193+5686973+738741+201615+634944</f>
        <v>8137466</v>
      </c>
      <c r="U24" s="21">
        <f>1126821+6330560+875791+205205+583240</f>
        <v>9121617</v>
      </c>
      <c r="V24" s="21">
        <f>849465+4774930+1468345+807476+2448870</f>
        <v>10349086</v>
      </c>
      <c r="W24" s="21">
        <f>525883+5147977+1432527+563173+2111678</f>
        <v>9781238</v>
      </c>
      <c r="X24" s="21">
        <f>465072+5701988+1482792+651109+1912523</f>
        <v>10213484</v>
      </c>
      <c r="Y24" s="21">
        <f>909075+6930955+1603326+959784+1870435</f>
        <v>12273575</v>
      </c>
      <c r="Z24" s="21">
        <f>1715168+7935791+1836396+732217+1774223</f>
        <v>13993795</v>
      </c>
      <c r="AA24" s="21">
        <f>2684792+9251695+1951751+754160+2758587</f>
        <v>17400985</v>
      </c>
      <c r="AB24" s="21">
        <f>2807594+10302035+2240594+435745+3175389</f>
        <v>18961357</v>
      </c>
      <c r="AC24" s="21">
        <f>3053570+9849556+2604568+340800+2659681</f>
        <v>18508175</v>
      </c>
      <c r="AD24" s="21">
        <f>3310261+9933364+2633594+537349+2891998</f>
        <v>19306566</v>
      </c>
      <c r="AE24" s="21">
        <f>3420094+9116773+2389055+666989+2911334</f>
        <v>18504245</v>
      </c>
      <c r="AF24" s="21">
        <f>3792218+9671202+2422626+565744+3292664</f>
        <v>19744454</v>
      </c>
      <c r="AG24" s="21">
        <f>3688200+10029411+2343598+553287+5049449</f>
        <v>21663945</v>
      </c>
      <c r="AH24" s="21">
        <f>3066747+9422253+2281516+522789+2765017</f>
        <v>18058322</v>
      </c>
      <c r="AI24" s="21">
        <f>2227757+8697838+2103096+558258+10659421</f>
        <v>24246370</v>
      </c>
      <c r="AJ24" s="21">
        <f>1109415+9497206+1982346+591694+3467800</f>
        <v>16648461</v>
      </c>
      <c r="AK24" s="21">
        <f>1036801+10454105+1964290+781424+3749525</f>
        <v>17986145</v>
      </c>
      <c r="AL24" s="22"/>
    </row>
    <row r="25" spans="1:38" ht="13.5" customHeight="1" x14ac:dyDescent="0.2">
      <c r="A25" s="15"/>
      <c r="D25" s="1" t="s">
        <v>28</v>
      </c>
      <c r="E25" s="23"/>
      <c r="F25" s="23">
        <v>15394</v>
      </c>
      <c r="G25" s="23">
        <v>21427</v>
      </c>
      <c r="H25" s="23">
        <v>16527</v>
      </c>
      <c r="I25" s="23">
        <v>6800</v>
      </c>
      <c r="J25" s="23">
        <v>4100</v>
      </c>
      <c r="K25" s="23">
        <v>2200</v>
      </c>
      <c r="L25" s="23">
        <v>2200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f>0+0</f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  <c r="AC25" s="23">
        <v>0</v>
      </c>
      <c r="AD25" s="23">
        <v>1200</v>
      </c>
      <c r="AE25" s="23">
        <v>0</v>
      </c>
      <c r="AF25" s="23">
        <v>0</v>
      </c>
      <c r="AG25" s="23">
        <v>0</v>
      </c>
      <c r="AH25" s="23">
        <v>0</v>
      </c>
      <c r="AI25" s="23">
        <v>0</v>
      </c>
      <c r="AJ25" s="23">
        <v>0</v>
      </c>
      <c r="AK25" s="23">
        <v>0</v>
      </c>
      <c r="AL25" s="22"/>
    </row>
    <row r="26" spans="1:38" ht="13.5" customHeight="1" x14ac:dyDescent="0.2">
      <c r="A26" s="15"/>
      <c r="D26" s="1" t="s">
        <v>29</v>
      </c>
      <c r="E26" s="23"/>
      <c r="F26" s="24">
        <v>1655524</v>
      </c>
      <c r="G26" s="24">
        <v>2218672</v>
      </c>
      <c r="H26" s="24">
        <v>2393708</v>
      </c>
      <c r="I26" s="24">
        <v>1236082</v>
      </c>
      <c r="J26" s="24">
        <v>1465384</v>
      </c>
      <c r="K26" s="24">
        <v>1568285</v>
      </c>
      <c r="L26" s="24">
        <v>2885181</v>
      </c>
      <c r="M26" s="24">
        <v>1195940</v>
      </c>
      <c r="N26" s="24">
        <v>1208596</v>
      </c>
      <c r="O26" s="24">
        <v>549947</v>
      </c>
      <c r="P26" s="24">
        <v>1091498</v>
      </c>
      <c r="Q26" s="24">
        <v>867848</v>
      </c>
      <c r="R26" s="24">
        <f>0+1425403</f>
        <v>1425403</v>
      </c>
      <c r="S26" s="24">
        <f>385793</f>
        <v>385793</v>
      </c>
      <c r="T26" s="24">
        <f>1487344</f>
        <v>1487344</v>
      </c>
      <c r="U26" s="24">
        <f>1600532</f>
        <v>1600532</v>
      </c>
      <c r="V26" s="24">
        <v>1684218</v>
      </c>
      <c r="W26" s="24">
        <f>3254204</f>
        <v>3254204</v>
      </c>
      <c r="X26" s="24">
        <f>1469473</f>
        <v>1469473</v>
      </c>
      <c r="Y26" s="24">
        <f>3405547</f>
        <v>3405547</v>
      </c>
      <c r="Z26" s="24">
        <v>5162626</v>
      </c>
      <c r="AA26" s="24">
        <v>1813479</v>
      </c>
      <c r="AB26" s="24">
        <v>1951968</v>
      </c>
      <c r="AC26" s="24">
        <v>2530366</v>
      </c>
      <c r="AD26" s="24">
        <v>2099533</v>
      </c>
      <c r="AE26" s="24">
        <v>2323903</v>
      </c>
      <c r="AF26" s="24">
        <v>2517778</v>
      </c>
      <c r="AG26" s="24">
        <v>2473233</v>
      </c>
      <c r="AH26" s="24">
        <v>1782073</v>
      </c>
      <c r="AI26" s="24">
        <v>2065165</v>
      </c>
      <c r="AJ26" s="24">
        <v>1995581</v>
      </c>
      <c r="AK26" s="24">
        <v>1815009</v>
      </c>
      <c r="AL26" s="22"/>
    </row>
    <row r="27" spans="1:38" ht="13.5" customHeight="1" x14ac:dyDescent="0.2">
      <c r="A27" s="15"/>
      <c r="E27" s="21"/>
      <c r="F27" s="21">
        <f t="shared" ref="F27:L27" si="23">F24+F25+F26</f>
        <v>3213163</v>
      </c>
      <c r="G27" s="21">
        <f t="shared" si="23"/>
        <v>4627165</v>
      </c>
      <c r="H27" s="21">
        <f t="shared" si="23"/>
        <v>6293715</v>
      </c>
      <c r="I27" s="21">
        <f t="shared" si="23"/>
        <v>5301980</v>
      </c>
      <c r="J27" s="21">
        <f t="shared" si="23"/>
        <v>5749596</v>
      </c>
      <c r="K27" s="21">
        <f t="shared" si="23"/>
        <v>6859232</v>
      </c>
      <c r="L27" s="21">
        <f t="shared" si="23"/>
        <v>8352489</v>
      </c>
      <c r="M27" s="21">
        <f t="shared" ref="M27:AA27" si="24">SUM(M24:M26)</f>
        <v>6364509</v>
      </c>
      <c r="N27" s="21">
        <f t="shared" si="24"/>
        <v>6920674</v>
      </c>
      <c r="O27" s="21">
        <f t="shared" si="24"/>
        <v>6306818</v>
      </c>
      <c r="P27" s="21">
        <f t="shared" si="24"/>
        <v>6425546</v>
      </c>
      <c r="Q27" s="21">
        <f t="shared" si="24"/>
        <v>6384562</v>
      </c>
      <c r="R27" s="21">
        <f t="shared" si="24"/>
        <v>6958367</v>
      </c>
      <c r="S27" s="21">
        <f t="shared" si="24"/>
        <v>7623663</v>
      </c>
      <c r="T27" s="21">
        <f t="shared" si="24"/>
        <v>9624810</v>
      </c>
      <c r="U27" s="21">
        <f t="shared" si="24"/>
        <v>10722149</v>
      </c>
      <c r="V27" s="21">
        <f t="shared" si="24"/>
        <v>12033304</v>
      </c>
      <c r="W27" s="21">
        <f t="shared" si="24"/>
        <v>13035442</v>
      </c>
      <c r="X27" s="21">
        <f t="shared" si="24"/>
        <v>11682957</v>
      </c>
      <c r="Y27" s="21">
        <f t="shared" si="24"/>
        <v>15679122</v>
      </c>
      <c r="Z27" s="21">
        <f t="shared" si="24"/>
        <v>19156421</v>
      </c>
      <c r="AA27" s="21">
        <f t="shared" si="24"/>
        <v>19214464</v>
      </c>
      <c r="AB27" s="21">
        <f t="shared" ref="AB27:AC27" si="25">SUM(AB24:AB26)</f>
        <v>20913325</v>
      </c>
      <c r="AC27" s="21">
        <f t="shared" si="25"/>
        <v>21038541</v>
      </c>
      <c r="AD27" s="21">
        <f t="shared" ref="AD27:AE27" si="26">SUM(AD24:AD26)</f>
        <v>21407299</v>
      </c>
      <c r="AE27" s="21">
        <f t="shared" si="26"/>
        <v>20828148</v>
      </c>
      <c r="AF27" s="21">
        <f t="shared" ref="AF27:AG27" si="27">SUM(AF24:AF26)</f>
        <v>22262232</v>
      </c>
      <c r="AG27" s="21">
        <f t="shared" si="27"/>
        <v>24137178</v>
      </c>
      <c r="AH27" s="21">
        <f t="shared" ref="AH27:AI27" si="28">SUM(AH24:AH26)</f>
        <v>19840395</v>
      </c>
      <c r="AI27" s="21">
        <f t="shared" si="28"/>
        <v>26311535</v>
      </c>
      <c r="AJ27" s="21">
        <f t="shared" ref="AJ27:AK27" si="29">SUM(AJ24:AJ26)</f>
        <v>18644042</v>
      </c>
      <c r="AK27" s="21">
        <f t="shared" si="29"/>
        <v>19801154</v>
      </c>
      <c r="AL27" s="22"/>
    </row>
    <row r="28" spans="1:38" ht="13.5" hidden="1" customHeight="1" x14ac:dyDescent="0.2">
      <c r="A28" s="15"/>
      <c r="D28" s="26"/>
      <c r="E28" s="37"/>
      <c r="F28" s="28">
        <f>(F15+F21)*-1</f>
        <v>94782</v>
      </c>
      <c r="G28" s="28">
        <f>(G15+G21)*-1</f>
        <v>106831</v>
      </c>
      <c r="H28" s="30"/>
      <c r="I28" s="28">
        <f t="shared" ref="I28:AA28" si="30">(I15+I21)*-1</f>
        <v>117995</v>
      </c>
      <c r="J28" s="28">
        <f t="shared" si="30"/>
        <v>3887</v>
      </c>
      <c r="K28" s="28">
        <f t="shared" si="30"/>
        <v>10226</v>
      </c>
      <c r="L28" s="28">
        <f t="shared" si="30"/>
        <v>6053</v>
      </c>
      <c r="M28" s="28">
        <f t="shared" si="30"/>
        <v>39777</v>
      </c>
      <c r="N28" s="28">
        <f t="shared" si="30"/>
        <v>15335</v>
      </c>
      <c r="O28" s="28">
        <f t="shared" si="30"/>
        <v>24386</v>
      </c>
      <c r="P28" s="28">
        <f t="shared" si="30"/>
        <v>27877</v>
      </c>
      <c r="Q28" s="28">
        <f t="shared" si="30"/>
        <v>305833</v>
      </c>
      <c r="R28" s="28">
        <f t="shared" si="30"/>
        <v>32776</v>
      </c>
      <c r="S28" s="28">
        <f t="shared" si="30"/>
        <v>9439</v>
      </c>
      <c r="T28" s="28">
        <f t="shared" si="30"/>
        <v>5500</v>
      </c>
      <c r="U28" s="28">
        <f t="shared" si="30"/>
        <v>19867</v>
      </c>
      <c r="V28" s="28">
        <f t="shared" si="30"/>
        <v>10658</v>
      </c>
      <c r="W28" s="28">
        <f t="shared" si="30"/>
        <v>1500</v>
      </c>
      <c r="X28" s="28">
        <f t="shared" si="30"/>
        <v>2000</v>
      </c>
      <c r="Y28" s="28">
        <f t="shared" si="30"/>
        <v>1000</v>
      </c>
      <c r="Z28" s="28">
        <f t="shared" si="30"/>
        <v>1000</v>
      </c>
      <c r="AA28" s="28">
        <f t="shared" si="30"/>
        <v>26009</v>
      </c>
      <c r="AB28" s="28">
        <f t="shared" ref="AB28:AC28" si="31">(AB15+AB21)*-1</f>
        <v>51578</v>
      </c>
      <c r="AC28" s="28">
        <f t="shared" si="31"/>
        <v>1000</v>
      </c>
      <c r="AD28" s="28">
        <f t="shared" ref="AD28:AE28" si="32">(AD15+AD21)*-1</f>
        <v>0</v>
      </c>
      <c r="AE28" s="28">
        <f t="shared" si="32"/>
        <v>7389</v>
      </c>
      <c r="AF28" s="28">
        <f t="shared" ref="AF28:AG28" si="33">(AF15+AF21)*-1</f>
        <v>0</v>
      </c>
      <c r="AG28" s="28">
        <f t="shared" si="33"/>
        <v>0</v>
      </c>
      <c r="AH28" s="28">
        <f t="shared" ref="AH28" si="34">(AH15+AH21)*-1</f>
        <v>2796</v>
      </c>
      <c r="AI28" s="28">
        <f>(AI15+AI21)*-1</f>
        <v>0</v>
      </c>
      <c r="AJ28" s="28">
        <f>(AJ15+AJ21)*-1</f>
        <v>10108</v>
      </c>
      <c r="AK28" s="28">
        <f>(AK15+AK21)*-1</f>
        <v>8568</v>
      </c>
      <c r="AL28" s="22"/>
    </row>
    <row r="29" spans="1:38" ht="13.5" customHeight="1" x14ac:dyDescent="0.2">
      <c r="A29" s="15"/>
      <c r="D29" s="26"/>
      <c r="E29" s="27" t="s">
        <v>33</v>
      </c>
      <c r="F29" s="29">
        <f t="shared" ref="F29:L29" si="35">SUM(F27:F28)</f>
        <v>3307945</v>
      </c>
      <c r="G29" s="29">
        <f t="shared" si="35"/>
        <v>4733996</v>
      </c>
      <c r="H29" s="29"/>
      <c r="I29" s="29">
        <f t="shared" si="35"/>
        <v>5419975</v>
      </c>
      <c r="J29" s="29">
        <f t="shared" si="35"/>
        <v>5753483</v>
      </c>
      <c r="K29" s="29">
        <f t="shared" si="35"/>
        <v>6869458</v>
      </c>
      <c r="L29" s="29">
        <f t="shared" si="35"/>
        <v>8358542</v>
      </c>
      <c r="M29" s="29">
        <f t="shared" ref="M29:AA29" si="36">SUM(M27:M28)</f>
        <v>6404286</v>
      </c>
      <c r="N29" s="29">
        <f t="shared" si="36"/>
        <v>6936009</v>
      </c>
      <c r="O29" s="29">
        <f t="shared" si="36"/>
        <v>6331204</v>
      </c>
      <c r="P29" s="29">
        <f t="shared" si="36"/>
        <v>6453423</v>
      </c>
      <c r="Q29" s="29">
        <f t="shared" si="36"/>
        <v>6690395</v>
      </c>
      <c r="R29" s="29">
        <f t="shared" si="36"/>
        <v>6991143</v>
      </c>
      <c r="S29" s="29">
        <f t="shared" si="36"/>
        <v>7633102</v>
      </c>
      <c r="T29" s="29">
        <f t="shared" si="36"/>
        <v>9630310</v>
      </c>
      <c r="U29" s="29">
        <f t="shared" si="36"/>
        <v>10742016</v>
      </c>
      <c r="V29" s="29">
        <f t="shared" si="36"/>
        <v>12043962</v>
      </c>
      <c r="W29" s="29">
        <f t="shared" si="36"/>
        <v>13036942</v>
      </c>
      <c r="X29" s="29">
        <f t="shared" si="36"/>
        <v>11684957</v>
      </c>
      <c r="Y29" s="29">
        <f t="shared" si="36"/>
        <v>15680122</v>
      </c>
      <c r="Z29" s="29">
        <f t="shared" si="36"/>
        <v>19157421</v>
      </c>
      <c r="AA29" s="29">
        <f t="shared" si="36"/>
        <v>19240473</v>
      </c>
      <c r="AB29" s="29">
        <f t="shared" ref="AB29:AC29" si="37">SUM(AB27:AB28)</f>
        <v>20964903</v>
      </c>
      <c r="AC29" s="29">
        <f t="shared" si="37"/>
        <v>21039541</v>
      </c>
      <c r="AD29" s="29">
        <f t="shared" ref="AD29:AE29" si="38">SUM(AD27:AD28)</f>
        <v>21407299</v>
      </c>
      <c r="AE29" s="29">
        <f t="shared" si="38"/>
        <v>20835537</v>
      </c>
      <c r="AF29" s="29">
        <f t="shared" ref="AF29:AG29" si="39">SUM(AF27:AF28)</f>
        <v>22262232</v>
      </c>
      <c r="AG29" s="29">
        <f t="shared" si="39"/>
        <v>24137178</v>
      </c>
      <c r="AH29" s="29">
        <f t="shared" ref="AH29:AI29" si="40">SUM(AH27:AH28)</f>
        <v>19843191</v>
      </c>
      <c r="AI29" s="29">
        <f t="shared" si="40"/>
        <v>26311535</v>
      </c>
      <c r="AJ29" s="29">
        <f t="shared" ref="AJ29:AK29" si="41">SUM(AJ27:AJ28)</f>
        <v>18654150</v>
      </c>
      <c r="AK29" s="29">
        <f t="shared" si="41"/>
        <v>19809722</v>
      </c>
      <c r="AL29" s="22"/>
    </row>
    <row r="30" spans="1:38" ht="13.5" customHeight="1" x14ac:dyDescent="0.2">
      <c r="A30" s="15"/>
      <c r="C30" s="2" t="s">
        <v>34</v>
      </c>
      <c r="D30" s="2"/>
      <c r="E30" s="21"/>
      <c r="AL30" s="17"/>
    </row>
    <row r="31" spans="1:38" ht="13.5" customHeight="1" x14ac:dyDescent="0.2">
      <c r="A31" s="15"/>
      <c r="D31" s="1" t="s">
        <v>27</v>
      </c>
      <c r="E31" s="21"/>
      <c r="F31" s="21">
        <v>1066664</v>
      </c>
      <c r="G31" s="21">
        <v>1223158</v>
      </c>
      <c r="H31" s="21">
        <v>1689058</v>
      </c>
      <c r="I31" s="21">
        <v>1910883</v>
      </c>
      <c r="J31" s="21">
        <v>2013221</v>
      </c>
      <c r="K31" s="21">
        <v>1855011</v>
      </c>
      <c r="L31" s="21">
        <v>989488</v>
      </c>
      <c r="M31" s="21">
        <v>997659</v>
      </c>
      <c r="N31" s="21">
        <v>1858448</v>
      </c>
      <c r="O31" s="21">
        <v>2498796</v>
      </c>
      <c r="P31" s="21">
        <v>3651442</v>
      </c>
      <c r="Q31" s="21">
        <v>2259223</v>
      </c>
      <c r="R31" s="21">
        <f>1578520</f>
        <v>1578520</v>
      </c>
      <c r="S31" s="21">
        <f>6811491</f>
        <v>6811491</v>
      </c>
      <c r="T31" s="21">
        <f>1884053</f>
        <v>1884053</v>
      </c>
      <c r="U31" s="21">
        <f>1626925</f>
        <v>1626925</v>
      </c>
      <c r="V31" s="21">
        <f>1500+1614011</f>
        <v>1615511</v>
      </c>
      <c r="W31" s="21">
        <f>1500+1474435</f>
        <v>1475935</v>
      </c>
      <c r="X31" s="21">
        <f>7050+1486428</f>
        <v>1493478</v>
      </c>
      <c r="Y31" s="21">
        <f>1729477</f>
        <v>1729477</v>
      </c>
      <c r="Z31" s="21">
        <f>9200+1905648</f>
        <v>1914848</v>
      </c>
      <c r="AA31" s="21">
        <f>1594921</f>
        <v>1594921</v>
      </c>
      <c r="AB31" s="21">
        <f>1339548</f>
        <v>1339548</v>
      </c>
      <c r="AC31" s="21">
        <v>1483797</v>
      </c>
      <c r="AD31" s="21">
        <v>1389112</v>
      </c>
      <c r="AE31" s="21">
        <v>1477944</v>
      </c>
      <c r="AF31" s="21">
        <v>1515216</v>
      </c>
      <c r="AG31" s="21">
        <f>0+1587201</f>
        <v>1587201</v>
      </c>
      <c r="AH31" s="21">
        <v>1522087</v>
      </c>
      <c r="AI31" s="21">
        <v>1574833</v>
      </c>
      <c r="AJ31" s="21">
        <f>3200+1622594</f>
        <v>1625794</v>
      </c>
      <c r="AK31" s="21">
        <v>1777168</v>
      </c>
      <c r="AL31" s="22"/>
    </row>
    <row r="32" spans="1:38" ht="13.5" customHeight="1" x14ac:dyDescent="0.2">
      <c r="A32" s="15"/>
      <c r="D32" s="1" t="s">
        <v>28</v>
      </c>
      <c r="E32" s="23"/>
      <c r="F32" s="31" t="s">
        <v>35</v>
      </c>
      <c r="G32" s="31" t="s">
        <v>35</v>
      </c>
      <c r="H32" s="31" t="s">
        <v>35</v>
      </c>
      <c r="I32" s="31" t="s">
        <v>35</v>
      </c>
      <c r="J32" s="31" t="s">
        <v>35</v>
      </c>
      <c r="K32" s="31" t="s">
        <v>35</v>
      </c>
      <c r="L32" s="31" t="s">
        <v>35</v>
      </c>
      <c r="M32" s="31" t="s">
        <v>35</v>
      </c>
      <c r="N32" s="31" t="s">
        <v>35</v>
      </c>
      <c r="O32" s="31" t="s">
        <v>35</v>
      </c>
      <c r="P32" s="31" t="s">
        <v>35</v>
      </c>
      <c r="Q32" s="24">
        <v>2475047</v>
      </c>
      <c r="R32" s="24">
        <f>3665423</f>
        <v>3665423</v>
      </c>
      <c r="S32" s="24">
        <f>4759834</f>
        <v>4759834</v>
      </c>
      <c r="T32" s="24">
        <f>5843521</f>
        <v>5843521</v>
      </c>
      <c r="U32" s="24">
        <v>5490465</v>
      </c>
      <c r="V32" s="24">
        <f>4483314</f>
        <v>4483314</v>
      </c>
      <c r="W32" s="24">
        <f>2560401</f>
        <v>2560401</v>
      </c>
      <c r="X32" s="24">
        <f>2393059</f>
        <v>2393059</v>
      </c>
      <c r="Y32" s="24">
        <f>2552662</f>
        <v>2552662</v>
      </c>
      <c r="Z32" s="24">
        <f>2770614+21422</f>
        <v>2792036</v>
      </c>
      <c r="AA32" s="24">
        <f>2507483+715360</f>
        <v>3222843</v>
      </c>
      <c r="AB32" s="24">
        <f>2005451+709190</f>
        <v>2714641</v>
      </c>
      <c r="AC32" s="24">
        <f>2067882+824201</f>
        <v>2892083</v>
      </c>
      <c r="AD32" s="24">
        <f>2406253+812641</f>
        <v>3218894</v>
      </c>
      <c r="AE32" s="24">
        <f>2494956+815806</f>
        <v>3310762</v>
      </c>
      <c r="AF32" s="24">
        <f>2931029+669913</f>
        <v>3600942</v>
      </c>
      <c r="AG32" s="24">
        <f>3863681+346253</f>
        <v>4209934</v>
      </c>
      <c r="AH32" s="24">
        <f>3566218+219710</f>
        <v>3785928</v>
      </c>
      <c r="AI32" s="24">
        <f>2875563+154293</f>
        <v>3029856</v>
      </c>
      <c r="AJ32" s="24">
        <f>2969208+45223</f>
        <v>3014431</v>
      </c>
      <c r="AK32" s="24">
        <f>3503249+14753</f>
        <v>3518002</v>
      </c>
      <c r="AL32" s="22"/>
    </row>
    <row r="33" spans="1:38" ht="13.5" customHeight="1" x14ac:dyDescent="0.2">
      <c r="A33" s="15"/>
      <c r="E33" s="23"/>
      <c r="F33" s="21">
        <f t="shared" ref="F33:L33" si="42">SUM(F31:F32)</f>
        <v>1066664</v>
      </c>
      <c r="G33" s="21">
        <f t="shared" si="42"/>
        <v>1223158</v>
      </c>
      <c r="H33" s="21">
        <f t="shared" si="42"/>
        <v>1689058</v>
      </c>
      <c r="I33" s="21">
        <f t="shared" si="42"/>
        <v>1910883</v>
      </c>
      <c r="J33" s="21">
        <f t="shared" si="42"/>
        <v>2013221</v>
      </c>
      <c r="K33" s="21">
        <f t="shared" si="42"/>
        <v>1855011</v>
      </c>
      <c r="L33" s="21">
        <f t="shared" si="42"/>
        <v>989488</v>
      </c>
      <c r="M33" s="21">
        <f t="shared" ref="M33:O33" si="43">M31</f>
        <v>997659</v>
      </c>
      <c r="N33" s="21">
        <f t="shared" si="43"/>
        <v>1858448</v>
      </c>
      <c r="O33" s="21">
        <f t="shared" si="43"/>
        <v>2498796</v>
      </c>
      <c r="P33" s="21">
        <f>P31</f>
        <v>3651442</v>
      </c>
      <c r="Q33" s="21">
        <f t="shared" ref="Q33:AA33" si="44">SUM(Q31:Q32)</f>
        <v>4734270</v>
      </c>
      <c r="R33" s="21">
        <f t="shared" si="44"/>
        <v>5243943</v>
      </c>
      <c r="S33" s="21">
        <f t="shared" si="44"/>
        <v>11571325</v>
      </c>
      <c r="T33" s="21">
        <f t="shared" si="44"/>
        <v>7727574</v>
      </c>
      <c r="U33" s="21">
        <f t="shared" si="44"/>
        <v>7117390</v>
      </c>
      <c r="V33" s="21">
        <f t="shared" si="44"/>
        <v>6098825</v>
      </c>
      <c r="W33" s="21">
        <f t="shared" si="44"/>
        <v>4036336</v>
      </c>
      <c r="X33" s="21">
        <f t="shared" si="44"/>
        <v>3886537</v>
      </c>
      <c r="Y33" s="21">
        <f t="shared" si="44"/>
        <v>4282139</v>
      </c>
      <c r="Z33" s="21">
        <f t="shared" si="44"/>
        <v>4706884</v>
      </c>
      <c r="AA33" s="21">
        <f t="shared" si="44"/>
        <v>4817764</v>
      </c>
      <c r="AB33" s="21">
        <f t="shared" ref="AB33:AC33" si="45">SUM(AB31:AB32)</f>
        <v>4054189</v>
      </c>
      <c r="AC33" s="21">
        <f t="shared" si="45"/>
        <v>4375880</v>
      </c>
      <c r="AD33" s="21">
        <f t="shared" ref="AD33:AE33" si="46">SUM(AD31:AD32)</f>
        <v>4608006</v>
      </c>
      <c r="AE33" s="21">
        <f t="shared" si="46"/>
        <v>4788706</v>
      </c>
      <c r="AF33" s="21">
        <f t="shared" ref="AF33:AG33" si="47">SUM(AF31:AF32)</f>
        <v>5116158</v>
      </c>
      <c r="AG33" s="21">
        <f t="shared" si="47"/>
        <v>5797135</v>
      </c>
      <c r="AH33" s="21">
        <f t="shared" ref="AH33:AI33" si="48">SUM(AH31:AH32)</f>
        <v>5308015</v>
      </c>
      <c r="AI33" s="21">
        <f t="shared" si="48"/>
        <v>4604689</v>
      </c>
      <c r="AJ33" s="21">
        <f t="shared" ref="AJ33:AK33" si="49">SUM(AJ31:AJ32)</f>
        <v>4640225</v>
      </c>
      <c r="AK33" s="21">
        <f t="shared" si="49"/>
        <v>5295170</v>
      </c>
      <c r="AL33" s="17"/>
    </row>
    <row r="34" spans="1:38" ht="13.5" customHeight="1" x14ac:dyDescent="0.2">
      <c r="A34" s="15"/>
      <c r="C34" s="2" t="s">
        <v>36</v>
      </c>
      <c r="D34" s="2"/>
      <c r="E34" s="23"/>
      <c r="AL34" s="17"/>
    </row>
    <row r="35" spans="1:38" ht="13.5" customHeight="1" x14ac:dyDescent="0.2">
      <c r="A35" s="15"/>
      <c r="D35" s="1" t="s">
        <v>27</v>
      </c>
      <c r="E35" s="21"/>
      <c r="F35" s="21">
        <f t="shared" ref="F35:AA36" si="50">F11+F18+F24+F31</f>
        <v>5774152</v>
      </c>
      <c r="G35" s="21">
        <f t="shared" si="50"/>
        <v>6573822</v>
      </c>
      <c r="H35" s="21">
        <f t="shared" si="50"/>
        <v>8857324</v>
      </c>
      <c r="I35" s="21">
        <f t="shared" si="50"/>
        <v>9461244</v>
      </c>
      <c r="J35" s="21">
        <f t="shared" si="50"/>
        <v>10289651</v>
      </c>
      <c r="K35" s="21">
        <f t="shared" si="50"/>
        <v>11565018</v>
      </c>
      <c r="L35" s="21">
        <f t="shared" si="50"/>
        <v>11948590</v>
      </c>
      <c r="M35" s="21">
        <f t="shared" si="50"/>
        <v>11913146</v>
      </c>
      <c r="N35" s="21">
        <f t="shared" si="50"/>
        <v>14353897</v>
      </c>
      <c r="O35" s="21">
        <f t="shared" si="50"/>
        <v>16414377</v>
      </c>
      <c r="P35" s="21">
        <f t="shared" si="50"/>
        <v>17143726</v>
      </c>
      <c r="Q35" s="21">
        <f t="shared" si="50"/>
        <v>16890638</v>
      </c>
      <c r="R35" s="21">
        <f t="shared" si="50"/>
        <v>16291672</v>
      </c>
      <c r="S35" s="21">
        <f t="shared" si="50"/>
        <v>24222310</v>
      </c>
      <c r="T35" s="21">
        <f t="shared" si="50"/>
        <v>20101260</v>
      </c>
      <c r="U35" s="21">
        <f t="shared" si="50"/>
        <v>22830219</v>
      </c>
      <c r="V35" s="21">
        <f t="shared" si="50"/>
        <v>25744450</v>
      </c>
      <c r="W35" s="21">
        <f t="shared" si="50"/>
        <v>30737128</v>
      </c>
      <c r="X35" s="21">
        <f t="shared" si="50"/>
        <v>31376015</v>
      </c>
      <c r="Y35" s="21">
        <f t="shared" si="50"/>
        <v>33504612</v>
      </c>
      <c r="Z35" s="21">
        <f t="shared" si="50"/>
        <v>35186701</v>
      </c>
      <c r="AA35" s="21">
        <f t="shared" si="50"/>
        <v>40317265</v>
      </c>
      <c r="AB35" s="21">
        <f t="shared" ref="AB35:AC35" si="51">AB11+AB18+AB24+AB31</f>
        <v>42608682</v>
      </c>
      <c r="AC35" s="21">
        <f t="shared" si="51"/>
        <v>41747876</v>
      </c>
      <c r="AD35" s="21">
        <f t="shared" ref="AD35:AE35" si="52">AD11+AD18+AD24+AD31</f>
        <v>40409074</v>
      </c>
      <c r="AE35" s="21">
        <f t="shared" si="52"/>
        <v>40460720</v>
      </c>
      <c r="AF35" s="21">
        <f t="shared" ref="AF35:AG35" si="53">AF11+AF18+AF24+AF31</f>
        <v>41719810</v>
      </c>
      <c r="AG35" s="21">
        <f t="shared" si="53"/>
        <v>41869581</v>
      </c>
      <c r="AH35" s="21">
        <f t="shared" ref="AH35:AI35" si="54">AH11+AH18+AH24+AH31</f>
        <v>39481828</v>
      </c>
      <c r="AI35" s="21">
        <f t="shared" si="54"/>
        <v>43031096</v>
      </c>
      <c r="AJ35" s="21">
        <f t="shared" ref="AJ35:AK35" si="55">AJ11+AJ18+AJ24+AJ31</f>
        <v>35893874</v>
      </c>
      <c r="AK35" s="21">
        <f t="shared" si="55"/>
        <v>38681693</v>
      </c>
      <c r="AL35" s="22"/>
    </row>
    <row r="36" spans="1:38" ht="13.5" customHeight="1" x14ac:dyDescent="0.2">
      <c r="A36" s="15"/>
      <c r="D36" s="1" t="s">
        <v>28</v>
      </c>
      <c r="E36" s="23"/>
      <c r="F36" s="23">
        <f t="shared" ref="F36:L36" si="56">F12+F19+F25</f>
        <v>5840360</v>
      </c>
      <c r="G36" s="23">
        <f t="shared" si="56"/>
        <v>9842692</v>
      </c>
      <c r="H36" s="23">
        <f t="shared" si="56"/>
        <v>15565174</v>
      </c>
      <c r="I36" s="23">
        <f t="shared" si="56"/>
        <v>20566187</v>
      </c>
      <c r="J36" s="23">
        <f t="shared" si="56"/>
        <v>23317811</v>
      </c>
      <c r="K36" s="23">
        <f t="shared" si="56"/>
        <v>24005215</v>
      </c>
      <c r="L36" s="23">
        <f t="shared" si="56"/>
        <v>23977753</v>
      </c>
      <c r="M36" s="23">
        <f>M12+M19+M25</f>
        <v>24058693</v>
      </c>
      <c r="N36" s="23">
        <f>N12+N19+N25</f>
        <v>28076894</v>
      </c>
      <c r="O36" s="23">
        <f>O12+O19+O25</f>
        <v>28202053</v>
      </c>
      <c r="P36" s="23">
        <f>P12+P19+P25</f>
        <v>31994246</v>
      </c>
      <c r="Q36" s="23">
        <f>Q12+Q19+Q25+Q32</f>
        <v>40025938</v>
      </c>
      <c r="R36" s="23">
        <f>R12+R19+R25+R32</f>
        <v>43107445</v>
      </c>
      <c r="S36" s="23">
        <f t="shared" si="50"/>
        <v>45896372</v>
      </c>
      <c r="T36" s="23">
        <f t="shared" si="50"/>
        <v>48453146</v>
      </c>
      <c r="U36" s="23">
        <f t="shared" si="50"/>
        <v>48955076</v>
      </c>
      <c r="V36" s="23">
        <f t="shared" si="50"/>
        <v>53699936</v>
      </c>
      <c r="W36" s="23">
        <f t="shared" si="50"/>
        <v>59759456</v>
      </c>
      <c r="X36" s="23">
        <f t="shared" si="50"/>
        <v>59490567</v>
      </c>
      <c r="Y36" s="23">
        <f t="shared" si="50"/>
        <v>59282070</v>
      </c>
      <c r="Z36" s="23">
        <f t="shared" si="50"/>
        <v>57490640</v>
      </c>
      <c r="AA36" s="23">
        <f t="shared" si="50"/>
        <v>54977905</v>
      </c>
      <c r="AB36" s="23">
        <f t="shared" ref="AB36:AC36" si="57">AB12+AB19+AB25+AB32</f>
        <v>50367573</v>
      </c>
      <c r="AC36" s="23">
        <f t="shared" si="57"/>
        <v>46273594</v>
      </c>
      <c r="AD36" s="23">
        <f t="shared" ref="AD36:AE36" si="58">AD12+AD19+AD25+AD32</f>
        <v>41368250</v>
      </c>
      <c r="AE36" s="23">
        <f t="shared" si="58"/>
        <v>38180787</v>
      </c>
      <c r="AF36" s="23">
        <f t="shared" ref="AF36:AG36" si="59">AF12+AF19+AF25+AF32</f>
        <v>36597915</v>
      </c>
      <c r="AG36" s="23">
        <f t="shared" si="59"/>
        <v>32636765</v>
      </c>
      <c r="AH36" s="23">
        <f t="shared" ref="AH36:AI36" si="60">AH12+AH19+AH25+AH32</f>
        <v>29060808</v>
      </c>
      <c r="AI36" s="23">
        <f t="shared" si="60"/>
        <v>24982574</v>
      </c>
      <c r="AJ36" s="23">
        <f t="shared" ref="AJ36:AK36" si="61">AJ12+AJ19+AJ25+AJ32</f>
        <v>24960218</v>
      </c>
      <c r="AK36" s="23">
        <f t="shared" si="61"/>
        <v>24612801</v>
      </c>
      <c r="AL36" s="22"/>
    </row>
    <row r="37" spans="1:38" ht="13.5" customHeight="1" x14ac:dyDescent="0.2">
      <c r="A37" s="15"/>
      <c r="D37" s="1" t="s">
        <v>29</v>
      </c>
      <c r="E37" s="23"/>
      <c r="F37" s="24">
        <f t="shared" ref="F37:AA37" si="62">F13+F26</f>
        <v>1855899</v>
      </c>
      <c r="G37" s="24">
        <f t="shared" si="62"/>
        <v>2379060</v>
      </c>
      <c r="H37" s="24">
        <f t="shared" si="62"/>
        <v>2567702</v>
      </c>
      <c r="I37" s="24">
        <f t="shared" si="62"/>
        <v>1383601</v>
      </c>
      <c r="J37" s="24">
        <f t="shared" si="62"/>
        <v>1620575</v>
      </c>
      <c r="K37" s="24">
        <f t="shared" si="62"/>
        <v>1858878</v>
      </c>
      <c r="L37" s="24">
        <f t="shared" si="62"/>
        <v>3220195</v>
      </c>
      <c r="M37" s="24">
        <f t="shared" si="62"/>
        <v>1506301</v>
      </c>
      <c r="N37" s="24">
        <f t="shared" si="62"/>
        <v>1447450</v>
      </c>
      <c r="O37" s="24">
        <f t="shared" si="62"/>
        <v>892264</v>
      </c>
      <c r="P37" s="24">
        <f t="shared" si="62"/>
        <v>1790774</v>
      </c>
      <c r="Q37" s="24">
        <f t="shared" si="62"/>
        <v>1261617</v>
      </c>
      <c r="R37" s="24">
        <f t="shared" si="62"/>
        <v>1731540</v>
      </c>
      <c r="S37" s="24">
        <f t="shared" si="62"/>
        <v>1204874</v>
      </c>
      <c r="T37" s="24">
        <f t="shared" si="62"/>
        <v>1821080</v>
      </c>
      <c r="U37" s="24">
        <f t="shared" si="62"/>
        <v>1852419</v>
      </c>
      <c r="V37" s="24">
        <f t="shared" si="62"/>
        <v>1940328</v>
      </c>
      <c r="W37" s="24">
        <f t="shared" si="62"/>
        <v>3558758</v>
      </c>
      <c r="X37" s="24">
        <f t="shared" si="62"/>
        <v>1734201</v>
      </c>
      <c r="Y37" s="24">
        <f t="shared" si="62"/>
        <v>3692917</v>
      </c>
      <c r="Z37" s="24">
        <f t="shared" si="62"/>
        <v>5495767</v>
      </c>
      <c r="AA37" s="24">
        <f t="shared" si="62"/>
        <v>2049767</v>
      </c>
      <c r="AB37" s="24">
        <f t="shared" ref="AB37:AC37" si="63">AB13+AB26</f>
        <v>2167726</v>
      </c>
      <c r="AC37" s="24">
        <f t="shared" si="63"/>
        <v>2743087</v>
      </c>
      <c r="AD37" s="24">
        <f t="shared" ref="AD37:AE37" si="64">AD13+AD26</f>
        <v>2302822</v>
      </c>
      <c r="AE37" s="24">
        <f t="shared" si="64"/>
        <v>2405298</v>
      </c>
      <c r="AF37" s="24">
        <f t="shared" ref="AF37:AG37" si="65">AF13+AF26</f>
        <v>3073108</v>
      </c>
      <c r="AG37" s="24">
        <f t="shared" si="65"/>
        <v>2820835</v>
      </c>
      <c r="AH37" s="24">
        <f t="shared" ref="AH37:AI37" si="66">AH13+AH26</f>
        <v>2080773</v>
      </c>
      <c r="AI37" s="24">
        <f t="shared" si="66"/>
        <v>2328145</v>
      </c>
      <c r="AJ37" s="24">
        <f t="shared" ref="AJ37:AK37" si="67">AJ13+AJ26</f>
        <v>2305082</v>
      </c>
      <c r="AK37" s="24">
        <f t="shared" si="67"/>
        <v>2343595</v>
      </c>
      <c r="AL37" s="22"/>
    </row>
    <row r="38" spans="1:38" ht="13.5" customHeight="1" x14ac:dyDescent="0.2">
      <c r="A38" s="15"/>
      <c r="E38" s="21"/>
      <c r="F38" s="21">
        <f t="shared" ref="F38:L38" si="68">F35+F36+F37</f>
        <v>13470411</v>
      </c>
      <c r="G38" s="21">
        <f t="shared" si="68"/>
        <v>18795574</v>
      </c>
      <c r="H38" s="21">
        <f t="shared" si="68"/>
        <v>26990200</v>
      </c>
      <c r="I38" s="21">
        <f t="shared" si="68"/>
        <v>31411032</v>
      </c>
      <c r="J38" s="21">
        <f t="shared" si="68"/>
        <v>35228037</v>
      </c>
      <c r="K38" s="21">
        <f t="shared" si="68"/>
        <v>37429111</v>
      </c>
      <c r="L38" s="21">
        <f t="shared" si="68"/>
        <v>39146538</v>
      </c>
      <c r="M38" s="21">
        <f t="shared" ref="M38:AA38" si="69">SUM(M35:M37)</f>
        <v>37478140</v>
      </c>
      <c r="N38" s="21">
        <f t="shared" si="69"/>
        <v>43878241</v>
      </c>
      <c r="O38" s="21">
        <f t="shared" si="69"/>
        <v>45508694</v>
      </c>
      <c r="P38" s="21">
        <f t="shared" si="69"/>
        <v>50928746</v>
      </c>
      <c r="Q38" s="21">
        <f t="shared" si="69"/>
        <v>58178193</v>
      </c>
      <c r="R38" s="21">
        <f t="shared" si="69"/>
        <v>61130657</v>
      </c>
      <c r="S38" s="21">
        <f t="shared" si="69"/>
        <v>71323556</v>
      </c>
      <c r="T38" s="21">
        <f t="shared" si="69"/>
        <v>70375486</v>
      </c>
      <c r="U38" s="21">
        <f t="shared" si="69"/>
        <v>73637714</v>
      </c>
      <c r="V38" s="21">
        <f t="shared" si="69"/>
        <v>81384714</v>
      </c>
      <c r="W38" s="21">
        <f t="shared" si="69"/>
        <v>94055342</v>
      </c>
      <c r="X38" s="21">
        <f t="shared" si="69"/>
        <v>92600783</v>
      </c>
      <c r="Y38" s="21">
        <f t="shared" si="69"/>
        <v>96479599</v>
      </c>
      <c r="Z38" s="21">
        <f t="shared" si="69"/>
        <v>98173108</v>
      </c>
      <c r="AA38" s="21">
        <f t="shared" si="69"/>
        <v>97344937</v>
      </c>
      <c r="AB38" s="21">
        <f t="shared" ref="AB38:AC38" si="70">SUM(AB35:AB37)</f>
        <v>95143981</v>
      </c>
      <c r="AC38" s="21">
        <f t="shared" si="70"/>
        <v>90764557</v>
      </c>
      <c r="AD38" s="21">
        <f t="shared" ref="AD38:AE38" si="71">SUM(AD35:AD37)</f>
        <v>84080146</v>
      </c>
      <c r="AE38" s="21">
        <f t="shared" si="71"/>
        <v>81046805</v>
      </c>
      <c r="AF38" s="21">
        <f t="shared" ref="AF38:AG38" si="72">SUM(AF35:AF37)</f>
        <v>81390833</v>
      </c>
      <c r="AG38" s="21">
        <f t="shared" si="72"/>
        <v>77327181</v>
      </c>
      <c r="AH38" s="21">
        <f t="shared" ref="AH38:AI38" si="73">SUM(AH35:AH37)</f>
        <v>70623409</v>
      </c>
      <c r="AI38" s="21">
        <f t="shared" si="73"/>
        <v>70341815</v>
      </c>
      <c r="AJ38" s="21">
        <f t="shared" ref="AJ38:AK38" si="74">SUM(AJ35:AJ37)</f>
        <v>63159174</v>
      </c>
      <c r="AK38" s="21">
        <f t="shared" si="74"/>
        <v>65638089</v>
      </c>
      <c r="AL38" s="22"/>
    </row>
    <row r="39" spans="1:38" ht="13.5" customHeight="1" x14ac:dyDescent="0.2">
      <c r="A39" s="15"/>
      <c r="C39" s="2" t="s">
        <v>37</v>
      </c>
      <c r="D39" s="2"/>
      <c r="AL39" s="17"/>
    </row>
    <row r="40" spans="1:38" ht="13.5" customHeight="1" x14ac:dyDescent="0.2">
      <c r="A40" s="15"/>
      <c r="D40" s="1" t="s">
        <v>38</v>
      </c>
      <c r="F40" s="32">
        <v>2640</v>
      </c>
      <c r="G40" s="32">
        <v>2935</v>
      </c>
      <c r="H40" s="32"/>
      <c r="I40" s="32">
        <v>4165</v>
      </c>
      <c r="J40" s="32">
        <v>4325</v>
      </c>
      <c r="K40" s="32">
        <v>4937</v>
      </c>
      <c r="L40" s="32">
        <v>4159</v>
      </c>
      <c r="M40" s="32">
        <v>4171</v>
      </c>
      <c r="N40" s="32">
        <v>4462</v>
      </c>
      <c r="O40" s="32">
        <v>4607</v>
      </c>
      <c r="P40" s="32">
        <v>5075</v>
      </c>
      <c r="Q40" s="32">
        <v>5460</v>
      </c>
      <c r="R40" s="32">
        <v>5574</v>
      </c>
      <c r="S40" s="32">
        <v>5575</v>
      </c>
      <c r="T40" s="32">
        <v>5629</v>
      </c>
      <c r="U40" s="32">
        <v>5857</v>
      </c>
      <c r="V40" s="32">
        <v>5860</v>
      </c>
      <c r="W40" s="32">
        <v>6650</v>
      </c>
      <c r="X40" s="32">
        <v>6963</v>
      </c>
      <c r="Y40" s="32">
        <v>7011</v>
      </c>
      <c r="Z40" s="32">
        <v>6711</v>
      </c>
      <c r="AA40" s="32">
        <v>6667</v>
      </c>
      <c r="AB40" s="32">
        <v>6445</v>
      </c>
      <c r="AC40" s="32">
        <v>5862</v>
      </c>
      <c r="AD40" s="32">
        <v>5334</v>
      </c>
      <c r="AE40" s="32">
        <v>5190</v>
      </c>
      <c r="AF40" s="32">
        <v>4946</v>
      </c>
      <c r="AG40" s="32">
        <v>4494</v>
      </c>
      <c r="AH40" s="32">
        <v>4114</v>
      </c>
      <c r="AI40" s="32">
        <v>3819</v>
      </c>
      <c r="AJ40" s="32">
        <v>3569</v>
      </c>
      <c r="AK40" s="32">
        <v>3593</v>
      </c>
      <c r="AL40" s="17"/>
    </row>
    <row r="41" spans="1:38" ht="13.5" customHeight="1" x14ac:dyDescent="0.2">
      <c r="A41" s="15"/>
      <c r="D41" s="1" t="s">
        <v>39</v>
      </c>
      <c r="E41" s="23"/>
      <c r="F41" s="33">
        <v>1435</v>
      </c>
      <c r="G41" s="33">
        <v>1757</v>
      </c>
      <c r="H41" s="33"/>
      <c r="I41" s="33">
        <v>2404</v>
      </c>
      <c r="J41" s="33">
        <v>2500</v>
      </c>
      <c r="K41" s="33">
        <v>2486</v>
      </c>
      <c r="L41" s="33">
        <v>1563</v>
      </c>
      <c r="M41" s="33">
        <v>2271</v>
      </c>
      <c r="N41" s="33">
        <v>2442</v>
      </c>
      <c r="O41" s="33">
        <v>2455</v>
      </c>
      <c r="P41" s="33">
        <v>2379</v>
      </c>
      <c r="Q41" s="33">
        <v>2267</v>
      </c>
      <c r="R41" s="33">
        <v>2149</v>
      </c>
      <c r="S41" s="33">
        <v>2359</v>
      </c>
      <c r="T41" s="33">
        <v>2197</v>
      </c>
      <c r="U41" s="33">
        <v>1924</v>
      </c>
      <c r="V41" s="33">
        <v>2377</v>
      </c>
      <c r="W41" s="33">
        <v>1999</v>
      </c>
      <c r="X41" s="33">
        <v>2022</v>
      </c>
      <c r="Y41" s="33">
        <v>2058</v>
      </c>
      <c r="Z41" s="33">
        <v>2419</v>
      </c>
      <c r="AA41" s="33">
        <v>2329</v>
      </c>
      <c r="AB41" s="33">
        <v>2412</v>
      </c>
      <c r="AC41" s="33">
        <v>2588</v>
      </c>
      <c r="AD41" s="33">
        <v>2827</v>
      </c>
      <c r="AE41" s="33">
        <v>2708</v>
      </c>
      <c r="AF41" s="33">
        <v>2922</v>
      </c>
      <c r="AG41" s="33">
        <v>2886</v>
      </c>
      <c r="AH41" s="33">
        <v>2807</v>
      </c>
      <c r="AI41" s="33">
        <v>3016</v>
      </c>
      <c r="AJ41" s="33">
        <v>2621</v>
      </c>
      <c r="AK41" s="33">
        <v>2438</v>
      </c>
      <c r="AL41" s="17"/>
    </row>
    <row r="42" spans="1:38" ht="13.5" customHeight="1" x14ac:dyDescent="0.2">
      <c r="A42" s="15"/>
      <c r="E42" s="23"/>
      <c r="F42" s="32">
        <f t="shared" ref="F42:AA42" si="75">SUM(F40:F41)</f>
        <v>4075</v>
      </c>
      <c r="G42" s="32">
        <f t="shared" si="75"/>
        <v>4692</v>
      </c>
      <c r="H42" s="32"/>
      <c r="I42" s="32">
        <f t="shared" si="75"/>
        <v>6569</v>
      </c>
      <c r="J42" s="32">
        <f t="shared" si="75"/>
        <v>6825</v>
      </c>
      <c r="K42" s="32">
        <f t="shared" si="75"/>
        <v>7423</v>
      </c>
      <c r="L42" s="32">
        <f t="shared" si="75"/>
        <v>5722</v>
      </c>
      <c r="M42" s="32">
        <f t="shared" si="75"/>
        <v>6442</v>
      </c>
      <c r="N42" s="32">
        <f t="shared" si="75"/>
        <v>6904</v>
      </c>
      <c r="O42" s="32">
        <f t="shared" si="75"/>
        <v>7062</v>
      </c>
      <c r="P42" s="32">
        <f t="shared" si="75"/>
        <v>7454</v>
      </c>
      <c r="Q42" s="32">
        <f t="shared" si="75"/>
        <v>7727</v>
      </c>
      <c r="R42" s="32">
        <f t="shared" si="75"/>
        <v>7723</v>
      </c>
      <c r="S42" s="32">
        <f t="shared" si="75"/>
        <v>7934</v>
      </c>
      <c r="T42" s="32">
        <f t="shared" si="75"/>
        <v>7826</v>
      </c>
      <c r="U42" s="32">
        <f t="shared" si="75"/>
        <v>7781</v>
      </c>
      <c r="V42" s="32">
        <f t="shared" si="75"/>
        <v>8237</v>
      </c>
      <c r="W42" s="32">
        <f t="shared" si="75"/>
        <v>8649</v>
      </c>
      <c r="X42" s="32">
        <f t="shared" si="75"/>
        <v>8985</v>
      </c>
      <c r="Y42" s="32">
        <f t="shared" si="75"/>
        <v>9069</v>
      </c>
      <c r="Z42" s="32">
        <f t="shared" si="75"/>
        <v>9130</v>
      </c>
      <c r="AA42" s="32">
        <f t="shared" si="75"/>
        <v>8996</v>
      </c>
      <c r="AB42" s="32">
        <f t="shared" ref="AB42:AC42" si="76">SUM(AB40:AB41)</f>
        <v>8857</v>
      </c>
      <c r="AC42" s="32">
        <f t="shared" si="76"/>
        <v>8450</v>
      </c>
      <c r="AD42" s="32">
        <f t="shared" ref="AD42:AE42" si="77">SUM(AD40:AD41)</f>
        <v>8161</v>
      </c>
      <c r="AE42" s="32">
        <f t="shared" si="77"/>
        <v>7898</v>
      </c>
      <c r="AF42" s="32">
        <f t="shared" ref="AF42:AG42" si="78">SUM(AF40:AF41)</f>
        <v>7868</v>
      </c>
      <c r="AG42" s="32">
        <f t="shared" si="78"/>
        <v>7380</v>
      </c>
      <c r="AH42" s="32">
        <f t="shared" ref="AH42:AI42" si="79">SUM(AH40:AH41)</f>
        <v>6921</v>
      </c>
      <c r="AI42" s="32">
        <f t="shared" si="79"/>
        <v>6835</v>
      </c>
      <c r="AJ42" s="32">
        <f t="shared" ref="AJ42:AK42" si="80">SUM(AJ40:AJ41)</f>
        <v>6190</v>
      </c>
      <c r="AK42" s="32">
        <f t="shared" si="80"/>
        <v>6031</v>
      </c>
      <c r="AL42" s="17"/>
    </row>
    <row r="43" spans="1:38" ht="13.5" customHeight="1" x14ac:dyDescent="0.2">
      <c r="A43" s="15"/>
      <c r="AL43" s="17"/>
    </row>
    <row r="44" spans="1:38" ht="13.5" customHeight="1" x14ac:dyDescent="0.2">
      <c r="A44" s="15"/>
      <c r="B44" s="53" t="s">
        <v>40</v>
      </c>
      <c r="C44" s="54"/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17"/>
    </row>
    <row r="45" spans="1:38" ht="13.5" customHeight="1" x14ac:dyDescent="0.2">
      <c r="A45" s="15"/>
      <c r="C45" s="2" t="s">
        <v>26</v>
      </c>
      <c r="D45" s="2"/>
      <c r="E45" s="21"/>
      <c r="AL45" s="17"/>
    </row>
    <row r="46" spans="1:38" ht="13.5" customHeight="1" x14ac:dyDescent="0.2">
      <c r="A46" s="15"/>
      <c r="D46" s="1" t="s">
        <v>27</v>
      </c>
      <c r="E46" s="21"/>
      <c r="F46" s="21">
        <v>0</v>
      </c>
      <c r="G46" s="21">
        <v>0</v>
      </c>
      <c r="H46" s="21"/>
      <c r="I46" s="21">
        <v>0</v>
      </c>
      <c r="J46" s="21">
        <v>0</v>
      </c>
      <c r="K46" s="21">
        <v>32679</v>
      </c>
      <c r="L46" s="21">
        <v>22112</v>
      </c>
      <c r="M46" s="21">
        <v>0</v>
      </c>
      <c r="N46" s="21">
        <v>128582</v>
      </c>
      <c r="O46" s="21">
        <v>201729</v>
      </c>
      <c r="P46" s="21">
        <v>133892</v>
      </c>
      <c r="Q46" s="21">
        <v>117630</v>
      </c>
      <c r="R46" s="21">
        <f>128367</f>
        <v>128367</v>
      </c>
      <c r="S46" s="21">
        <f>545224</f>
        <v>545224</v>
      </c>
      <c r="T46" s="21">
        <v>595446</v>
      </c>
      <c r="U46" s="21">
        <f>227224</f>
        <v>227224</v>
      </c>
      <c r="V46" s="21">
        <f>58000+0+347025</f>
        <v>405025</v>
      </c>
      <c r="W46" s="21">
        <f>131455+6415+582010</f>
        <v>719880</v>
      </c>
      <c r="X46" s="21">
        <f>126500+11787+18970+0+561944</f>
        <v>719201</v>
      </c>
      <c r="Y46" s="21">
        <f>100000+49959+632145</f>
        <v>782104</v>
      </c>
      <c r="Z46" s="21">
        <f>94830+41242+972308</f>
        <v>1108380</v>
      </c>
      <c r="AA46" s="21">
        <f>87971+247893+10199+786721</f>
        <v>1132784</v>
      </c>
      <c r="AB46" s="21">
        <f>52512+276496+4613+666245</f>
        <v>999866</v>
      </c>
      <c r="AC46" s="21">
        <f>74124+368692+610149</f>
        <v>1052965</v>
      </c>
      <c r="AD46" s="21">
        <f>61030+256793+557976</f>
        <v>875799</v>
      </c>
      <c r="AE46" s="21">
        <f>80168+277049+587926</f>
        <v>945143</v>
      </c>
      <c r="AF46" s="21">
        <f>104949+377242+794755</f>
        <v>1276946</v>
      </c>
      <c r="AG46" s="21">
        <f>44141+307638+771128</f>
        <v>1122907</v>
      </c>
      <c r="AH46" s="21">
        <f>32968+288278+1220541</f>
        <v>1541787</v>
      </c>
      <c r="AI46" s="21">
        <f>96643+305992+393401</f>
        <v>796036</v>
      </c>
      <c r="AJ46" s="21">
        <f>87845+278561+300163</f>
        <v>666569</v>
      </c>
      <c r="AK46" s="21">
        <f>173970+370000+251950</f>
        <v>795920</v>
      </c>
      <c r="AL46" s="47"/>
    </row>
    <row r="47" spans="1:38" ht="13.5" customHeight="1" x14ac:dyDescent="0.2">
      <c r="A47" s="15"/>
      <c r="D47" s="1" t="s">
        <v>28</v>
      </c>
      <c r="E47" s="23"/>
      <c r="F47" s="23">
        <v>2795821</v>
      </c>
      <c r="G47" s="23">
        <v>4003857</v>
      </c>
      <c r="H47" s="23"/>
      <c r="I47" s="23">
        <v>6017651</v>
      </c>
      <c r="J47" s="23">
        <v>6646523</v>
      </c>
      <c r="K47" s="23">
        <v>7443998</v>
      </c>
      <c r="L47" s="23">
        <v>8130706</v>
      </c>
      <c r="M47" s="23">
        <v>8563086</v>
      </c>
      <c r="N47" s="23">
        <v>9434595</v>
      </c>
      <c r="O47" s="23">
        <v>9849545</v>
      </c>
      <c r="P47" s="23">
        <v>13283381</v>
      </c>
      <c r="Q47" s="23">
        <v>15716362</v>
      </c>
      <c r="R47" s="23">
        <f>248430+7512990+8805592+0+0+0+0+10000+0</f>
        <v>16577012</v>
      </c>
      <c r="S47" s="23">
        <f>177053+8125763+9788444+0+45000+24975</f>
        <v>18161235</v>
      </c>
      <c r="T47" s="23">
        <f>323705+9660708+11795253+201159+40042+26465</f>
        <v>22047332</v>
      </c>
      <c r="U47" s="23">
        <f>15250+9949007+12923593+215941+105031+27662</f>
        <v>23236484</v>
      </c>
      <c r="V47" s="23">
        <f>101900+25540+120500+377251+10764497+13329118</f>
        <v>24718806</v>
      </c>
      <c r="W47" s="23">
        <f>506929+823824+178344+14000+0+116296+375539+11429873+14309425+48662</f>
        <v>27802892</v>
      </c>
      <c r="X47" s="23">
        <f>12733074+15136450+664287+12000+90277+121823</f>
        <v>28757911</v>
      </c>
      <c r="Y47" s="23">
        <f>13221932+14487879+710545+8000+16000+26479</f>
        <v>28470835</v>
      </c>
      <c r="Z47" s="23">
        <f>25431651+672664+16692+61051</f>
        <v>26182058</v>
      </c>
      <c r="AA47" s="23">
        <f>23733531+807000+42000+18980+52153</f>
        <v>24653664</v>
      </c>
      <c r="AB47" s="23">
        <f>23782449+953325+76000+10731+55666</f>
        <v>24878171</v>
      </c>
      <c r="AC47" s="23">
        <f>23719708+1163842+60000+2000+102136</f>
        <v>25047686</v>
      </c>
      <c r="AD47" s="23">
        <f>22435529+1154772+39000+122015</f>
        <v>23751316</v>
      </c>
      <c r="AE47" s="23">
        <f>21978920+1368638+22000+256875</f>
        <v>23626433</v>
      </c>
      <c r="AF47" s="23">
        <f>23583599+1842216+45000+262795</f>
        <v>25733610</v>
      </c>
      <c r="AG47" s="23">
        <f>23166963+2090685+90500+98547</f>
        <v>25446695</v>
      </c>
      <c r="AH47" s="23">
        <f>21884030+2514131+48000+145957</f>
        <v>24592118</v>
      </c>
      <c r="AI47" s="23">
        <f>20847063+3034425+44000+147641</f>
        <v>24073129</v>
      </c>
      <c r="AJ47" s="23">
        <f>20717154+3698686+49600+111646</f>
        <v>24577086</v>
      </c>
      <c r="AK47" s="23">
        <f>20919884+4681246+76800+156645</f>
        <v>25834575</v>
      </c>
      <c r="AL47" s="47"/>
    </row>
    <row r="48" spans="1:38" ht="13.5" customHeight="1" x14ac:dyDescent="0.2">
      <c r="A48" s="15"/>
      <c r="D48" s="1" t="s">
        <v>29</v>
      </c>
      <c r="E48" s="23"/>
      <c r="F48" s="24">
        <v>159826</v>
      </c>
      <c r="G48" s="24">
        <v>129045</v>
      </c>
      <c r="H48" s="24"/>
      <c r="I48" s="24">
        <v>63223</v>
      </c>
      <c r="J48" s="24">
        <v>43698</v>
      </c>
      <c r="K48" s="24">
        <v>56244</v>
      </c>
      <c r="L48" s="24">
        <v>43320</v>
      </c>
      <c r="M48" s="24">
        <v>26323</v>
      </c>
      <c r="N48" s="24">
        <v>178449</v>
      </c>
      <c r="O48" s="24">
        <v>175915</v>
      </c>
      <c r="P48" s="24">
        <v>188040</v>
      </c>
      <c r="Q48" s="24">
        <v>59830</v>
      </c>
      <c r="R48" s="24">
        <f>69428</f>
        <v>69428</v>
      </c>
      <c r="S48" s="24">
        <f>107309</f>
        <v>107309</v>
      </c>
      <c r="T48" s="24">
        <f>56977</f>
        <v>56977</v>
      </c>
      <c r="U48" s="24">
        <f>30387</f>
        <v>30387</v>
      </c>
      <c r="V48" s="24">
        <v>36213</v>
      </c>
      <c r="W48" s="24">
        <f>27891</f>
        <v>27891</v>
      </c>
      <c r="X48" s="24">
        <f>45004</f>
        <v>45004</v>
      </c>
      <c r="Y48" s="24">
        <f>43966</f>
        <v>43966</v>
      </c>
      <c r="Z48" s="24">
        <f>42822</f>
        <v>42822</v>
      </c>
      <c r="AA48" s="24">
        <v>45246</v>
      </c>
      <c r="AB48" s="24">
        <v>61661</v>
      </c>
      <c r="AC48" s="24">
        <v>90558</v>
      </c>
      <c r="AD48" s="24">
        <v>90282</v>
      </c>
      <c r="AE48" s="24">
        <v>262185</v>
      </c>
      <c r="AF48" s="24">
        <v>99796</v>
      </c>
      <c r="AG48" s="24">
        <v>120213</v>
      </c>
      <c r="AH48" s="24">
        <v>135250</v>
      </c>
      <c r="AI48" s="24">
        <v>107743</v>
      </c>
      <c r="AJ48" s="24">
        <v>45482</v>
      </c>
      <c r="AK48" s="24">
        <v>57819</v>
      </c>
      <c r="AL48" s="17"/>
    </row>
    <row r="49" spans="1:38" ht="13.5" customHeight="1" x14ac:dyDescent="0.2">
      <c r="A49" s="15"/>
      <c r="E49" s="21"/>
      <c r="F49" s="21">
        <f>SUM(F46:F48)</f>
        <v>2955647</v>
      </c>
      <c r="G49" s="21">
        <f>SUM(G46:G48)</f>
        <v>4132902</v>
      </c>
      <c r="H49" s="21"/>
      <c r="I49" s="21">
        <f t="shared" ref="I49:AA49" si="81">SUM(I46:I48)</f>
        <v>6080874</v>
      </c>
      <c r="J49" s="21">
        <f t="shared" si="81"/>
        <v>6690221</v>
      </c>
      <c r="K49" s="21">
        <f t="shared" si="81"/>
        <v>7532921</v>
      </c>
      <c r="L49" s="21">
        <f t="shared" si="81"/>
        <v>8196138</v>
      </c>
      <c r="M49" s="21">
        <f t="shared" si="81"/>
        <v>8589409</v>
      </c>
      <c r="N49" s="21">
        <f t="shared" si="81"/>
        <v>9741626</v>
      </c>
      <c r="O49" s="21">
        <f t="shared" si="81"/>
        <v>10227189</v>
      </c>
      <c r="P49" s="21">
        <f t="shared" si="81"/>
        <v>13605313</v>
      </c>
      <c r="Q49" s="21">
        <f t="shared" si="81"/>
        <v>15893822</v>
      </c>
      <c r="R49" s="21">
        <f t="shared" si="81"/>
        <v>16774807</v>
      </c>
      <c r="S49" s="21">
        <f t="shared" si="81"/>
        <v>18813768</v>
      </c>
      <c r="T49" s="21">
        <f t="shared" si="81"/>
        <v>22699755</v>
      </c>
      <c r="U49" s="21">
        <f t="shared" si="81"/>
        <v>23494095</v>
      </c>
      <c r="V49" s="21">
        <f t="shared" si="81"/>
        <v>25160044</v>
      </c>
      <c r="W49" s="21">
        <f t="shared" si="81"/>
        <v>28550663</v>
      </c>
      <c r="X49" s="21">
        <f t="shared" si="81"/>
        <v>29522116</v>
      </c>
      <c r="Y49" s="21">
        <f t="shared" si="81"/>
        <v>29296905</v>
      </c>
      <c r="Z49" s="21">
        <f t="shared" si="81"/>
        <v>27333260</v>
      </c>
      <c r="AA49" s="21">
        <f t="shared" si="81"/>
        <v>25831694</v>
      </c>
      <c r="AB49" s="21">
        <f t="shared" ref="AB49:AC49" si="82">SUM(AB46:AB48)</f>
        <v>25939698</v>
      </c>
      <c r="AC49" s="21">
        <f t="shared" si="82"/>
        <v>26191209</v>
      </c>
      <c r="AD49" s="21">
        <f t="shared" ref="AD49:AE49" si="83">SUM(AD46:AD48)</f>
        <v>24717397</v>
      </c>
      <c r="AE49" s="21">
        <f t="shared" si="83"/>
        <v>24833761</v>
      </c>
      <c r="AF49" s="21">
        <f t="shared" ref="AF49:AG49" si="84">SUM(AF46:AF48)</f>
        <v>27110352</v>
      </c>
      <c r="AG49" s="21">
        <f t="shared" si="84"/>
        <v>26689815</v>
      </c>
      <c r="AH49" s="21">
        <f t="shared" ref="AH49:AI49" si="85">SUM(AH46:AH48)</f>
        <v>26269155</v>
      </c>
      <c r="AI49" s="21">
        <f t="shared" si="85"/>
        <v>24976908</v>
      </c>
      <c r="AJ49" s="21">
        <f t="shared" ref="AJ49:AK49" si="86">SUM(AJ46:AJ48)</f>
        <v>25289137</v>
      </c>
      <c r="AK49" s="21">
        <f t="shared" si="86"/>
        <v>26688314</v>
      </c>
      <c r="AL49" s="47"/>
    </row>
    <row r="50" spans="1:38" ht="13.5" hidden="1" customHeight="1" x14ac:dyDescent="0.2">
      <c r="A50" s="15"/>
      <c r="D50" s="26"/>
      <c r="E50" s="37"/>
      <c r="F50" s="28">
        <v>-47948</v>
      </c>
      <c r="G50" s="28">
        <v>-32261</v>
      </c>
      <c r="H50" s="30"/>
      <c r="I50" s="28">
        <v>-15806</v>
      </c>
      <c r="J50" s="28">
        <v>-143</v>
      </c>
      <c r="K50" s="28">
        <v>-113</v>
      </c>
      <c r="L50" s="28">
        <f>0</f>
        <v>0</v>
      </c>
      <c r="M50" s="28">
        <v>0</v>
      </c>
      <c r="N50" s="28">
        <v>0</v>
      </c>
      <c r="O50" s="28">
        <v>0</v>
      </c>
      <c r="P50" s="28">
        <v>0</v>
      </c>
      <c r="Q50" s="28">
        <v>-44320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-23705</v>
      </c>
      <c r="AB50" s="28">
        <v>-15212</v>
      </c>
      <c r="AC50" s="28">
        <v>-31782</v>
      </c>
      <c r="AD50" s="28">
        <v>0</v>
      </c>
      <c r="AE50" s="28">
        <v>0</v>
      </c>
      <c r="AF50" s="28">
        <v>-1040</v>
      </c>
      <c r="AG50" s="28">
        <v>-364</v>
      </c>
      <c r="AH50" s="28">
        <v>-364</v>
      </c>
      <c r="AI50" s="28">
        <v>0</v>
      </c>
      <c r="AJ50" s="28">
        <v>0</v>
      </c>
      <c r="AK50" s="28">
        <v>0</v>
      </c>
      <c r="AL50" s="47"/>
    </row>
    <row r="51" spans="1:38" ht="13.5" customHeight="1" x14ac:dyDescent="0.2">
      <c r="A51" s="3"/>
      <c r="D51" s="26"/>
      <c r="E51" s="27" t="s">
        <v>30</v>
      </c>
      <c r="F51" s="29">
        <f t="shared" ref="F51:AA51" si="87">SUM(F49:F50)</f>
        <v>2907699</v>
      </c>
      <c r="G51" s="29">
        <f t="shared" si="87"/>
        <v>4100641</v>
      </c>
      <c r="H51" s="29"/>
      <c r="I51" s="29">
        <f t="shared" si="87"/>
        <v>6065068</v>
      </c>
      <c r="J51" s="29">
        <f t="shared" si="87"/>
        <v>6690078</v>
      </c>
      <c r="K51" s="29">
        <f t="shared" si="87"/>
        <v>7532808</v>
      </c>
      <c r="L51" s="29">
        <f t="shared" si="87"/>
        <v>8196138</v>
      </c>
      <c r="M51" s="29">
        <f t="shared" si="87"/>
        <v>8589409</v>
      </c>
      <c r="N51" s="29">
        <f t="shared" si="87"/>
        <v>9741626</v>
      </c>
      <c r="O51" s="29">
        <f t="shared" si="87"/>
        <v>10227189</v>
      </c>
      <c r="P51" s="29">
        <f t="shared" si="87"/>
        <v>13605313</v>
      </c>
      <c r="Q51" s="29">
        <f t="shared" si="87"/>
        <v>15849502</v>
      </c>
      <c r="R51" s="29">
        <f t="shared" si="87"/>
        <v>16774807</v>
      </c>
      <c r="S51" s="29">
        <f t="shared" si="87"/>
        <v>18813768</v>
      </c>
      <c r="T51" s="29">
        <f t="shared" si="87"/>
        <v>22699755</v>
      </c>
      <c r="U51" s="29">
        <f t="shared" si="87"/>
        <v>23494095</v>
      </c>
      <c r="V51" s="29">
        <f t="shared" si="87"/>
        <v>25160044</v>
      </c>
      <c r="W51" s="29">
        <f t="shared" si="87"/>
        <v>28550663</v>
      </c>
      <c r="X51" s="29">
        <f t="shared" si="87"/>
        <v>29522116</v>
      </c>
      <c r="Y51" s="29">
        <f t="shared" si="87"/>
        <v>29296905</v>
      </c>
      <c r="Z51" s="29">
        <f t="shared" si="87"/>
        <v>27333260</v>
      </c>
      <c r="AA51" s="29">
        <f t="shared" si="87"/>
        <v>25807989</v>
      </c>
      <c r="AB51" s="29">
        <f t="shared" ref="AB51:AC51" si="88">SUM(AB49:AB50)</f>
        <v>25924486</v>
      </c>
      <c r="AC51" s="29">
        <f t="shared" si="88"/>
        <v>26159427</v>
      </c>
      <c r="AD51" s="29">
        <f t="shared" ref="AD51:AE51" si="89">SUM(AD49:AD50)</f>
        <v>24717397</v>
      </c>
      <c r="AE51" s="29">
        <f t="shared" si="89"/>
        <v>24833761</v>
      </c>
      <c r="AF51" s="29">
        <f t="shared" ref="AF51:AG51" si="90">SUM(AF49:AF50)</f>
        <v>27109312</v>
      </c>
      <c r="AG51" s="29">
        <f t="shared" si="90"/>
        <v>26689451</v>
      </c>
      <c r="AH51" s="29">
        <f t="shared" ref="AH51:AI51" si="91">SUM(AH49:AH50)</f>
        <v>26268791</v>
      </c>
      <c r="AI51" s="29">
        <f t="shared" si="91"/>
        <v>24976908</v>
      </c>
      <c r="AJ51" s="29">
        <f t="shared" ref="AJ51:AK51" si="92">SUM(AJ49:AJ50)</f>
        <v>25289137</v>
      </c>
      <c r="AK51" s="29">
        <f t="shared" si="92"/>
        <v>26688314</v>
      </c>
      <c r="AL51" s="5"/>
    </row>
    <row r="52" spans="1:38" ht="13.5" customHeight="1" x14ac:dyDescent="0.2">
      <c r="A52" s="15"/>
      <c r="C52" s="2" t="s">
        <v>31</v>
      </c>
      <c r="E52" s="21"/>
      <c r="AL52" s="17"/>
    </row>
    <row r="53" spans="1:38" ht="13.5" customHeight="1" x14ac:dyDescent="0.2">
      <c r="A53" s="15"/>
      <c r="D53" s="1" t="s">
        <v>27</v>
      </c>
      <c r="E53" s="21"/>
      <c r="F53" s="21">
        <v>0</v>
      </c>
      <c r="G53" s="21">
        <v>0</v>
      </c>
      <c r="H53" s="21"/>
      <c r="I53" s="21">
        <v>0</v>
      </c>
      <c r="J53" s="21">
        <v>0</v>
      </c>
      <c r="K53" s="21">
        <v>0</v>
      </c>
      <c r="L53" s="21">
        <v>33999</v>
      </c>
      <c r="M53" s="21">
        <v>75372</v>
      </c>
      <c r="N53" s="21">
        <v>50496</v>
      </c>
      <c r="O53" s="21">
        <v>55047</v>
      </c>
      <c r="P53" s="21">
        <v>38155</v>
      </c>
      <c r="Q53" s="21">
        <v>24968</v>
      </c>
      <c r="R53" s="21">
        <f>0+42875+0</f>
        <v>42875</v>
      </c>
      <c r="S53" s="21">
        <f>50515</f>
        <v>50515</v>
      </c>
      <c r="T53" s="21">
        <v>63609</v>
      </c>
      <c r="U53" s="21">
        <f>68618</f>
        <v>68618</v>
      </c>
      <c r="V53" s="21">
        <f>3000+69346+106199</f>
        <v>178545</v>
      </c>
      <c r="W53" s="21">
        <f>81209+76463</f>
        <v>157672</v>
      </c>
      <c r="X53" s="21">
        <f>41939+3240</f>
        <v>45179</v>
      </c>
      <c r="Y53" s="21">
        <f>25000+7642</f>
        <v>32642</v>
      </c>
      <c r="Z53" s="21">
        <f>33399+9072</f>
        <v>42471</v>
      </c>
      <c r="AA53" s="21">
        <f>58757+5987</f>
        <v>64744</v>
      </c>
      <c r="AB53" s="21">
        <f>50294+9933</f>
        <v>60227</v>
      </c>
      <c r="AC53" s="21">
        <f>51077+3982</f>
        <v>55059</v>
      </c>
      <c r="AD53" s="21">
        <f>65921+2862</f>
        <v>68783</v>
      </c>
      <c r="AE53" s="21">
        <f>54123+11584</f>
        <v>65707</v>
      </c>
      <c r="AF53" s="21">
        <f>3000+88208+8641</f>
        <v>99849</v>
      </c>
      <c r="AG53" s="21">
        <f>3000+73104+9798</f>
        <v>85902</v>
      </c>
      <c r="AH53" s="21">
        <f>2400+26239</f>
        <v>28639</v>
      </c>
      <c r="AI53" s="21">
        <v>7070</v>
      </c>
      <c r="AJ53" s="21">
        <v>19545</v>
      </c>
      <c r="AK53" s="21">
        <f>3000+38380</f>
        <v>41380</v>
      </c>
      <c r="AL53" s="47"/>
    </row>
    <row r="54" spans="1:38" ht="13.5" customHeight="1" x14ac:dyDescent="0.2">
      <c r="A54" s="15"/>
      <c r="D54" s="1" t="s">
        <v>28</v>
      </c>
      <c r="E54" s="23"/>
      <c r="F54" s="24">
        <v>0</v>
      </c>
      <c r="G54" s="24">
        <v>0</v>
      </c>
      <c r="H54" s="24"/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0</v>
      </c>
      <c r="P54" s="24">
        <v>0</v>
      </c>
      <c r="Q54" s="24">
        <v>0</v>
      </c>
      <c r="R54" s="24">
        <f>0</f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0</v>
      </c>
      <c r="AE54" s="24">
        <v>0</v>
      </c>
      <c r="AF54" s="24">
        <v>0</v>
      </c>
      <c r="AG54" s="24">
        <v>0</v>
      </c>
      <c r="AH54" s="24">
        <v>0</v>
      </c>
      <c r="AI54" s="24">
        <v>0</v>
      </c>
      <c r="AJ54" s="24">
        <v>0</v>
      </c>
      <c r="AK54" s="24">
        <v>0</v>
      </c>
      <c r="AL54" s="47"/>
    </row>
    <row r="55" spans="1:38" ht="13.5" customHeight="1" x14ac:dyDescent="0.2">
      <c r="A55" s="15"/>
      <c r="E55" s="21"/>
      <c r="F55" s="21">
        <f t="shared" ref="F55:L55" si="93">SUM(F53:F54)</f>
        <v>0</v>
      </c>
      <c r="G55" s="21">
        <f t="shared" si="93"/>
        <v>0</v>
      </c>
      <c r="H55" s="21"/>
      <c r="I55" s="21">
        <f t="shared" si="93"/>
        <v>0</v>
      </c>
      <c r="J55" s="21">
        <f t="shared" si="93"/>
        <v>0</v>
      </c>
      <c r="K55" s="21">
        <f t="shared" si="93"/>
        <v>0</v>
      </c>
      <c r="L55" s="21">
        <f t="shared" si="93"/>
        <v>33999</v>
      </c>
      <c r="M55" s="21">
        <f t="shared" ref="M55:AA55" si="94">SUM(M53:M54)</f>
        <v>75372</v>
      </c>
      <c r="N55" s="21">
        <f t="shared" si="94"/>
        <v>50496</v>
      </c>
      <c r="O55" s="21">
        <f t="shared" si="94"/>
        <v>55047</v>
      </c>
      <c r="P55" s="21">
        <f t="shared" si="94"/>
        <v>38155</v>
      </c>
      <c r="Q55" s="21">
        <f t="shared" si="94"/>
        <v>24968</v>
      </c>
      <c r="R55" s="21">
        <f t="shared" si="94"/>
        <v>42875</v>
      </c>
      <c r="S55" s="21">
        <f t="shared" si="94"/>
        <v>50515</v>
      </c>
      <c r="T55" s="21">
        <f t="shared" si="94"/>
        <v>63609</v>
      </c>
      <c r="U55" s="21">
        <f t="shared" si="94"/>
        <v>68618</v>
      </c>
      <c r="V55" s="21">
        <f t="shared" si="94"/>
        <v>178545</v>
      </c>
      <c r="W55" s="21">
        <f t="shared" si="94"/>
        <v>157672</v>
      </c>
      <c r="X55" s="21">
        <f t="shared" si="94"/>
        <v>45179</v>
      </c>
      <c r="Y55" s="21">
        <f t="shared" si="94"/>
        <v>32642</v>
      </c>
      <c r="Z55" s="21">
        <f t="shared" si="94"/>
        <v>42471</v>
      </c>
      <c r="AA55" s="21">
        <f t="shared" si="94"/>
        <v>64744</v>
      </c>
      <c r="AB55" s="21">
        <f t="shared" ref="AB55:AC55" si="95">SUM(AB53:AB54)</f>
        <v>60227</v>
      </c>
      <c r="AC55" s="21">
        <f t="shared" si="95"/>
        <v>55059</v>
      </c>
      <c r="AD55" s="21">
        <f t="shared" ref="AD55:AE55" si="96">SUM(AD53:AD54)</f>
        <v>68783</v>
      </c>
      <c r="AE55" s="21">
        <f t="shared" si="96"/>
        <v>65707</v>
      </c>
      <c r="AF55" s="21">
        <f t="shared" ref="AF55:AG55" si="97">SUM(AF53:AF54)</f>
        <v>99849</v>
      </c>
      <c r="AG55" s="21">
        <f t="shared" si="97"/>
        <v>85902</v>
      </c>
      <c r="AH55" s="21">
        <f t="shared" ref="AH55:AI55" si="98">SUM(AH53:AH54)</f>
        <v>28639</v>
      </c>
      <c r="AI55" s="21">
        <f t="shared" si="98"/>
        <v>7070</v>
      </c>
      <c r="AJ55" s="21">
        <f t="shared" ref="AJ55:AK55" si="99">SUM(AJ53:AJ54)</f>
        <v>19545</v>
      </c>
      <c r="AK55" s="21">
        <f t="shared" si="99"/>
        <v>41380</v>
      </c>
      <c r="AL55" s="17"/>
    </row>
    <row r="56" spans="1:38" ht="13.5" hidden="1" customHeight="1" x14ac:dyDescent="0.2">
      <c r="A56" s="15"/>
      <c r="D56" s="26"/>
      <c r="E56" s="37"/>
      <c r="F56" s="28">
        <f>0</f>
        <v>0</v>
      </c>
      <c r="G56" s="28">
        <f>0</f>
        <v>0</v>
      </c>
      <c r="H56" s="30"/>
      <c r="I56" s="28">
        <f>0</f>
        <v>0</v>
      </c>
      <c r="J56" s="28">
        <f>0</f>
        <v>0</v>
      </c>
      <c r="K56" s="28">
        <f>0</f>
        <v>0</v>
      </c>
      <c r="L56" s="28">
        <f>0</f>
        <v>0</v>
      </c>
      <c r="M56" s="28">
        <f t="shared" ref="M56:R56" si="100">(0+0)</f>
        <v>0</v>
      </c>
      <c r="N56" s="28">
        <f t="shared" si="100"/>
        <v>0</v>
      </c>
      <c r="O56" s="28">
        <f t="shared" si="100"/>
        <v>0</v>
      </c>
      <c r="P56" s="28">
        <f t="shared" si="100"/>
        <v>0</v>
      </c>
      <c r="Q56" s="28">
        <f t="shared" si="100"/>
        <v>0</v>
      </c>
      <c r="R56" s="28">
        <f t="shared" si="100"/>
        <v>0</v>
      </c>
      <c r="S56" s="28">
        <v>0</v>
      </c>
      <c r="T56" s="28">
        <v>0</v>
      </c>
      <c r="U56" s="28">
        <v>-1000</v>
      </c>
      <c r="V56" s="28">
        <v>-1500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8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17"/>
    </row>
    <row r="57" spans="1:38" ht="13.5" customHeight="1" x14ac:dyDescent="0.2">
      <c r="A57" s="3"/>
      <c r="D57" s="26"/>
      <c r="E57" s="27" t="s">
        <v>30</v>
      </c>
      <c r="F57" s="29">
        <f t="shared" ref="F57:AA57" si="101">SUM(F55:F56)</f>
        <v>0</v>
      </c>
      <c r="G57" s="29">
        <f t="shared" si="101"/>
        <v>0</v>
      </c>
      <c r="H57" s="29"/>
      <c r="I57" s="29">
        <f t="shared" si="101"/>
        <v>0</v>
      </c>
      <c r="J57" s="29">
        <f t="shared" si="101"/>
        <v>0</v>
      </c>
      <c r="K57" s="29">
        <f t="shared" si="101"/>
        <v>0</v>
      </c>
      <c r="L57" s="29">
        <f t="shared" si="101"/>
        <v>33999</v>
      </c>
      <c r="M57" s="29">
        <f t="shared" si="101"/>
        <v>75372</v>
      </c>
      <c r="N57" s="29">
        <f t="shared" si="101"/>
        <v>50496</v>
      </c>
      <c r="O57" s="29">
        <f t="shared" si="101"/>
        <v>55047</v>
      </c>
      <c r="P57" s="29">
        <f t="shared" si="101"/>
        <v>38155</v>
      </c>
      <c r="Q57" s="29">
        <f t="shared" si="101"/>
        <v>24968</v>
      </c>
      <c r="R57" s="29">
        <f t="shared" si="101"/>
        <v>42875</v>
      </c>
      <c r="S57" s="29">
        <f t="shared" si="101"/>
        <v>50515</v>
      </c>
      <c r="T57" s="29">
        <f t="shared" si="101"/>
        <v>63609</v>
      </c>
      <c r="U57" s="29">
        <f t="shared" si="101"/>
        <v>67618</v>
      </c>
      <c r="V57" s="29">
        <f t="shared" si="101"/>
        <v>177045</v>
      </c>
      <c r="W57" s="29">
        <f t="shared" si="101"/>
        <v>157672</v>
      </c>
      <c r="X57" s="29">
        <f t="shared" si="101"/>
        <v>45179</v>
      </c>
      <c r="Y57" s="29">
        <f t="shared" si="101"/>
        <v>32642</v>
      </c>
      <c r="Z57" s="29">
        <f t="shared" si="101"/>
        <v>42471</v>
      </c>
      <c r="AA57" s="29">
        <f t="shared" si="101"/>
        <v>64744</v>
      </c>
      <c r="AB57" s="29">
        <f t="shared" ref="AB57:AC57" si="102">SUM(AB55:AB56)</f>
        <v>60227</v>
      </c>
      <c r="AC57" s="29">
        <f t="shared" si="102"/>
        <v>55059</v>
      </c>
      <c r="AD57" s="29">
        <f t="shared" ref="AD57:AE57" si="103">SUM(AD55:AD56)</f>
        <v>68783</v>
      </c>
      <c r="AE57" s="29">
        <f t="shared" si="103"/>
        <v>65707</v>
      </c>
      <c r="AF57" s="29">
        <f t="shared" ref="AF57:AG57" si="104">SUM(AF55:AF56)</f>
        <v>99849</v>
      </c>
      <c r="AG57" s="29">
        <f t="shared" si="104"/>
        <v>85902</v>
      </c>
      <c r="AH57" s="29">
        <f t="shared" ref="AH57:AI57" si="105">SUM(AH55:AH56)</f>
        <v>28639</v>
      </c>
      <c r="AI57" s="29">
        <f t="shared" si="105"/>
        <v>7070</v>
      </c>
      <c r="AJ57" s="29">
        <f t="shared" ref="AJ57:AK57" si="106">SUM(AJ55:AJ56)</f>
        <v>19545</v>
      </c>
      <c r="AK57" s="29">
        <f t="shared" si="106"/>
        <v>41380</v>
      </c>
      <c r="AL57" s="5"/>
    </row>
    <row r="58" spans="1:38" ht="13.5" customHeight="1" x14ac:dyDescent="0.2">
      <c r="A58" s="15"/>
      <c r="C58" s="2" t="s">
        <v>32</v>
      </c>
      <c r="D58" s="2"/>
      <c r="E58" s="21"/>
      <c r="AL58" s="17"/>
    </row>
    <row r="59" spans="1:38" ht="13.5" customHeight="1" x14ac:dyDescent="0.2">
      <c r="A59" s="15"/>
      <c r="D59" s="1" t="s">
        <v>27</v>
      </c>
      <c r="E59" s="21"/>
      <c r="F59" s="21">
        <v>520342</v>
      </c>
      <c r="G59" s="21">
        <v>490258</v>
      </c>
      <c r="H59" s="21"/>
      <c r="I59" s="21">
        <v>1249773</v>
      </c>
      <c r="J59" s="21">
        <v>1494759</v>
      </c>
      <c r="K59" s="21">
        <v>1534344</v>
      </c>
      <c r="L59" s="21">
        <v>2080678</v>
      </c>
      <c r="M59" s="21">
        <v>2422612</v>
      </c>
      <c r="N59" s="21">
        <v>3565086</v>
      </c>
      <c r="O59" s="21">
        <v>4245845</v>
      </c>
      <c r="P59" s="21">
        <v>5735663</v>
      </c>
      <c r="Q59" s="21">
        <v>6163463</v>
      </c>
      <c r="R59" s="21">
        <f>55813+4359653+11810+0+2125400</f>
        <v>6552676</v>
      </c>
      <c r="S59" s="21">
        <f>43710+4448489+17770+220559+1388471</f>
        <v>6118999</v>
      </c>
      <c r="T59" s="21">
        <f>40621+4580239+25581+221440+1773370</f>
        <v>6641251</v>
      </c>
      <c r="U59" s="21">
        <f>63366+4939727+3000+206915+1665422</f>
        <v>6878430</v>
      </c>
      <c r="V59" s="21">
        <f>95326+1404688+14496+4133089+1252496</f>
        <v>6900095</v>
      </c>
      <c r="W59" s="21">
        <f>67843+1415259+43130+4046682+1042736</f>
        <v>6615650</v>
      </c>
      <c r="X59" s="21">
        <f>58890+1453845+28848+4817653+862297</f>
        <v>7221533</v>
      </c>
      <c r="Y59" s="21">
        <f>50242+1611495+33728+5998251+798141</f>
        <v>8491857</v>
      </c>
      <c r="Z59" s="21">
        <f>67825+1546674+9181+6398209+659055</f>
        <v>8680944</v>
      </c>
      <c r="AA59" s="21">
        <f>81850+1627711+37536+6089040+709770</f>
        <v>8545907</v>
      </c>
      <c r="AB59" s="21">
        <f>58825+1881302+31377+5515182+1029740</f>
        <v>8516426</v>
      </c>
      <c r="AC59" s="21">
        <f>157577+1587653+36574+5540883+1121825</f>
        <v>8444512</v>
      </c>
      <c r="AD59" s="21">
        <f>187118+1168424+159130+4425362+1405420</f>
        <v>7345454</v>
      </c>
      <c r="AE59" s="21">
        <f>50300+1079789+103108+4232907+1532819</f>
        <v>6998923</v>
      </c>
      <c r="AF59" s="21">
        <f>60486+963683+84944+4556807+1762825</f>
        <v>7428745</v>
      </c>
      <c r="AG59" s="21">
        <f>63838+974225+70453+4844807+2422621</f>
        <v>8375944</v>
      </c>
      <c r="AH59" s="21">
        <f>70966+993266+71854+3642367+1534444</f>
        <v>6312897</v>
      </c>
      <c r="AI59" s="21">
        <f>76256+1564644+136621+3211727+4378360</f>
        <v>9367608</v>
      </c>
      <c r="AJ59" s="21">
        <f>69328+1148745+214957+3989834+2934657</f>
        <v>8357521</v>
      </c>
      <c r="AK59" s="21">
        <f>51850+1030324+120894+4522126+3792569</f>
        <v>9517763</v>
      </c>
      <c r="AL59" s="47"/>
    </row>
    <row r="60" spans="1:38" ht="13.5" customHeight="1" x14ac:dyDescent="0.2">
      <c r="A60" s="15"/>
      <c r="D60" s="1" t="s">
        <v>28</v>
      </c>
      <c r="E60" s="23"/>
      <c r="F60" s="23">
        <v>4735</v>
      </c>
      <c r="G60" s="23">
        <v>17525</v>
      </c>
      <c r="H60" s="23"/>
      <c r="I60" s="23">
        <v>13300</v>
      </c>
      <c r="J60" s="23">
        <v>23100</v>
      </c>
      <c r="K60" s="23">
        <v>19283</v>
      </c>
      <c r="L60" s="23">
        <v>15500</v>
      </c>
      <c r="M60" s="23">
        <v>0</v>
      </c>
      <c r="N60" s="23">
        <v>0</v>
      </c>
      <c r="O60" s="23">
        <v>0</v>
      </c>
      <c r="P60" s="23">
        <v>0</v>
      </c>
      <c r="Q60" s="23">
        <v>0</v>
      </c>
      <c r="R60" s="23">
        <f>0+0</f>
        <v>0</v>
      </c>
      <c r="S60" s="23">
        <v>0</v>
      </c>
      <c r="T60" s="23">
        <v>0</v>
      </c>
      <c r="U60" s="23">
        <v>0</v>
      </c>
      <c r="V60" s="23">
        <v>0</v>
      </c>
      <c r="W60" s="23">
        <v>0</v>
      </c>
      <c r="X60" s="23">
        <v>0</v>
      </c>
      <c r="Y60" s="23">
        <v>0</v>
      </c>
      <c r="Z60" s="23">
        <v>0</v>
      </c>
      <c r="AA60" s="23">
        <v>0</v>
      </c>
      <c r="AB60" s="23">
        <v>0</v>
      </c>
      <c r="AC60" s="23">
        <v>0</v>
      </c>
      <c r="AD60" s="23">
        <v>0</v>
      </c>
      <c r="AE60" s="23">
        <v>0</v>
      </c>
      <c r="AF60" s="23">
        <v>0</v>
      </c>
      <c r="AG60" s="23">
        <v>0</v>
      </c>
      <c r="AH60" s="23">
        <v>0</v>
      </c>
      <c r="AI60" s="23">
        <v>0</v>
      </c>
      <c r="AJ60" s="23">
        <v>0</v>
      </c>
      <c r="AK60" s="23">
        <v>0</v>
      </c>
      <c r="AL60" s="47"/>
    </row>
    <row r="61" spans="1:38" ht="13.5" customHeight="1" x14ac:dyDescent="0.2">
      <c r="A61" s="15"/>
      <c r="D61" s="1" t="s">
        <v>29</v>
      </c>
      <c r="E61" s="23"/>
      <c r="F61" s="24">
        <v>1510916</v>
      </c>
      <c r="G61" s="24">
        <v>1186450</v>
      </c>
      <c r="H61" s="24"/>
      <c r="I61" s="24">
        <v>1900485</v>
      </c>
      <c r="J61" s="24">
        <v>2005852</v>
      </c>
      <c r="K61" s="24">
        <v>2236479</v>
      </c>
      <c r="L61" s="24">
        <v>509150</v>
      </c>
      <c r="M61" s="24">
        <v>2289570</v>
      </c>
      <c r="N61" s="24">
        <v>2688535</v>
      </c>
      <c r="O61" s="24">
        <v>1243251</v>
      </c>
      <c r="P61" s="24">
        <v>2560904</v>
      </c>
      <c r="Q61" s="24">
        <v>2770278</v>
      </c>
      <c r="R61" s="24">
        <f>0+3847640</f>
        <v>3847640</v>
      </c>
      <c r="S61" s="24">
        <f>97332</f>
        <v>97332</v>
      </c>
      <c r="T61" s="24">
        <f>4379832</f>
        <v>4379832</v>
      </c>
      <c r="U61" s="24">
        <f>4472652</f>
        <v>4472652</v>
      </c>
      <c r="V61" s="24">
        <f>4707503</f>
        <v>4707503</v>
      </c>
      <c r="W61" s="24">
        <f>3205113</f>
        <v>3205113</v>
      </c>
      <c r="X61" s="24">
        <f>5273045</f>
        <v>5273045</v>
      </c>
      <c r="Y61" s="24">
        <f>3689342</f>
        <v>3689342</v>
      </c>
      <c r="Z61" s="24">
        <v>1403517</v>
      </c>
      <c r="AA61" s="24">
        <f>5277980</f>
        <v>5277980</v>
      </c>
      <c r="AB61" s="24">
        <v>5194529</v>
      </c>
      <c r="AC61" s="24">
        <v>5291194</v>
      </c>
      <c r="AD61" s="24">
        <v>5042912</v>
      </c>
      <c r="AE61" s="24">
        <v>4477586</v>
      </c>
      <c r="AF61" s="24">
        <v>4338916</v>
      </c>
      <c r="AG61" s="24">
        <v>4375329</v>
      </c>
      <c r="AH61" s="24">
        <v>4036225</v>
      </c>
      <c r="AI61" s="24">
        <v>4253486</v>
      </c>
      <c r="AJ61" s="24">
        <v>4418822</v>
      </c>
      <c r="AK61" s="24">
        <v>4299323</v>
      </c>
      <c r="AL61" s="17"/>
    </row>
    <row r="62" spans="1:38" ht="13.5" customHeight="1" x14ac:dyDescent="0.2">
      <c r="A62" s="15"/>
      <c r="E62" s="21"/>
      <c r="F62" s="21">
        <f>SUM(F59:F61)</f>
        <v>2035993</v>
      </c>
      <c r="G62" s="21">
        <f>SUM(G59:G61)</f>
        <v>1694233</v>
      </c>
      <c r="H62" s="21"/>
      <c r="I62" s="21">
        <f t="shared" ref="I62:AA62" si="107">SUM(I59:I61)</f>
        <v>3163558</v>
      </c>
      <c r="J62" s="21">
        <f t="shared" si="107"/>
        <v>3523711</v>
      </c>
      <c r="K62" s="21">
        <f t="shared" si="107"/>
        <v>3790106</v>
      </c>
      <c r="L62" s="21">
        <f t="shared" si="107"/>
        <v>2605328</v>
      </c>
      <c r="M62" s="21">
        <f t="shared" si="107"/>
        <v>4712182</v>
      </c>
      <c r="N62" s="21">
        <f t="shared" si="107"/>
        <v>6253621</v>
      </c>
      <c r="O62" s="21">
        <f t="shared" si="107"/>
        <v>5489096</v>
      </c>
      <c r="P62" s="21">
        <f t="shared" si="107"/>
        <v>8296567</v>
      </c>
      <c r="Q62" s="21">
        <f t="shared" si="107"/>
        <v>8933741</v>
      </c>
      <c r="R62" s="21">
        <f t="shared" si="107"/>
        <v>10400316</v>
      </c>
      <c r="S62" s="21">
        <f t="shared" si="107"/>
        <v>6216331</v>
      </c>
      <c r="T62" s="21">
        <f t="shared" si="107"/>
        <v>11021083</v>
      </c>
      <c r="U62" s="21">
        <f t="shared" si="107"/>
        <v>11351082</v>
      </c>
      <c r="V62" s="21">
        <f t="shared" si="107"/>
        <v>11607598</v>
      </c>
      <c r="W62" s="21">
        <f t="shared" si="107"/>
        <v>9820763</v>
      </c>
      <c r="X62" s="21">
        <f t="shared" si="107"/>
        <v>12494578</v>
      </c>
      <c r="Y62" s="21">
        <f t="shared" si="107"/>
        <v>12181199</v>
      </c>
      <c r="Z62" s="21">
        <f t="shared" si="107"/>
        <v>10084461</v>
      </c>
      <c r="AA62" s="21">
        <f t="shared" si="107"/>
        <v>13823887</v>
      </c>
      <c r="AB62" s="21">
        <f t="shared" ref="AB62:AG62" si="108">SUM(AB59:AB61)</f>
        <v>13710955</v>
      </c>
      <c r="AC62" s="21">
        <f t="shared" si="108"/>
        <v>13735706</v>
      </c>
      <c r="AD62" s="21">
        <f t="shared" si="108"/>
        <v>12388366</v>
      </c>
      <c r="AE62" s="21">
        <f t="shared" si="108"/>
        <v>11476509</v>
      </c>
      <c r="AF62" s="21">
        <f t="shared" si="108"/>
        <v>11767661</v>
      </c>
      <c r="AG62" s="21">
        <f t="shared" si="108"/>
        <v>12751273</v>
      </c>
      <c r="AH62" s="21">
        <f t="shared" ref="AH62:AI62" si="109">SUM(AH59:AH61)</f>
        <v>10349122</v>
      </c>
      <c r="AI62" s="21">
        <f t="shared" si="109"/>
        <v>13621094</v>
      </c>
      <c r="AJ62" s="21">
        <f t="shared" ref="AJ62:AK62" si="110">SUM(AJ59:AJ61)</f>
        <v>12776343</v>
      </c>
      <c r="AK62" s="21">
        <f t="shared" si="110"/>
        <v>13817086</v>
      </c>
      <c r="AL62" s="47"/>
    </row>
    <row r="63" spans="1:38" ht="13.5" hidden="1" customHeight="1" x14ac:dyDescent="0.2">
      <c r="A63" s="15"/>
      <c r="D63" s="26"/>
      <c r="E63" s="37"/>
      <c r="F63" s="28">
        <f>(F50+F56)*-1</f>
        <v>47948</v>
      </c>
      <c r="G63" s="28">
        <f>(G50+G56)*-1</f>
        <v>32261</v>
      </c>
      <c r="H63" s="30"/>
      <c r="I63" s="28">
        <f t="shared" ref="I63:AB63" si="111">(I50+I56)*-1</f>
        <v>15806</v>
      </c>
      <c r="J63" s="28">
        <f t="shared" si="111"/>
        <v>143</v>
      </c>
      <c r="K63" s="28">
        <f t="shared" si="111"/>
        <v>113</v>
      </c>
      <c r="L63" s="28">
        <f t="shared" si="111"/>
        <v>0</v>
      </c>
      <c r="M63" s="28">
        <f t="shared" si="111"/>
        <v>0</v>
      </c>
      <c r="N63" s="28">
        <f t="shared" si="111"/>
        <v>0</v>
      </c>
      <c r="O63" s="28">
        <f t="shared" si="111"/>
        <v>0</v>
      </c>
      <c r="P63" s="28">
        <f t="shared" si="111"/>
        <v>0</v>
      </c>
      <c r="Q63" s="28">
        <f t="shared" si="111"/>
        <v>44320</v>
      </c>
      <c r="R63" s="28">
        <f t="shared" si="111"/>
        <v>0</v>
      </c>
      <c r="S63" s="28">
        <f t="shared" si="111"/>
        <v>0</v>
      </c>
      <c r="T63" s="28">
        <f t="shared" si="111"/>
        <v>0</v>
      </c>
      <c r="U63" s="28">
        <f t="shared" si="111"/>
        <v>1000</v>
      </c>
      <c r="V63" s="28">
        <f t="shared" si="111"/>
        <v>1500</v>
      </c>
      <c r="W63" s="28">
        <f t="shared" si="111"/>
        <v>0</v>
      </c>
      <c r="X63" s="28">
        <f t="shared" si="111"/>
        <v>0</v>
      </c>
      <c r="Y63" s="28">
        <f t="shared" si="111"/>
        <v>0</v>
      </c>
      <c r="Z63" s="28">
        <f t="shared" si="111"/>
        <v>0</v>
      </c>
      <c r="AA63" s="28">
        <f t="shared" si="111"/>
        <v>23705</v>
      </c>
      <c r="AB63" s="28">
        <f t="shared" si="111"/>
        <v>15212</v>
      </c>
      <c r="AC63" s="28">
        <f t="shared" ref="AC63:AD63" si="112">(AC50+AC56)*-1</f>
        <v>31782</v>
      </c>
      <c r="AD63" s="28">
        <f t="shared" si="112"/>
        <v>0</v>
      </c>
      <c r="AE63" s="28">
        <f t="shared" ref="AE63:AG63" si="113">(AE50+AE56)*-1</f>
        <v>0</v>
      </c>
      <c r="AF63" s="28">
        <f t="shared" si="113"/>
        <v>1040</v>
      </c>
      <c r="AG63" s="28">
        <f t="shared" si="113"/>
        <v>364</v>
      </c>
      <c r="AH63" s="28">
        <f t="shared" ref="AH63:AI63" si="114">(AH50+AH56)*-1</f>
        <v>364</v>
      </c>
      <c r="AI63" s="28">
        <f t="shared" si="114"/>
        <v>0</v>
      </c>
      <c r="AJ63" s="28">
        <f t="shared" ref="AJ63:AK63" si="115">(AJ50+AJ56)*-1</f>
        <v>0</v>
      </c>
      <c r="AK63" s="28">
        <f t="shared" si="115"/>
        <v>0</v>
      </c>
      <c r="AL63" s="47"/>
    </row>
    <row r="64" spans="1:38" ht="13.5" customHeight="1" x14ac:dyDescent="0.2">
      <c r="A64" s="3"/>
      <c r="D64" s="26"/>
      <c r="E64" s="27" t="s">
        <v>33</v>
      </c>
      <c r="F64" s="29">
        <f t="shared" ref="F64:L64" si="116">SUM(F62:F63)</f>
        <v>2083941</v>
      </c>
      <c r="G64" s="29">
        <f t="shared" si="116"/>
        <v>1726494</v>
      </c>
      <c r="H64" s="29"/>
      <c r="I64" s="29">
        <f t="shared" si="116"/>
        <v>3179364</v>
      </c>
      <c r="J64" s="29">
        <f t="shared" si="116"/>
        <v>3523854</v>
      </c>
      <c r="K64" s="29">
        <f t="shared" si="116"/>
        <v>3790219</v>
      </c>
      <c r="L64" s="29">
        <f t="shared" si="116"/>
        <v>2605328</v>
      </c>
      <c r="M64" s="29">
        <f t="shared" ref="M64:AA64" si="117">SUM(M62:M63)</f>
        <v>4712182</v>
      </c>
      <c r="N64" s="29">
        <f t="shared" si="117"/>
        <v>6253621</v>
      </c>
      <c r="O64" s="29">
        <f t="shared" si="117"/>
        <v>5489096</v>
      </c>
      <c r="P64" s="29">
        <f t="shared" si="117"/>
        <v>8296567</v>
      </c>
      <c r="Q64" s="29">
        <f t="shared" si="117"/>
        <v>8978061</v>
      </c>
      <c r="R64" s="29">
        <f t="shared" si="117"/>
        <v>10400316</v>
      </c>
      <c r="S64" s="29">
        <f t="shared" si="117"/>
        <v>6216331</v>
      </c>
      <c r="T64" s="29">
        <f t="shared" si="117"/>
        <v>11021083</v>
      </c>
      <c r="U64" s="29">
        <f t="shared" si="117"/>
        <v>11352082</v>
      </c>
      <c r="V64" s="29">
        <f t="shared" si="117"/>
        <v>11609098</v>
      </c>
      <c r="W64" s="29">
        <f t="shared" si="117"/>
        <v>9820763</v>
      </c>
      <c r="X64" s="29">
        <f t="shared" si="117"/>
        <v>12494578</v>
      </c>
      <c r="Y64" s="29">
        <f t="shared" si="117"/>
        <v>12181199</v>
      </c>
      <c r="Z64" s="29">
        <f t="shared" si="117"/>
        <v>10084461</v>
      </c>
      <c r="AA64" s="29">
        <f t="shared" si="117"/>
        <v>13847592</v>
      </c>
      <c r="AB64" s="29">
        <f t="shared" ref="AB64:AC64" si="118">SUM(AB62:AB63)</f>
        <v>13726167</v>
      </c>
      <c r="AC64" s="29">
        <f t="shared" si="118"/>
        <v>13767488</v>
      </c>
      <c r="AD64" s="29">
        <f t="shared" ref="AD64:AE64" si="119">SUM(AD62:AD63)</f>
        <v>12388366</v>
      </c>
      <c r="AE64" s="29">
        <f t="shared" si="119"/>
        <v>11476509</v>
      </c>
      <c r="AF64" s="29">
        <f t="shared" ref="AF64:AG64" si="120">SUM(AF62:AF63)</f>
        <v>11768701</v>
      </c>
      <c r="AG64" s="29">
        <f t="shared" si="120"/>
        <v>12751637</v>
      </c>
      <c r="AH64" s="29">
        <f t="shared" ref="AH64:AI64" si="121">SUM(AH62:AH63)</f>
        <v>10349486</v>
      </c>
      <c r="AI64" s="29">
        <f t="shared" si="121"/>
        <v>13621094</v>
      </c>
      <c r="AJ64" s="29">
        <f t="shared" ref="AJ64:AK64" si="122">SUM(AJ62:AJ63)</f>
        <v>12776343</v>
      </c>
      <c r="AK64" s="29">
        <f t="shared" si="122"/>
        <v>13817086</v>
      </c>
      <c r="AL64" s="5"/>
    </row>
    <row r="65" spans="1:38" ht="13.5" customHeight="1" x14ac:dyDescent="0.2">
      <c r="A65" s="15"/>
      <c r="C65" s="2" t="s">
        <v>34</v>
      </c>
      <c r="D65" s="2"/>
      <c r="E65" s="21"/>
      <c r="AL65" s="17"/>
    </row>
    <row r="66" spans="1:38" ht="13.5" customHeight="1" x14ac:dyDescent="0.2">
      <c r="A66" s="15"/>
      <c r="D66" s="1" t="s">
        <v>27</v>
      </c>
      <c r="E66" s="21"/>
      <c r="F66" s="21">
        <v>259968</v>
      </c>
      <c r="G66" s="21">
        <v>267742</v>
      </c>
      <c r="H66" s="21"/>
      <c r="I66" s="21">
        <v>576584</v>
      </c>
      <c r="J66" s="21">
        <v>613171</v>
      </c>
      <c r="K66" s="21">
        <v>535310</v>
      </c>
      <c r="L66" s="21">
        <v>369473</v>
      </c>
      <c r="M66" s="21">
        <v>378865</v>
      </c>
      <c r="N66" s="21">
        <v>694069</v>
      </c>
      <c r="O66" s="21">
        <v>808796</v>
      </c>
      <c r="P66" s="21">
        <v>999411</v>
      </c>
      <c r="Q66" s="21">
        <v>922765</v>
      </c>
      <c r="R66" s="21">
        <f>716213</f>
        <v>716213</v>
      </c>
      <c r="S66" s="21">
        <f>1258362</f>
        <v>1258362</v>
      </c>
      <c r="T66" s="21">
        <f>1060676</f>
        <v>1060676</v>
      </c>
      <c r="U66" s="21">
        <f>1005605</f>
        <v>1005605</v>
      </c>
      <c r="V66" s="21">
        <f>1000285</f>
        <v>1000285</v>
      </c>
      <c r="W66" s="21">
        <f>0+1243889</f>
        <v>1243889</v>
      </c>
      <c r="X66" s="21">
        <f>1263431</f>
        <v>1263431</v>
      </c>
      <c r="Y66" s="21">
        <f>1291555</f>
        <v>1291555</v>
      </c>
      <c r="Z66" s="21">
        <f>1249720</f>
        <v>1249720</v>
      </c>
      <c r="AA66" s="21">
        <f>1052717</f>
        <v>1052717</v>
      </c>
      <c r="AB66" s="21">
        <v>998846</v>
      </c>
      <c r="AC66" s="21">
        <v>1161387</v>
      </c>
      <c r="AD66" s="21">
        <v>1032176</v>
      </c>
      <c r="AE66" s="21">
        <v>1253673</v>
      </c>
      <c r="AF66" s="21">
        <v>1249557</v>
      </c>
      <c r="AG66" s="21">
        <f>0+1523259</f>
        <v>1523259</v>
      </c>
      <c r="AH66" s="21">
        <v>1217391</v>
      </c>
      <c r="AI66" s="21">
        <v>1040598.49</v>
      </c>
      <c r="AJ66" s="21">
        <v>1137959</v>
      </c>
      <c r="AK66" s="21">
        <v>1194805</v>
      </c>
      <c r="AL66" s="47"/>
    </row>
    <row r="67" spans="1:38" ht="13.5" customHeight="1" x14ac:dyDescent="0.2">
      <c r="A67" s="15"/>
      <c r="D67" s="1" t="s">
        <v>28</v>
      </c>
      <c r="E67" s="23"/>
      <c r="F67" s="31" t="s">
        <v>35</v>
      </c>
      <c r="G67" s="31" t="s">
        <v>35</v>
      </c>
      <c r="H67" s="31" t="s">
        <v>35</v>
      </c>
      <c r="I67" s="31" t="s">
        <v>35</v>
      </c>
      <c r="J67" s="31" t="s">
        <v>35</v>
      </c>
      <c r="K67" s="31" t="s">
        <v>35</v>
      </c>
      <c r="L67" s="31" t="s">
        <v>35</v>
      </c>
      <c r="M67" s="31" t="s">
        <v>35</v>
      </c>
      <c r="N67" s="31" t="s">
        <v>35</v>
      </c>
      <c r="O67" s="31" t="s">
        <v>35</v>
      </c>
      <c r="P67" s="31" t="s">
        <v>35</v>
      </c>
      <c r="Q67" s="24">
        <v>112825</v>
      </c>
      <c r="R67" s="24">
        <f>202735</f>
        <v>202735</v>
      </c>
      <c r="S67" s="24">
        <f>340170</f>
        <v>340170</v>
      </c>
      <c r="T67" s="24">
        <v>355744</v>
      </c>
      <c r="U67" s="24">
        <f>332257</f>
        <v>332257</v>
      </c>
      <c r="V67" s="24">
        <f>190812</f>
        <v>190812</v>
      </c>
      <c r="W67" s="24">
        <f>69050</f>
        <v>69050</v>
      </c>
      <c r="X67" s="24">
        <f>148160</f>
        <v>148160</v>
      </c>
      <c r="Y67" s="24">
        <f>115206</f>
        <v>115206</v>
      </c>
      <c r="Z67" s="24">
        <f>133918+30802</f>
        <v>164720</v>
      </c>
      <c r="AA67" s="24">
        <f>154648+495311</f>
        <v>649959</v>
      </c>
      <c r="AB67" s="24">
        <f>257925+521979</f>
        <v>779904</v>
      </c>
      <c r="AC67" s="24">
        <f>196687+511792</f>
        <v>708479</v>
      </c>
      <c r="AD67" s="24">
        <f>209235+440384</f>
        <v>649619</v>
      </c>
      <c r="AE67" s="24">
        <f>296600+290732</f>
        <v>587332</v>
      </c>
      <c r="AF67" s="24">
        <f>226680+193098</f>
        <v>419778</v>
      </c>
      <c r="AG67" s="24">
        <f>462668+154245</f>
        <v>616913</v>
      </c>
      <c r="AH67" s="24">
        <f>449415+76208</f>
        <v>525623</v>
      </c>
      <c r="AI67" s="24">
        <f>400037+20223</f>
        <v>420260</v>
      </c>
      <c r="AJ67" s="24">
        <f>378672+5382</f>
        <v>384054</v>
      </c>
      <c r="AK67" s="24">
        <f>377546+4630</f>
        <v>382176</v>
      </c>
      <c r="AL67" s="47"/>
    </row>
    <row r="68" spans="1:38" ht="13.5" customHeight="1" x14ac:dyDescent="0.2">
      <c r="A68" s="15"/>
      <c r="E68" s="21"/>
      <c r="F68" s="21">
        <f t="shared" ref="F68:L68" si="123">SUM(F66:F67)</f>
        <v>259968</v>
      </c>
      <c r="G68" s="21">
        <f t="shared" si="123"/>
        <v>267742</v>
      </c>
      <c r="H68" s="21"/>
      <c r="I68" s="21">
        <f t="shared" si="123"/>
        <v>576584</v>
      </c>
      <c r="J68" s="21">
        <f t="shared" si="123"/>
        <v>613171</v>
      </c>
      <c r="K68" s="21">
        <f t="shared" si="123"/>
        <v>535310</v>
      </c>
      <c r="L68" s="21">
        <f t="shared" si="123"/>
        <v>369473</v>
      </c>
      <c r="M68" s="21">
        <f t="shared" ref="M68:O68" si="124">M66</f>
        <v>378865</v>
      </c>
      <c r="N68" s="21">
        <f t="shared" si="124"/>
        <v>694069</v>
      </c>
      <c r="O68" s="21">
        <f t="shared" si="124"/>
        <v>808796</v>
      </c>
      <c r="P68" s="21">
        <f>P66</f>
        <v>999411</v>
      </c>
      <c r="Q68" s="21">
        <f t="shared" ref="Q68:AB68" si="125">SUM(Q66:Q67)</f>
        <v>1035590</v>
      </c>
      <c r="R68" s="21">
        <f t="shared" si="125"/>
        <v>918948</v>
      </c>
      <c r="S68" s="21">
        <f t="shared" si="125"/>
        <v>1598532</v>
      </c>
      <c r="T68" s="21">
        <f t="shared" si="125"/>
        <v>1416420</v>
      </c>
      <c r="U68" s="21">
        <f t="shared" si="125"/>
        <v>1337862</v>
      </c>
      <c r="V68" s="21">
        <f t="shared" si="125"/>
        <v>1191097</v>
      </c>
      <c r="W68" s="21">
        <f t="shared" si="125"/>
        <v>1312939</v>
      </c>
      <c r="X68" s="21">
        <f t="shared" si="125"/>
        <v>1411591</v>
      </c>
      <c r="Y68" s="21">
        <f t="shared" si="125"/>
        <v>1406761</v>
      </c>
      <c r="Z68" s="21">
        <f t="shared" si="125"/>
        <v>1414440</v>
      </c>
      <c r="AA68" s="21">
        <f t="shared" si="125"/>
        <v>1702676</v>
      </c>
      <c r="AB68" s="21">
        <f t="shared" si="125"/>
        <v>1778750</v>
      </c>
      <c r="AC68" s="21">
        <f t="shared" ref="AC68:AD68" si="126">SUM(AC66:AC67)</f>
        <v>1869866</v>
      </c>
      <c r="AD68" s="21">
        <f t="shared" si="126"/>
        <v>1681795</v>
      </c>
      <c r="AE68" s="21">
        <f t="shared" ref="AE68:AF68" si="127">SUM(AE66:AE67)</f>
        <v>1841005</v>
      </c>
      <c r="AF68" s="21">
        <f t="shared" si="127"/>
        <v>1669335</v>
      </c>
      <c r="AG68" s="21">
        <f t="shared" ref="AG68:AH68" si="128">SUM(AG66:AG67)</f>
        <v>2140172</v>
      </c>
      <c r="AH68" s="21">
        <f t="shared" si="128"/>
        <v>1743014</v>
      </c>
      <c r="AI68" s="21">
        <f t="shared" ref="AI68" si="129">SUM(AI66:AI67)</f>
        <v>1460858.49</v>
      </c>
      <c r="AJ68" s="21">
        <f>SUM(AJ66:AJ67)</f>
        <v>1522013</v>
      </c>
      <c r="AK68" s="21">
        <f>SUM(AK66:AK67)</f>
        <v>1576981</v>
      </c>
      <c r="AL68" s="17"/>
    </row>
    <row r="69" spans="1:38" ht="13.5" customHeight="1" x14ac:dyDescent="0.2">
      <c r="A69" s="15"/>
      <c r="C69" s="2" t="s">
        <v>36</v>
      </c>
      <c r="D69" s="2"/>
      <c r="E69" s="21"/>
      <c r="AL69" s="17"/>
    </row>
    <row r="70" spans="1:38" ht="13.5" customHeight="1" x14ac:dyDescent="0.2">
      <c r="A70" s="15"/>
      <c r="D70" s="1" t="s">
        <v>27</v>
      </c>
      <c r="E70" s="21"/>
      <c r="F70" s="21">
        <f>F46+F53+F59+F66</f>
        <v>780310</v>
      </c>
      <c r="G70" s="21">
        <f>G46+G53+G59+G66</f>
        <v>758000</v>
      </c>
      <c r="H70" s="21"/>
      <c r="I70" s="21">
        <f t="shared" ref="I70:AA71" si="130">I46+I53+I59+I66</f>
        <v>1826357</v>
      </c>
      <c r="J70" s="21">
        <f t="shared" si="130"/>
        <v>2107930</v>
      </c>
      <c r="K70" s="21">
        <f t="shared" si="130"/>
        <v>2102333</v>
      </c>
      <c r="L70" s="21">
        <f t="shared" si="130"/>
        <v>2506262</v>
      </c>
      <c r="M70" s="21">
        <f t="shared" si="130"/>
        <v>2876849</v>
      </c>
      <c r="N70" s="21">
        <f t="shared" si="130"/>
        <v>4438233</v>
      </c>
      <c r="O70" s="21">
        <f t="shared" si="130"/>
        <v>5311417</v>
      </c>
      <c r="P70" s="21">
        <f t="shared" si="130"/>
        <v>6907121</v>
      </c>
      <c r="Q70" s="21">
        <f t="shared" si="130"/>
        <v>7228826</v>
      </c>
      <c r="R70" s="21">
        <f t="shared" si="130"/>
        <v>7440131</v>
      </c>
      <c r="S70" s="21">
        <f t="shared" si="130"/>
        <v>7973100</v>
      </c>
      <c r="T70" s="21">
        <f t="shared" si="130"/>
        <v>8360982</v>
      </c>
      <c r="U70" s="21">
        <f t="shared" si="130"/>
        <v>8179877</v>
      </c>
      <c r="V70" s="21">
        <f t="shared" si="130"/>
        <v>8483950</v>
      </c>
      <c r="W70" s="21">
        <f t="shared" si="130"/>
        <v>8737091</v>
      </c>
      <c r="X70" s="21">
        <f t="shared" si="130"/>
        <v>9249344</v>
      </c>
      <c r="Y70" s="21">
        <f t="shared" si="130"/>
        <v>10598158</v>
      </c>
      <c r="Z70" s="21">
        <f t="shared" si="130"/>
        <v>11081515</v>
      </c>
      <c r="AA70" s="21">
        <f t="shared" si="130"/>
        <v>10796152</v>
      </c>
      <c r="AB70" s="21">
        <f t="shared" ref="AB70:AC70" si="131">AB46+AB53+AB59+AB66</f>
        <v>10575365</v>
      </c>
      <c r="AC70" s="21">
        <f t="shared" si="131"/>
        <v>10713923</v>
      </c>
      <c r="AD70" s="21">
        <f t="shared" ref="AD70:AE70" si="132">AD46+AD53+AD59+AD66</f>
        <v>9322212</v>
      </c>
      <c r="AE70" s="21">
        <f t="shared" si="132"/>
        <v>9263446</v>
      </c>
      <c r="AF70" s="21">
        <f t="shared" ref="AF70:AG70" si="133">AF46+AF53+AF59+AF66</f>
        <v>10055097</v>
      </c>
      <c r="AG70" s="21">
        <f t="shared" si="133"/>
        <v>11108012</v>
      </c>
      <c r="AH70" s="21">
        <f t="shared" ref="AH70:AI70" si="134">AH46+AH53+AH59+AH66</f>
        <v>9100714</v>
      </c>
      <c r="AI70" s="21">
        <f t="shared" si="134"/>
        <v>11211312.49</v>
      </c>
      <c r="AJ70" s="21">
        <f t="shared" ref="AJ70:AK70" si="135">AJ46+AJ53+AJ59+AJ66</f>
        <v>10181594</v>
      </c>
      <c r="AK70" s="21">
        <f t="shared" si="135"/>
        <v>11549868</v>
      </c>
      <c r="AL70" s="47"/>
    </row>
    <row r="71" spans="1:38" ht="13.5" customHeight="1" x14ac:dyDescent="0.2">
      <c r="A71" s="15"/>
      <c r="D71" s="1" t="s">
        <v>28</v>
      </c>
      <c r="E71" s="23"/>
      <c r="F71" s="23">
        <f>F47+F54+F60</f>
        <v>2800556</v>
      </c>
      <c r="G71" s="23">
        <f>G47+G54+G60</f>
        <v>4021382</v>
      </c>
      <c r="H71" s="23"/>
      <c r="I71" s="23">
        <f t="shared" ref="I71:N71" si="136">I47+I54+I60</f>
        <v>6030951</v>
      </c>
      <c r="J71" s="23">
        <f t="shared" si="136"/>
        <v>6669623</v>
      </c>
      <c r="K71" s="23">
        <f t="shared" si="136"/>
        <v>7463281</v>
      </c>
      <c r="L71" s="23">
        <f t="shared" si="136"/>
        <v>8146206</v>
      </c>
      <c r="M71" s="23">
        <f t="shared" si="136"/>
        <v>8563086</v>
      </c>
      <c r="N71" s="23">
        <f t="shared" si="136"/>
        <v>9434595</v>
      </c>
      <c r="O71" s="23">
        <f>O47+O54+O60</f>
        <v>9849545</v>
      </c>
      <c r="P71" s="23">
        <f>P47+P54+P60</f>
        <v>13283381</v>
      </c>
      <c r="Q71" s="23">
        <f>Q47+Q54+Q60+Q67</f>
        <v>15829187</v>
      </c>
      <c r="R71" s="23">
        <f>R47+R54+R60+R67</f>
        <v>16779747</v>
      </c>
      <c r="S71" s="23">
        <f>S47+S54+S60+S67</f>
        <v>18501405</v>
      </c>
      <c r="T71" s="23">
        <f>T47+T54+T60+T67</f>
        <v>22403076</v>
      </c>
      <c r="U71" s="23">
        <f t="shared" si="130"/>
        <v>23568741</v>
      </c>
      <c r="V71" s="23">
        <f t="shared" si="130"/>
        <v>24909618</v>
      </c>
      <c r="W71" s="23">
        <f t="shared" si="130"/>
        <v>27871942</v>
      </c>
      <c r="X71" s="23">
        <f t="shared" si="130"/>
        <v>28906071</v>
      </c>
      <c r="Y71" s="23">
        <f t="shared" si="130"/>
        <v>28586041</v>
      </c>
      <c r="Z71" s="23">
        <f t="shared" si="130"/>
        <v>26346778</v>
      </c>
      <c r="AA71" s="23">
        <f t="shared" si="130"/>
        <v>25303623</v>
      </c>
      <c r="AB71" s="23">
        <f t="shared" ref="AB71:AC71" si="137">AB47+AB54+AB60+AB67</f>
        <v>25658075</v>
      </c>
      <c r="AC71" s="23">
        <f t="shared" si="137"/>
        <v>25756165</v>
      </c>
      <c r="AD71" s="23">
        <f t="shared" ref="AD71:AE71" si="138">AD47+AD54+AD60+AD67</f>
        <v>24400935</v>
      </c>
      <c r="AE71" s="23">
        <f t="shared" si="138"/>
        <v>24213765</v>
      </c>
      <c r="AF71" s="23">
        <f t="shared" ref="AF71:AG71" si="139">AF47+AF54+AF60+AF67</f>
        <v>26153388</v>
      </c>
      <c r="AG71" s="23">
        <f t="shared" si="139"/>
        <v>26063608</v>
      </c>
      <c r="AH71" s="23">
        <f t="shared" ref="AH71:AI71" si="140">AH47+AH54+AH60+AH67</f>
        <v>25117741</v>
      </c>
      <c r="AI71" s="23">
        <f t="shared" si="140"/>
        <v>24493389</v>
      </c>
      <c r="AJ71" s="23">
        <f t="shared" ref="AJ71:AK71" si="141">AJ47+AJ54+AJ60+AJ67</f>
        <v>24961140</v>
      </c>
      <c r="AK71" s="23">
        <f t="shared" si="141"/>
        <v>26216751</v>
      </c>
      <c r="AL71" s="47"/>
    </row>
    <row r="72" spans="1:38" ht="13.5" customHeight="1" x14ac:dyDescent="0.2">
      <c r="A72" s="15"/>
      <c r="D72" s="1" t="s">
        <v>29</v>
      </c>
      <c r="E72" s="23"/>
      <c r="F72" s="24">
        <f>F48+F61</f>
        <v>1670742</v>
      </c>
      <c r="G72" s="24">
        <f>G48+G61</f>
        <v>1315495</v>
      </c>
      <c r="H72" s="24"/>
      <c r="I72" s="24">
        <f t="shared" ref="I72:AA72" si="142">I48+I61</f>
        <v>1963708</v>
      </c>
      <c r="J72" s="24">
        <f t="shared" si="142"/>
        <v>2049550</v>
      </c>
      <c r="K72" s="24">
        <f t="shared" si="142"/>
        <v>2292723</v>
      </c>
      <c r="L72" s="24">
        <f t="shared" si="142"/>
        <v>552470</v>
      </c>
      <c r="M72" s="24">
        <f t="shared" si="142"/>
        <v>2315893</v>
      </c>
      <c r="N72" s="24">
        <f t="shared" si="142"/>
        <v>2866984</v>
      </c>
      <c r="O72" s="24">
        <f t="shared" si="142"/>
        <v>1419166</v>
      </c>
      <c r="P72" s="24">
        <f t="shared" si="142"/>
        <v>2748944</v>
      </c>
      <c r="Q72" s="24">
        <f t="shared" si="142"/>
        <v>2830108</v>
      </c>
      <c r="R72" s="24">
        <f t="shared" si="142"/>
        <v>3917068</v>
      </c>
      <c r="S72" s="24">
        <f t="shared" si="142"/>
        <v>204641</v>
      </c>
      <c r="T72" s="24">
        <f t="shared" si="142"/>
        <v>4436809</v>
      </c>
      <c r="U72" s="24">
        <f t="shared" si="142"/>
        <v>4503039</v>
      </c>
      <c r="V72" s="24">
        <f t="shared" si="142"/>
        <v>4743716</v>
      </c>
      <c r="W72" s="24">
        <f t="shared" si="142"/>
        <v>3233004</v>
      </c>
      <c r="X72" s="24">
        <f t="shared" si="142"/>
        <v>5318049</v>
      </c>
      <c r="Y72" s="24">
        <f t="shared" si="142"/>
        <v>3733308</v>
      </c>
      <c r="Z72" s="24">
        <f t="shared" si="142"/>
        <v>1446339</v>
      </c>
      <c r="AA72" s="24">
        <f t="shared" si="142"/>
        <v>5323226</v>
      </c>
      <c r="AB72" s="24">
        <f t="shared" ref="AB72:AC72" si="143">AB48+AB61</f>
        <v>5256190</v>
      </c>
      <c r="AC72" s="24">
        <f t="shared" si="143"/>
        <v>5381752</v>
      </c>
      <c r="AD72" s="24">
        <f t="shared" ref="AD72:AE72" si="144">AD48+AD61</f>
        <v>5133194</v>
      </c>
      <c r="AE72" s="24">
        <f t="shared" si="144"/>
        <v>4739771</v>
      </c>
      <c r="AF72" s="24">
        <f t="shared" ref="AF72:AG72" si="145">AF48+AF61</f>
        <v>4438712</v>
      </c>
      <c r="AG72" s="24">
        <f t="shared" si="145"/>
        <v>4495542</v>
      </c>
      <c r="AH72" s="24">
        <f t="shared" ref="AH72:AI72" si="146">AH48+AH61</f>
        <v>4171475</v>
      </c>
      <c r="AI72" s="24">
        <f t="shared" si="146"/>
        <v>4361229</v>
      </c>
      <c r="AJ72" s="24">
        <f t="shared" ref="AJ72:AK72" si="147">AJ48+AJ61</f>
        <v>4464304</v>
      </c>
      <c r="AK72" s="24">
        <f t="shared" si="147"/>
        <v>4357142</v>
      </c>
      <c r="AL72" s="17"/>
    </row>
    <row r="73" spans="1:38" ht="13.5" customHeight="1" x14ac:dyDescent="0.2">
      <c r="A73" s="15"/>
      <c r="E73" s="21"/>
      <c r="F73" s="21">
        <f t="shared" ref="F73:L73" si="148">SUM(F70:F72)</f>
        <v>5251608</v>
      </c>
      <c r="G73" s="21">
        <f t="shared" si="148"/>
        <v>6094877</v>
      </c>
      <c r="H73" s="21">
        <v>7239659</v>
      </c>
      <c r="I73" s="21">
        <f t="shared" si="148"/>
        <v>9821016</v>
      </c>
      <c r="J73" s="21">
        <f t="shared" si="148"/>
        <v>10827103</v>
      </c>
      <c r="K73" s="21">
        <f t="shared" si="148"/>
        <v>11858337</v>
      </c>
      <c r="L73" s="21">
        <f t="shared" si="148"/>
        <v>11204938</v>
      </c>
      <c r="M73" s="21">
        <f t="shared" ref="M73:AA73" si="149">SUM(M70:M72)</f>
        <v>13755828</v>
      </c>
      <c r="N73" s="21">
        <f t="shared" si="149"/>
        <v>16739812</v>
      </c>
      <c r="O73" s="21">
        <f t="shared" si="149"/>
        <v>16580128</v>
      </c>
      <c r="P73" s="21">
        <f t="shared" si="149"/>
        <v>22939446</v>
      </c>
      <c r="Q73" s="21">
        <f t="shared" si="149"/>
        <v>25888121</v>
      </c>
      <c r="R73" s="21">
        <f t="shared" si="149"/>
        <v>28136946</v>
      </c>
      <c r="S73" s="21">
        <f t="shared" si="149"/>
        <v>26679146</v>
      </c>
      <c r="T73" s="21">
        <f t="shared" si="149"/>
        <v>35200867</v>
      </c>
      <c r="U73" s="21">
        <f t="shared" si="149"/>
        <v>36251657</v>
      </c>
      <c r="V73" s="21">
        <f t="shared" si="149"/>
        <v>38137284</v>
      </c>
      <c r="W73" s="21">
        <f t="shared" si="149"/>
        <v>39842037</v>
      </c>
      <c r="X73" s="21">
        <f t="shared" si="149"/>
        <v>43473464</v>
      </c>
      <c r="Y73" s="21">
        <f t="shared" si="149"/>
        <v>42917507</v>
      </c>
      <c r="Z73" s="21">
        <f t="shared" si="149"/>
        <v>38874632</v>
      </c>
      <c r="AA73" s="21">
        <f t="shared" si="149"/>
        <v>41423001</v>
      </c>
      <c r="AB73" s="21">
        <f t="shared" ref="AB73:AC73" si="150">SUM(AB70:AB72)</f>
        <v>41489630</v>
      </c>
      <c r="AC73" s="21">
        <f t="shared" si="150"/>
        <v>41851840</v>
      </c>
      <c r="AD73" s="21">
        <f t="shared" ref="AD73:AE73" si="151">SUM(AD70:AD72)</f>
        <v>38856341</v>
      </c>
      <c r="AE73" s="21">
        <f t="shared" si="151"/>
        <v>38216982</v>
      </c>
      <c r="AF73" s="21">
        <f t="shared" ref="AF73:AG73" si="152">SUM(AF70:AF72)</f>
        <v>40647197</v>
      </c>
      <c r="AG73" s="21">
        <f t="shared" si="152"/>
        <v>41667162</v>
      </c>
      <c r="AH73" s="21">
        <f t="shared" ref="AH73:AI73" si="153">SUM(AH70:AH72)</f>
        <v>38389930</v>
      </c>
      <c r="AI73" s="21">
        <f t="shared" si="153"/>
        <v>40065930.490000002</v>
      </c>
      <c r="AJ73" s="21">
        <f t="shared" ref="AJ73:AK73" si="154">SUM(AJ70:AJ72)</f>
        <v>39607038</v>
      </c>
      <c r="AK73" s="21">
        <f t="shared" si="154"/>
        <v>42123761</v>
      </c>
      <c r="AL73" s="47"/>
    </row>
    <row r="74" spans="1:38" ht="13.5" customHeight="1" x14ac:dyDescent="0.2">
      <c r="A74" s="3"/>
      <c r="C74" s="2" t="s">
        <v>37</v>
      </c>
      <c r="D74" s="2"/>
      <c r="F74" s="21"/>
      <c r="G74" s="21"/>
      <c r="H74" s="21"/>
      <c r="I74" s="21"/>
      <c r="J74" s="21"/>
      <c r="K74" s="21"/>
      <c r="L74" s="21"/>
      <c r="AL74" s="5"/>
    </row>
    <row r="75" spans="1:38" ht="13.5" customHeight="1" x14ac:dyDescent="0.2">
      <c r="A75" s="3"/>
      <c r="D75" s="1" t="s">
        <v>38</v>
      </c>
      <c r="F75" s="32">
        <v>372</v>
      </c>
      <c r="G75" s="32">
        <v>420</v>
      </c>
      <c r="H75" s="32"/>
      <c r="I75" s="32">
        <v>567</v>
      </c>
      <c r="J75" s="32">
        <v>614</v>
      </c>
      <c r="K75" s="32">
        <v>696</v>
      </c>
      <c r="L75" s="32">
        <v>619</v>
      </c>
      <c r="M75" s="32">
        <v>655</v>
      </c>
      <c r="N75" s="32">
        <v>664</v>
      </c>
      <c r="O75" s="32">
        <v>723</v>
      </c>
      <c r="P75" s="32">
        <v>927</v>
      </c>
      <c r="Q75" s="32">
        <v>1094</v>
      </c>
      <c r="R75" s="32">
        <v>1131</v>
      </c>
      <c r="S75" s="32">
        <v>1189</v>
      </c>
      <c r="T75" s="32">
        <v>1362</v>
      </c>
      <c r="U75" s="32">
        <v>1413</v>
      </c>
      <c r="V75" s="32">
        <f>1554</f>
        <v>1554</v>
      </c>
      <c r="W75" s="32">
        <v>1714</v>
      </c>
      <c r="X75" s="32">
        <v>1810</v>
      </c>
      <c r="Y75" s="32">
        <v>1854</v>
      </c>
      <c r="Z75" s="32">
        <v>108</v>
      </c>
      <c r="AA75" s="32">
        <v>122</v>
      </c>
      <c r="AB75" s="32">
        <v>100</v>
      </c>
      <c r="AC75" s="32">
        <v>92</v>
      </c>
      <c r="AD75" s="32">
        <v>92</v>
      </c>
      <c r="AE75" s="32">
        <v>60</v>
      </c>
      <c r="AF75" s="32">
        <v>54</v>
      </c>
      <c r="AG75" s="32">
        <v>52</v>
      </c>
      <c r="AH75" s="32">
        <v>46</v>
      </c>
      <c r="AI75" s="32">
        <v>91</v>
      </c>
      <c r="AJ75" s="32">
        <v>72</v>
      </c>
      <c r="AK75" s="32">
        <v>85</v>
      </c>
      <c r="AL75" s="5"/>
    </row>
    <row r="76" spans="1:38" ht="13.5" customHeight="1" x14ac:dyDescent="0.2">
      <c r="A76" s="15"/>
      <c r="D76" s="1" t="s">
        <v>39</v>
      </c>
      <c r="F76" s="33">
        <v>371</v>
      </c>
      <c r="G76" s="33">
        <v>292</v>
      </c>
      <c r="H76" s="33"/>
      <c r="I76" s="33">
        <v>574</v>
      </c>
      <c r="J76" s="33">
        <v>533</v>
      </c>
      <c r="K76" s="33">
        <v>609</v>
      </c>
      <c r="L76" s="33">
        <v>411</v>
      </c>
      <c r="M76" s="33">
        <v>781</v>
      </c>
      <c r="N76" s="33">
        <v>993</v>
      </c>
      <c r="O76" s="33">
        <v>1056</v>
      </c>
      <c r="P76" s="33">
        <v>1697</v>
      </c>
      <c r="Q76" s="33">
        <v>1715</v>
      </c>
      <c r="R76" s="33">
        <v>1502</v>
      </c>
      <c r="S76" s="33">
        <v>1326</v>
      </c>
      <c r="T76" s="33">
        <v>1299</v>
      </c>
      <c r="U76" s="33">
        <v>1349</v>
      </c>
      <c r="V76" s="33">
        <v>1327</v>
      </c>
      <c r="W76" s="33">
        <v>1233</v>
      </c>
      <c r="X76" s="33">
        <v>1227</v>
      </c>
      <c r="Y76" s="33">
        <v>1114</v>
      </c>
      <c r="Z76" s="33">
        <v>2887</v>
      </c>
      <c r="AA76" s="33">
        <v>2658</v>
      </c>
      <c r="AB76" s="33">
        <v>2621</v>
      </c>
      <c r="AC76" s="33">
        <v>2590</v>
      </c>
      <c r="AD76" s="33">
        <v>2539</v>
      </c>
      <c r="AE76" s="33">
        <v>2314</v>
      </c>
      <c r="AF76" s="33">
        <v>2400</v>
      </c>
      <c r="AG76" s="33">
        <v>2420</v>
      </c>
      <c r="AH76" s="33">
        <v>2247</v>
      </c>
      <c r="AI76" s="33">
        <v>2342</v>
      </c>
      <c r="AJ76" s="33">
        <v>2257</v>
      </c>
      <c r="AK76" s="33">
        <v>2180</v>
      </c>
      <c r="AL76" s="5"/>
    </row>
    <row r="77" spans="1:38" ht="13.5" customHeight="1" x14ac:dyDescent="0.2">
      <c r="A77" s="15"/>
      <c r="F77" s="32">
        <f t="shared" ref="F77:AA77" si="155">SUM(F75:F76)</f>
        <v>743</v>
      </c>
      <c r="G77" s="32">
        <f t="shared" si="155"/>
        <v>712</v>
      </c>
      <c r="H77" s="32"/>
      <c r="I77" s="32">
        <f t="shared" si="155"/>
        <v>1141</v>
      </c>
      <c r="J77" s="32">
        <f t="shared" si="155"/>
        <v>1147</v>
      </c>
      <c r="K77" s="32">
        <f t="shared" si="155"/>
        <v>1305</v>
      </c>
      <c r="L77" s="32">
        <f t="shared" si="155"/>
        <v>1030</v>
      </c>
      <c r="M77" s="32">
        <f t="shared" si="155"/>
        <v>1436</v>
      </c>
      <c r="N77" s="32">
        <f t="shared" si="155"/>
        <v>1657</v>
      </c>
      <c r="O77" s="32">
        <f t="shared" si="155"/>
        <v>1779</v>
      </c>
      <c r="P77" s="32">
        <f t="shared" si="155"/>
        <v>2624</v>
      </c>
      <c r="Q77" s="32">
        <f t="shared" si="155"/>
        <v>2809</v>
      </c>
      <c r="R77" s="32">
        <f t="shared" si="155"/>
        <v>2633</v>
      </c>
      <c r="S77" s="32">
        <f t="shared" si="155"/>
        <v>2515</v>
      </c>
      <c r="T77" s="32">
        <f t="shared" si="155"/>
        <v>2661</v>
      </c>
      <c r="U77" s="32">
        <f t="shared" si="155"/>
        <v>2762</v>
      </c>
      <c r="V77" s="32">
        <f t="shared" si="155"/>
        <v>2881</v>
      </c>
      <c r="W77" s="32">
        <f t="shared" si="155"/>
        <v>2947</v>
      </c>
      <c r="X77" s="32">
        <f t="shared" si="155"/>
        <v>3037</v>
      </c>
      <c r="Y77" s="32">
        <f t="shared" si="155"/>
        <v>2968</v>
      </c>
      <c r="Z77" s="32">
        <f t="shared" si="155"/>
        <v>2995</v>
      </c>
      <c r="AA77" s="32">
        <f t="shared" si="155"/>
        <v>2780</v>
      </c>
      <c r="AB77" s="32">
        <f t="shared" ref="AB77:AC77" si="156">SUM(AB75:AB76)</f>
        <v>2721</v>
      </c>
      <c r="AC77" s="32">
        <f t="shared" si="156"/>
        <v>2682</v>
      </c>
      <c r="AD77" s="32">
        <f t="shared" ref="AD77:AE77" si="157">SUM(AD75:AD76)</f>
        <v>2631</v>
      </c>
      <c r="AE77" s="32">
        <f t="shared" si="157"/>
        <v>2374</v>
      </c>
      <c r="AF77" s="32">
        <f t="shared" ref="AF77:AG77" si="158">SUM(AF75:AF76)</f>
        <v>2454</v>
      </c>
      <c r="AG77" s="32">
        <f t="shared" si="158"/>
        <v>2472</v>
      </c>
      <c r="AH77" s="32">
        <f t="shared" ref="AH77:AI77" si="159">SUM(AH75:AH76)</f>
        <v>2293</v>
      </c>
      <c r="AI77" s="32">
        <f t="shared" si="159"/>
        <v>2433</v>
      </c>
      <c r="AJ77" s="32">
        <f t="shared" ref="AJ77:AK77" si="160">SUM(AJ75:AJ76)</f>
        <v>2329</v>
      </c>
      <c r="AK77" s="32">
        <f t="shared" si="160"/>
        <v>2265</v>
      </c>
      <c r="AL77" s="5"/>
    </row>
    <row r="78" spans="1:38" ht="13.5" customHeight="1" x14ac:dyDescent="0.2">
      <c r="A78" s="15"/>
      <c r="AL78" s="17"/>
    </row>
    <row r="79" spans="1:38" ht="13.5" customHeight="1" x14ac:dyDescent="0.2">
      <c r="A79" s="15"/>
      <c r="AL79" s="17"/>
    </row>
    <row r="80" spans="1:38" ht="13.5" customHeight="1" x14ac:dyDescent="0.2">
      <c r="A80" s="15"/>
      <c r="F80" s="36" t="s">
        <v>3</v>
      </c>
      <c r="G80" s="36" t="s">
        <v>4</v>
      </c>
      <c r="H80" s="36" t="s">
        <v>5</v>
      </c>
      <c r="I80" s="36" t="s">
        <v>6</v>
      </c>
      <c r="J80" s="36" t="s">
        <v>7</v>
      </c>
      <c r="K80" s="36" t="s">
        <v>8</v>
      </c>
      <c r="L80" s="36" t="s">
        <v>9</v>
      </c>
      <c r="M80" s="36" t="s">
        <v>10</v>
      </c>
      <c r="N80" s="36" t="s">
        <v>11</v>
      </c>
      <c r="O80" s="36" t="s">
        <v>12</v>
      </c>
      <c r="P80" s="36" t="s">
        <v>13</v>
      </c>
      <c r="Q80" s="36" t="s">
        <v>14</v>
      </c>
      <c r="R80" s="36" t="s">
        <v>15</v>
      </c>
      <c r="S80" s="36" t="s">
        <v>16</v>
      </c>
      <c r="T80" s="36" t="s">
        <v>17</v>
      </c>
      <c r="U80" s="36" t="s">
        <v>18</v>
      </c>
      <c r="V80" s="36" t="s">
        <v>19</v>
      </c>
      <c r="W80" s="36" t="s">
        <v>20</v>
      </c>
      <c r="X80" s="36" t="s">
        <v>21</v>
      </c>
      <c r="Y80" s="36" t="s">
        <v>22</v>
      </c>
      <c r="Z80" s="36" t="s">
        <v>23</v>
      </c>
      <c r="AA80" s="36" t="s">
        <v>24</v>
      </c>
      <c r="AB80" s="36" t="s">
        <v>51</v>
      </c>
      <c r="AC80" s="36" t="s">
        <v>52</v>
      </c>
      <c r="AD80" s="36" t="s">
        <v>53</v>
      </c>
      <c r="AE80" s="36" t="s">
        <v>54</v>
      </c>
      <c r="AF80" s="36" t="s">
        <v>55</v>
      </c>
      <c r="AG80" s="36" t="s">
        <v>56</v>
      </c>
      <c r="AH80" s="36" t="s">
        <v>57</v>
      </c>
      <c r="AI80" s="36" t="s">
        <v>58</v>
      </c>
      <c r="AJ80" s="36" t="s">
        <v>59</v>
      </c>
      <c r="AK80" s="36" t="s">
        <v>60</v>
      </c>
      <c r="AL80" s="17"/>
    </row>
    <row r="81" spans="1:38" ht="13.5" customHeight="1" x14ac:dyDescent="0.2">
      <c r="A81" s="15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7"/>
    </row>
    <row r="82" spans="1:38" ht="13.5" customHeight="1" x14ac:dyDescent="0.2">
      <c r="A82" s="15"/>
      <c r="B82" s="53" t="s">
        <v>41</v>
      </c>
      <c r="C82" s="54"/>
      <c r="D82" s="54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17"/>
    </row>
    <row r="83" spans="1:38" ht="13.5" customHeight="1" x14ac:dyDescent="0.2">
      <c r="A83" s="15"/>
      <c r="C83" s="2" t="s">
        <v>26</v>
      </c>
      <c r="D83" s="2"/>
      <c r="AL83" s="17"/>
    </row>
    <row r="84" spans="1:38" ht="13.5" customHeight="1" x14ac:dyDescent="0.2">
      <c r="A84" s="15"/>
      <c r="D84" s="1" t="s">
        <v>27</v>
      </c>
      <c r="E84" s="21"/>
      <c r="F84" s="21">
        <f t="shared" ref="F84:G86" si="161">F11+F46</f>
        <v>2859059</v>
      </c>
      <c r="G84" s="21">
        <f t="shared" si="161"/>
        <v>2631643</v>
      </c>
      <c r="H84" s="21"/>
      <c r="I84" s="21">
        <f t="shared" ref="I84:AA86" si="162">I11+I46</f>
        <v>3075665</v>
      </c>
      <c r="J84" s="21">
        <f t="shared" si="162"/>
        <v>3405849</v>
      </c>
      <c r="K84" s="21">
        <f t="shared" si="162"/>
        <v>3646207</v>
      </c>
      <c r="L84" s="21">
        <f t="shared" si="162"/>
        <v>4167359</v>
      </c>
      <c r="M84" s="21">
        <f t="shared" si="162"/>
        <v>4306047</v>
      </c>
      <c r="N84" s="21">
        <f t="shared" si="162"/>
        <v>5453926</v>
      </c>
      <c r="O84" s="21">
        <f t="shared" si="162"/>
        <v>6474589</v>
      </c>
      <c r="P84" s="21">
        <f t="shared" si="162"/>
        <v>6702923</v>
      </c>
      <c r="Q84" s="21">
        <f t="shared" si="162"/>
        <v>7507070</v>
      </c>
      <c r="R84" s="21">
        <f t="shared" si="162"/>
        <v>7755657</v>
      </c>
      <c r="S84" s="21">
        <f t="shared" si="162"/>
        <v>8439196</v>
      </c>
      <c r="T84" s="21">
        <f t="shared" si="162"/>
        <v>8748316</v>
      </c>
      <c r="U84" s="21">
        <f t="shared" si="162"/>
        <v>9168300</v>
      </c>
      <c r="V84" s="21">
        <f t="shared" si="162"/>
        <v>10885498</v>
      </c>
      <c r="W84" s="21">
        <f t="shared" si="162"/>
        <v>17176271</v>
      </c>
      <c r="X84" s="21">
        <f t="shared" si="162"/>
        <v>18337064</v>
      </c>
      <c r="Y84" s="21">
        <f t="shared" si="162"/>
        <v>18188628</v>
      </c>
      <c r="Z84" s="21">
        <f t="shared" si="162"/>
        <v>18194633</v>
      </c>
      <c r="AA84" s="21">
        <f t="shared" si="162"/>
        <v>20058523</v>
      </c>
      <c r="AB84" s="21">
        <f t="shared" ref="AB84:AC84" si="163">AB11+AB46</f>
        <v>20020285</v>
      </c>
      <c r="AC84" s="21">
        <f t="shared" si="163"/>
        <v>18875126</v>
      </c>
      <c r="AD84" s="21">
        <f t="shared" ref="AD84:AE84" si="164">AD11+AD46</f>
        <v>16627778</v>
      </c>
      <c r="AE84" s="21">
        <f t="shared" si="164"/>
        <v>18145842</v>
      </c>
      <c r="AF84" s="21">
        <f t="shared" ref="AF84:AG84" si="165">AF11+AF46</f>
        <v>18040314</v>
      </c>
      <c r="AG84" s="21">
        <f t="shared" si="165"/>
        <v>16131229</v>
      </c>
      <c r="AH84" s="21">
        <f t="shared" ref="AH84:AI84" si="166">AH11+AH46</f>
        <v>18226365</v>
      </c>
      <c r="AI84" s="21">
        <f t="shared" si="166"/>
        <v>14463259</v>
      </c>
      <c r="AJ84" s="21">
        <f t="shared" ref="AJ84:AK84" si="167">AJ11+AJ46</f>
        <v>14658785</v>
      </c>
      <c r="AK84" s="21">
        <f t="shared" si="167"/>
        <v>15678243</v>
      </c>
      <c r="AL84" s="17"/>
    </row>
    <row r="85" spans="1:38" ht="13.5" customHeight="1" x14ac:dyDescent="0.2">
      <c r="A85" s="15"/>
      <c r="D85" s="1" t="s">
        <v>28</v>
      </c>
      <c r="E85" s="23"/>
      <c r="F85" s="23">
        <f t="shared" si="161"/>
        <v>8620787</v>
      </c>
      <c r="G85" s="23">
        <f t="shared" si="161"/>
        <v>13825122</v>
      </c>
      <c r="H85" s="23"/>
      <c r="I85" s="23">
        <f t="shared" si="162"/>
        <v>26577038</v>
      </c>
      <c r="J85" s="23">
        <f t="shared" si="162"/>
        <v>29960234</v>
      </c>
      <c r="K85" s="23">
        <f t="shared" si="162"/>
        <v>31447013</v>
      </c>
      <c r="L85" s="23">
        <f t="shared" si="162"/>
        <v>32106259</v>
      </c>
      <c r="M85" s="23">
        <f t="shared" si="162"/>
        <v>32550095</v>
      </c>
      <c r="N85" s="23">
        <f t="shared" si="162"/>
        <v>37482538</v>
      </c>
      <c r="O85" s="23">
        <f t="shared" si="162"/>
        <v>38036397</v>
      </c>
      <c r="P85" s="23">
        <f t="shared" si="162"/>
        <v>45263877</v>
      </c>
      <c r="Q85" s="23">
        <f t="shared" si="162"/>
        <v>53261503</v>
      </c>
      <c r="R85" s="23">
        <f t="shared" si="162"/>
        <v>56016534</v>
      </c>
      <c r="S85" s="23">
        <f t="shared" si="162"/>
        <v>59297773</v>
      </c>
      <c r="T85" s="23">
        <f t="shared" si="162"/>
        <v>64656957</v>
      </c>
      <c r="U85" s="23">
        <f t="shared" si="162"/>
        <v>66701095</v>
      </c>
      <c r="V85" s="23">
        <f t="shared" si="162"/>
        <v>73935428</v>
      </c>
      <c r="W85" s="23">
        <f t="shared" si="162"/>
        <v>85001947</v>
      </c>
      <c r="X85" s="23">
        <f t="shared" si="162"/>
        <v>85855419</v>
      </c>
      <c r="Y85" s="23">
        <f t="shared" si="162"/>
        <v>85200243</v>
      </c>
      <c r="Z85" s="23">
        <f t="shared" si="162"/>
        <v>80880662</v>
      </c>
      <c r="AA85" s="23">
        <f t="shared" si="162"/>
        <v>76408726</v>
      </c>
      <c r="AB85" s="23">
        <f t="shared" ref="AB85:AC85" si="168">AB12+AB47</f>
        <v>72531103</v>
      </c>
      <c r="AC85" s="23">
        <f t="shared" si="168"/>
        <v>68429197</v>
      </c>
      <c r="AD85" s="23">
        <f t="shared" ref="AD85:AE85" si="169">AD12+AD47</f>
        <v>61899472</v>
      </c>
      <c r="AE85" s="23">
        <f t="shared" si="169"/>
        <v>58496458</v>
      </c>
      <c r="AF85" s="23">
        <f t="shared" ref="AF85:AG85" si="170">AF12+AF47</f>
        <v>58730583</v>
      </c>
      <c r="AG85" s="23">
        <f t="shared" si="170"/>
        <v>53873526</v>
      </c>
      <c r="AH85" s="23">
        <f t="shared" ref="AH85:AI85" si="171">AH12+AH47</f>
        <v>49866998</v>
      </c>
      <c r="AI85" s="23">
        <f t="shared" si="171"/>
        <v>46025847</v>
      </c>
      <c r="AJ85" s="23">
        <f t="shared" ref="AJ85:AK85" si="172">AJ12+AJ47</f>
        <v>46522873</v>
      </c>
      <c r="AK85" s="23">
        <f t="shared" si="172"/>
        <v>46929374</v>
      </c>
      <c r="AL85" s="17"/>
    </row>
    <row r="86" spans="1:38" ht="13.5" customHeight="1" x14ac:dyDescent="0.2">
      <c r="A86" s="15"/>
      <c r="D86" s="1" t="s">
        <v>29</v>
      </c>
      <c r="E86" s="23"/>
      <c r="F86" s="24">
        <f t="shared" si="161"/>
        <v>360201</v>
      </c>
      <c r="G86" s="24">
        <f t="shared" si="161"/>
        <v>289433</v>
      </c>
      <c r="H86" s="24"/>
      <c r="I86" s="24">
        <f t="shared" si="162"/>
        <v>210742</v>
      </c>
      <c r="J86" s="24">
        <f t="shared" si="162"/>
        <v>198889</v>
      </c>
      <c r="K86" s="24">
        <f t="shared" si="162"/>
        <v>346837</v>
      </c>
      <c r="L86" s="24">
        <f t="shared" si="162"/>
        <v>378334</v>
      </c>
      <c r="M86" s="24">
        <f t="shared" si="162"/>
        <v>336684</v>
      </c>
      <c r="N86" s="24">
        <f t="shared" si="162"/>
        <v>417303</v>
      </c>
      <c r="O86" s="24">
        <f t="shared" si="162"/>
        <v>518232</v>
      </c>
      <c r="P86" s="24">
        <f t="shared" si="162"/>
        <v>887316</v>
      </c>
      <c r="Q86" s="24">
        <f t="shared" si="162"/>
        <v>453599</v>
      </c>
      <c r="R86" s="24">
        <f t="shared" si="162"/>
        <v>375565</v>
      </c>
      <c r="S86" s="24">
        <f t="shared" si="162"/>
        <v>926390</v>
      </c>
      <c r="T86" s="24">
        <f t="shared" si="162"/>
        <v>390713</v>
      </c>
      <c r="U86" s="24">
        <f t="shared" si="162"/>
        <v>282274</v>
      </c>
      <c r="V86" s="24">
        <f t="shared" si="162"/>
        <v>292323</v>
      </c>
      <c r="W86" s="24">
        <f t="shared" si="162"/>
        <v>332445</v>
      </c>
      <c r="X86" s="24">
        <f t="shared" si="162"/>
        <v>309732</v>
      </c>
      <c r="Y86" s="24">
        <f t="shared" si="162"/>
        <v>331336</v>
      </c>
      <c r="Z86" s="24">
        <f t="shared" si="162"/>
        <v>375963</v>
      </c>
      <c r="AA86" s="24">
        <f t="shared" si="162"/>
        <v>281534</v>
      </c>
      <c r="AB86" s="24">
        <f t="shared" ref="AB86:AC86" si="173">AB13+AB48</f>
        <v>277419</v>
      </c>
      <c r="AC86" s="24">
        <f t="shared" si="173"/>
        <v>303279</v>
      </c>
      <c r="AD86" s="24">
        <f t="shared" ref="AD86:AE86" si="174">AD13+AD48</f>
        <v>293571</v>
      </c>
      <c r="AE86" s="24">
        <f t="shared" si="174"/>
        <v>343580</v>
      </c>
      <c r="AF86" s="24">
        <f t="shared" ref="AF86:AG86" si="175">AF13+AF48</f>
        <v>655126</v>
      </c>
      <c r="AG86" s="24">
        <f t="shared" si="175"/>
        <v>467815</v>
      </c>
      <c r="AH86" s="24">
        <f t="shared" ref="AH86:AI86" si="176">AH13+AH48</f>
        <v>433950</v>
      </c>
      <c r="AI86" s="24">
        <f t="shared" si="176"/>
        <v>370723</v>
      </c>
      <c r="AJ86" s="24">
        <f t="shared" ref="AJ86:AK86" si="177">AJ13+AJ48</f>
        <v>354983</v>
      </c>
      <c r="AK86" s="24">
        <f t="shared" si="177"/>
        <v>586405</v>
      </c>
      <c r="AL86" s="17"/>
    </row>
    <row r="87" spans="1:38" ht="13.5" customHeight="1" x14ac:dyDescent="0.2">
      <c r="A87" s="15"/>
      <c r="F87" s="21">
        <f t="shared" ref="F87:AA87" si="178">SUM(F84:F86)</f>
        <v>11840047</v>
      </c>
      <c r="G87" s="21">
        <f t="shared" si="178"/>
        <v>16746198</v>
      </c>
      <c r="H87" s="21"/>
      <c r="I87" s="21">
        <f t="shared" si="178"/>
        <v>29863445</v>
      </c>
      <c r="J87" s="21">
        <f t="shared" si="178"/>
        <v>33564972</v>
      </c>
      <c r="K87" s="21">
        <f t="shared" si="178"/>
        <v>35440057</v>
      </c>
      <c r="L87" s="21">
        <f t="shared" si="178"/>
        <v>36651952</v>
      </c>
      <c r="M87" s="21">
        <f t="shared" si="178"/>
        <v>37192826</v>
      </c>
      <c r="N87" s="21">
        <f t="shared" si="178"/>
        <v>43353767</v>
      </c>
      <c r="O87" s="21">
        <f t="shared" si="178"/>
        <v>45029218</v>
      </c>
      <c r="P87" s="21">
        <f t="shared" si="178"/>
        <v>52854116</v>
      </c>
      <c r="Q87" s="21">
        <f t="shared" si="178"/>
        <v>61222172</v>
      </c>
      <c r="R87" s="21">
        <f t="shared" si="178"/>
        <v>64147756</v>
      </c>
      <c r="S87" s="21">
        <f t="shared" si="178"/>
        <v>68663359</v>
      </c>
      <c r="T87" s="21">
        <f t="shared" si="178"/>
        <v>73795986</v>
      </c>
      <c r="U87" s="21">
        <f t="shared" si="178"/>
        <v>76151669</v>
      </c>
      <c r="V87" s="21">
        <f t="shared" si="178"/>
        <v>85113249</v>
      </c>
      <c r="W87" s="21">
        <f t="shared" si="178"/>
        <v>102510663</v>
      </c>
      <c r="X87" s="21">
        <f t="shared" si="178"/>
        <v>104502215</v>
      </c>
      <c r="Y87" s="21">
        <f t="shared" si="178"/>
        <v>103720207</v>
      </c>
      <c r="Z87" s="21">
        <f t="shared" si="178"/>
        <v>99451258</v>
      </c>
      <c r="AA87" s="21">
        <f t="shared" si="178"/>
        <v>96748783</v>
      </c>
      <c r="AB87" s="21">
        <f t="shared" ref="AB87:AC87" si="179">SUM(AB84:AB86)</f>
        <v>92828807</v>
      </c>
      <c r="AC87" s="21">
        <f t="shared" si="179"/>
        <v>87607602</v>
      </c>
      <c r="AD87" s="21">
        <f t="shared" ref="AD87:AE87" si="180">SUM(AD84:AD86)</f>
        <v>78820821</v>
      </c>
      <c r="AE87" s="21">
        <f t="shared" si="180"/>
        <v>76985880</v>
      </c>
      <c r="AF87" s="21">
        <f t="shared" ref="AF87:AG87" si="181">SUM(AF84:AF86)</f>
        <v>77426023</v>
      </c>
      <c r="AG87" s="21">
        <f t="shared" si="181"/>
        <v>70472570</v>
      </c>
      <c r="AH87" s="21">
        <f t="shared" ref="AH87:AI87" si="182">SUM(AH84:AH86)</f>
        <v>68527313</v>
      </c>
      <c r="AI87" s="21">
        <f t="shared" si="182"/>
        <v>60859829</v>
      </c>
      <c r="AJ87" s="21">
        <f t="shared" ref="AJ87:AK87" si="183">SUM(AJ84:AJ86)</f>
        <v>61536641</v>
      </c>
      <c r="AK87" s="21">
        <f t="shared" si="183"/>
        <v>63194022</v>
      </c>
      <c r="AL87" s="17"/>
    </row>
    <row r="88" spans="1:38" ht="13.5" hidden="1" customHeight="1" x14ac:dyDescent="0.2">
      <c r="A88" s="15"/>
      <c r="D88" s="26"/>
      <c r="E88" s="27"/>
      <c r="F88" s="28">
        <f>F15+F50</f>
        <v>-137480</v>
      </c>
      <c r="G88" s="28">
        <f>G15+G50</f>
        <v>-136592</v>
      </c>
      <c r="H88" s="30"/>
      <c r="I88" s="28">
        <f t="shared" ref="I88:AA88" si="184">I15+I50</f>
        <v>-126801</v>
      </c>
      <c r="J88" s="28">
        <f t="shared" si="184"/>
        <v>-280</v>
      </c>
      <c r="K88" s="28">
        <f t="shared" si="184"/>
        <v>-339</v>
      </c>
      <c r="L88" s="28">
        <f t="shared" si="184"/>
        <v>0</v>
      </c>
      <c r="M88" s="28">
        <f t="shared" si="184"/>
        <v>0</v>
      </c>
      <c r="N88" s="28">
        <f t="shared" si="184"/>
        <v>0</v>
      </c>
      <c r="O88" s="28">
        <f t="shared" si="184"/>
        <v>0</v>
      </c>
      <c r="P88" s="28">
        <f t="shared" si="184"/>
        <v>0</v>
      </c>
      <c r="Q88" s="28">
        <f t="shared" si="184"/>
        <v>-306584</v>
      </c>
      <c r="R88" s="28">
        <f t="shared" si="184"/>
        <v>0</v>
      </c>
      <c r="S88" s="28">
        <f t="shared" si="184"/>
        <v>0</v>
      </c>
      <c r="T88" s="28">
        <f t="shared" si="184"/>
        <v>0</v>
      </c>
      <c r="U88" s="28">
        <f t="shared" si="184"/>
        <v>0</v>
      </c>
      <c r="V88" s="28">
        <f t="shared" si="184"/>
        <v>0</v>
      </c>
      <c r="W88" s="28">
        <f t="shared" si="184"/>
        <v>0</v>
      </c>
      <c r="X88" s="28">
        <f t="shared" si="184"/>
        <v>0</v>
      </c>
      <c r="Y88" s="28">
        <f t="shared" si="184"/>
        <v>0</v>
      </c>
      <c r="Z88" s="28">
        <f t="shared" si="184"/>
        <v>0</v>
      </c>
      <c r="AA88" s="28">
        <f t="shared" si="184"/>
        <v>-48714</v>
      </c>
      <c r="AB88" s="28">
        <f t="shared" ref="AB88:AC88" si="185">AB15+AB50</f>
        <v>-65790</v>
      </c>
      <c r="AC88" s="28">
        <f t="shared" si="185"/>
        <v>-31782</v>
      </c>
      <c r="AD88" s="28">
        <f t="shared" ref="AD88:AE88" si="186">AD15+AD50</f>
        <v>0</v>
      </c>
      <c r="AE88" s="28">
        <f t="shared" si="186"/>
        <v>-7389</v>
      </c>
      <c r="AF88" s="28">
        <f t="shared" ref="AF88:AG88" si="187">AF15+AF50</f>
        <v>-1040</v>
      </c>
      <c r="AG88" s="28">
        <f t="shared" si="187"/>
        <v>-364</v>
      </c>
      <c r="AH88" s="28">
        <f t="shared" ref="AH88:AI88" si="188">AH15+AH50</f>
        <v>-3160</v>
      </c>
      <c r="AI88" s="28">
        <f t="shared" si="188"/>
        <v>0</v>
      </c>
      <c r="AJ88" s="28">
        <f t="shared" ref="AJ88:AK88" si="189">AJ15+AJ50</f>
        <v>-10108</v>
      </c>
      <c r="AK88" s="28">
        <f t="shared" si="189"/>
        <v>-8568</v>
      </c>
      <c r="AL88" s="5"/>
    </row>
    <row r="89" spans="1:38" ht="13.5" customHeight="1" x14ac:dyDescent="0.2">
      <c r="A89" s="15"/>
      <c r="D89" s="26"/>
      <c r="E89" s="27" t="s">
        <v>30</v>
      </c>
      <c r="F89" s="29">
        <f t="shared" ref="F89:AA89" si="190">SUM(F87:F88)</f>
        <v>11702567</v>
      </c>
      <c r="G89" s="29">
        <f t="shared" si="190"/>
        <v>16609606</v>
      </c>
      <c r="H89" s="29"/>
      <c r="I89" s="29">
        <f t="shared" si="190"/>
        <v>29736644</v>
      </c>
      <c r="J89" s="29">
        <f t="shared" si="190"/>
        <v>33564692</v>
      </c>
      <c r="K89" s="29">
        <f t="shared" si="190"/>
        <v>35439718</v>
      </c>
      <c r="L89" s="29">
        <f t="shared" si="190"/>
        <v>36651952</v>
      </c>
      <c r="M89" s="29">
        <f t="shared" si="190"/>
        <v>37192826</v>
      </c>
      <c r="N89" s="29">
        <f t="shared" si="190"/>
        <v>43353767</v>
      </c>
      <c r="O89" s="29">
        <f t="shared" si="190"/>
        <v>45029218</v>
      </c>
      <c r="P89" s="29">
        <f t="shared" si="190"/>
        <v>52854116</v>
      </c>
      <c r="Q89" s="29">
        <f t="shared" si="190"/>
        <v>60915588</v>
      </c>
      <c r="R89" s="29">
        <f t="shared" si="190"/>
        <v>64147756</v>
      </c>
      <c r="S89" s="29">
        <f t="shared" si="190"/>
        <v>68663359</v>
      </c>
      <c r="T89" s="29">
        <f t="shared" si="190"/>
        <v>73795986</v>
      </c>
      <c r="U89" s="29">
        <f t="shared" si="190"/>
        <v>76151669</v>
      </c>
      <c r="V89" s="29">
        <f t="shared" si="190"/>
        <v>85113249</v>
      </c>
      <c r="W89" s="29">
        <f t="shared" si="190"/>
        <v>102510663</v>
      </c>
      <c r="X89" s="29">
        <f t="shared" si="190"/>
        <v>104502215</v>
      </c>
      <c r="Y89" s="29">
        <f t="shared" si="190"/>
        <v>103720207</v>
      </c>
      <c r="Z89" s="29">
        <f t="shared" si="190"/>
        <v>99451258</v>
      </c>
      <c r="AA89" s="29">
        <f t="shared" si="190"/>
        <v>96700069</v>
      </c>
      <c r="AB89" s="29">
        <f t="shared" ref="AB89:AC89" si="191">SUM(AB87:AB88)</f>
        <v>92763017</v>
      </c>
      <c r="AC89" s="29">
        <f t="shared" si="191"/>
        <v>87575820</v>
      </c>
      <c r="AD89" s="29">
        <f t="shared" ref="AD89:AE89" si="192">SUM(AD87:AD88)</f>
        <v>78820821</v>
      </c>
      <c r="AE89" s="29">
        <f t="shared" si="192"/>
        <v>76978491</v>
      </c>
      <c r="AF89" s="29">
        <f t="shared" ref="AF89:AG89" si="193">SUM(AF87:AF88)</f>
        <v>77424983</v>
      </c>
      <c r="AG89" s="29">
        <f t="shared" si="193"/>
        <v>70472206</v>
      </c>
      <c r="AH89" s="29">
        <f t="shared" ref="AH89:AI89" si="194">SUM(AH87:AH88)</f>
        <v>68524153</v>
      </c>
      <c r="AI89" s="29">
        <f t="shared" si="194"/>
        <v>60859829</v>
      </c>
      <c r="AJ89" s="29">
        <f t="shared" ref="AJ89:AK89" si="195">SUM(AJ87:AJ88)</f>
        <v>61526533</v>
      </c>
      <c r="AK89" s="29">
        <f t="shared" si="195"/>
        <v>63185454</v>
      </c>
      <c r="AL89" s="5"/>
    </row>
    <row r="90" spans="1:38" ht="13.5" customHeight="1" x14ac:dyDescent="0.2">
      <c r="A90" s="15"/>
      <c r="C90" s="2" t="s">
        <v>31</v>
      </c>
      <c r="AL90" s="17"/>
    </row>
    <row r="91" spans="1:38" ht="13.5" customHeight="1" x14ac:dyDescent="0.2">
      <c r="A91" s="15"/>
      <c r="D91" s="1" t="s">
        <v>27</v>
      </c>
      <c r="E91" s="21"/>
      <c r="F91" s="21">
        <f>F18+F53</f>
        <v>306184</v>
      </c>
      <c r="G91" s="21">
        <f>G18+G53</f>
        <v>331955</v>
      </c>
      <c r="H91" s="21"/>
      <c r="I91" s="21">
        <f t="shared" ref="I91:AA92" si="196">I18+I53</f>
        <v>415598</v>
      </c>
      <c r="J91" s="21">
        <f t="shared" si="196"/>
        <v>590469</v>
      </c>
      <c r="K91" s="21">
        <f t="shared" si="196"/>
        <v>807732</v>
      </c>
      <c r="L91" s="21">
        <f t="shared" si="196"/>
        <v>1382746</v>
      </c>
      <c r="M91" s="21">
        <f t="shared" si="196"/>
        <v>1516243</v>
      </c>
      <c r="N91" s="21">
        <f t="shared" si="196"/>
        <v>1508523</v>
      </c>
      <c r="O91" s="21">
        <f t="shared" si="196"/>
        <v>1940897</v>
      </c>
      <c r="P91" s="21">
        <f t="shared" si="196"/>
        <v>1627360</v>
      </c>
      <c r="Q91" s="21">
        <f t="shared" si="196"/>
        <v>1750229</v>
      </c>
      <c r="R91" s="21">
        <f t="shared" si="196"/>
        <v>1595773</v>
      </c>
      <c r="S91" s="21">
        <f t="shared" si="196"/>
        <v>2329492</v>
      </c>
      <c r="T91" s="21">
        <f t="shared" si="196"/>
        <v>1990480</v>
      </c>
      <c r="U91" s="21">
        <f t="shared" si="196"/>
        <v>3209219</v>
      </c>
      <c r="V91" s="21">
        <f t="shared" si="196"/>
        <v>3477925</v>
      </c>
      <c r="W91" s="21">
        <f t="shared" si="196"/>
        <v>3181236</v>
      </c>
      <c r="X91" s="21">
        <f t="shared" si="196"/>
        <v>2096369</v>
      </c>
      <c r="Y91" s="21">
        <f t="shared" si="196"/>
        <v>2127678</v>
      </c>
      <c r="Z91" s="21">
        <f t="shared" si="196"/>
        <v>2234276</v>
      </c>
      <c r="AA91" s="21">
        <f t="shared" si="196"/>
        <v>2460364</v>
      </c>
      <c r="AB91" s="21">
        <f t="shared" ref="AB91:AC91" si="197">AB18+AB53</f>
        <v>3347585</v>
      </c>
      <c r="AC91" s="21">
        <f t="shared" si="197"/>
        <v>3988802</v>
      </c>
      <c r="AD91" s="21">
        <f t="shared" ref="AD91:AE91" si="198">AD18+AD53</f>
        <v>4030200</v>
      </c>
      <c r="AE91" s="21">
        <f t="shared" si="198"/>
        <v>3343539</v>
      </c>
      <c r="AF91" s="21">
        <f t="shared" ref="AF91:AG91" si="199">AF18+AF53</f>
        <v>3796621</v>
      </c>
      <c r="AG91" s="21">
        <f t="shared" si="199"/>
        <v>3696015</v>
      </c>
      <c r="AH91" s="21">
        <f t="shared" ref="AH91:AI91" si="200">AH18+AH53</f>
        <v>3245480</v>
      </c>
      <c r="AI91" s="21">
        <f t="shared" si="200"/>
        <v>3549740</v>
      </c>
      <c r="AJ91" s="21">
        <f t="shared" ref="AJ91:AK91" si="201">AJ18+AJ53</f>
        <v>3646948</v>
      </c>
      <c r="AK91" s="21">
        <f t="shared" si="201"/>
        <v>4077437</v>
      </c>
      <c r="AL91" s="17"/>
    </row>
    <row r="92" spans="1:38" ht="13.5" customHeight="1" x14ac:dyDescent="0.2">
      <c r="A92" s="15"/>
      <c r="D92" s="1" t="s">
        <v>28</v>
      </c>
      <c r="E92" s="23"/>
      <c r="F92" s="24">
        <f>F19+F54</f>
        <v>0</v>
      </c>
      <c r="G92" s="24">
        <f>G19+G54</f>
        <v>0</v>
      </c>
      <c r="H92" s="24"/>
      <c r="I92" s="24">
        <f t="shared" si="196"/>
        <v>0</v>
      </c>
      <c r="J92" s="24">
        <f t="shared" si="196"/>
        <v>0</v>
      </c>
      <c r="K92" s="24">
        <f t="shared" si="196"/>
        <v>0</v>
      </c>
      <c r="L92" s="24">
        <f t="shared" si="196"/>
        <v>0</v>
      </c>
      <c r="M92" s="24">
        <f t="shared" si="196"/>
        <v>71684</v>
      </c>
      <c r="N92" s="24">
        <f t="shared" si="196"/>
        <v>28951</v>
      </c>
      <c r="O92" s="24">
        <f t="shared" si="196"/>
        <v>15201</v>
      </c>
      <c r="P92" s="24">
        <f t="shared" si="196"/>
        <v>13750</v>
      </c>
      <c r="Q92" s="24">
        <f t="shared" si="196"/>
        <v>5750</v>
      </c>
      <c r="R92" s="24">
        <f t="shared" si="196"/>
        <v>2500</v>
      </c>
      <c r="S92" s="24">
        <f t="shared" si="196"/>
        <v>0</v>
      </c>
      <c r="T92" s="24">
        <f t="shared" si="196"/>
        <v>0</v>
      </c>
      <c r="U92" s="24">
        <f t="shared" si="196"/>
        <v>0</v>
      </c>
      <c r="V92" s="24">
        <f t="shared" si="196"/>
        <v>0</v>
      </c>
      <c r="W92" s="24">
        <f t="shared" si="196"/>
        <v>0</v>
      </c>
      <c r="X92" s="24">
        <f t="shared" si="196"/>
        <v>0</v>
      </c>
      <c r="Y92" s="24">
        <f t="shared" si="196"/>
        <v>0</v>
      </c>
      <c r="Z92" s="24">
        <f t="shared" si="196"/>
        <v>0</v>
      </c>
      <c r="AA92" s="24">
        <f t="shared" si="196"/>
        <v>0</v>
      </c>
      <c r="AB92" s="24">
        <f t="shared" ref="AB92:AC92" si="202">AB19+AB54</f>
        <v>0</v>
      </c>
      <c r="AC92" s="24">
        <f t="shared" si="202"/>
        <v>0</v>
      </c>
      <c r="AD92" s="24">
        <f t="shared" ref="AD92:AE92" si="203">AD19+AD54</f>
        <v>0</v>
      </c>
      <c r="AE92" s="24">
        <f t="shared" si="203"/>
        <v>0</v>
      </c>
      <c r="AF92" s="24">
        <f t="shared" ref="AF92:AG92" si="204">AF19+AF54</f>
        <v>0</v>
      </c>
      <c r="AG92" s="24">
        <f t="shared" si="204"/>
        <v>0</v>
      </c>
      <c r="AH92" s="24">
        <f t="shared" ref="AH92:AI92" si="205">AH19+AH54</f>
        <v>0</v>
      </c>
      <c r="AI92" s="24">
        <f t="shared" si="205"/>
        <v>0</v>
      </c>
      <c r="AJ92" s="24">
        <f t="shared" ref="AJ92:AK92" si="206">AJ19+AJ54</f>
        <v>0</v>
      </c>
      <c r="AK92" s="24">
        <f t="shared" si="206"/>
        <v>0</v>
      </c>
      <c r="AL92" s="17"/>
    </row>
    <row r="93" spans="1:38" ht="13.5" customHeight="1" x14ac:dyDescent="0.2">
      <c r="A93" s="15"/>
      <c r="F93" s="21">
        <f t="shared" ref="F93:AA93" si="207">SUM(F91:F92)</f>
        <v>306184</v>
      </c>
      <c r="G93" s="21">
        <f t="shared" si="207"/>
        <v>331955</v>
      </c>
      <c r="H93" s="21"/>
      <c r="I93" s="21">
        <f t="shared" si="207"/>
        <v>415598</v>
      </c>
      <c r="J93" s="21">
        <f t="shared" si="207"/>
        <v>590469</v>
      </c>
      <c r="K93" s="21">
        <f t="shared" si="207"/>
        <v>807732</v>
      </c>
      <c r="L93" s="21">
        <f t="shared" si="207"/>
        <v>1382746</v>
      </c>
      <c r="M93" s="21">
        <f t="shared" si="207"/>
        <v>1587927</v>
      </c>
      <c r="N93" s="21">
        <f t="shared" si="207"/>
        <v>1537474</v>
      </c>
      <c r="O93" s="21">
        <f t="shared" si="207"/>
        <v>1956098</v>
      </c>
      <c r="P93" s="21">
        <f t="shared" si="207"/>
        <v>1641110</v>
      </c>
      <c r="Q93" s="21">
        <f t="shared" si="207"/>
        <v>1755979</v>
      </c>
      <c r="R93" s="21">
        <f t="shared" si="207"/>
        <v>1598273</v>
      </c>
      <c r="S93" s="21">
        <f t="shared" si="207"/>
        <v>2329492</v>
      </c>
      <c r="T93" s="21">
        <f t="shared" si="207"/>
        <v>1990480</v>
      </c>
      <c r="U93" s="21">
        <f t="shared" si="207"/>
        <v>3209219</v>
      </c>
      <c r="V93" s="21">
        <f t="shared" si="207"/>
        <v>3477925</v>
      </c>
      <c r="W93" s="21">
        <f t="shared" si="207"/>
        <v>3181236</v>
      </c>
      <c r="X93" s="21">
        <f t="shared" si="207"/>
        <v>2096369</v>
      </c>
      <c r="Y93" s="21">
        <f t="shared" si="207"/>
        <v>2127678</v>
      </c>
      <c r="Z93" s="21">
        <f t="shared" si="207"/>
        <v>2234276</v>
      </c>
      <c r="AA93" s="21">
        <f t="shared" si="207"/>
        <v>2460364</v>
      </c>
      <c r="AB93" s="21">
        <f t="shared" ref="AB93:AC93" si="208">SUM(AB91:AB92)</f>
        <v>3347585</v>
      </c>
      <c r="AC93" s="21">
        <f t="shared" si="208"/>
        <v>3988802</v>
      </c>
      <c r="AD93" s="21">
        <f t="shared" ref="AD93:AE93" si="209">SUM(AD91:AD92)</f>
        <v>4030200</v>
      </c>
      <c r="AE93" s="21">
        <f t="shared" si="209"/>
        <v>3343539</v>
      </c>
      <c r="AF93" s="21">
        <f t="shared" ref="AF93:AG93" si="210">SUM(AF91:AF92)</f>
        <v>3796621</v>
      </c>
      <c r="AG93" s="21">
        <f t="shared" si="210"/>
        <v>3696015</v>
      </c>
      <c r="AH93" s="21">
        <f t="shared" ref="AH93:AI93" si="211">SUM(AH91:AH92)</f>
        <v>3245480</v>
      </c>
      <c r="AI93" s="21">
        <f t="shared" si="211"/>
        <v>3549740</v>
      </c>
      <c r="AJ93" s="21">
        <f t="shared" ref="AJ93:AK93" si="212">SUM(AJ91:AJ92)</f>
        <v>3646948</v>
      </c>
      <c r="AK93" s="21">
        <f t="shared" si="212"/>
        <v>4077437</v>
      </c>
      <c r="AL93" s="17"/>
    </row>
    <row r="94" spans="1:38" ht="13.5" hidden="1" customHeight="1" x14ac:dyDescent="0.2">
      <c r="A94" s="15"/>
      <c r="D94" s="26"/>
      <c r="E94" s="27"/>
      <c r="F94" s="28">
        <f>F21+F56</f>
        <v>-5250</v>
      </c>
      <c r="G94" s="28">
        <f>G21+G56</f>
        <v>-2500</v>
      </c>
      <c r="H94" s="30"/>
      <c r="I94" s="28">
        <f t="shared" ref="I94:AA94" si="213">I21+I56</f>
        <v>-7000</v>
      </c>
      <c r="J94" s="28">
        <f t="shared" si="213"/>
        <v>-3750</v>
      </c>
      <c r="K94" s="28">
        <f t="shared" si="213"/>
        <v>-10000</v>
      </c>
      <c r="L94" s="28">
        <f t="shared" si="213"/>
        <v>-6053</v>
      </c>
      <c r="M94" s="28">
        <f t="shared" si="213"/>
        <v>-39777</v>
      </c>
      <c r="N94" s="28">
        <f t="shared" si="213"/>
        <v>-15335</v>
      </c>
      <c r="O94" s="28">
        <f t="shared" si="213"/>
        <v>-24386</v>
      </c>
      <c r="P94" s="28">
        <f t="shared" si="213"/>
        <v>-27877</v>
      </c>
      <c r="Q94" s="28">
        <f t="shared" si="213"/>
        <v>-43569</v>
      </c>
      <c r="R94" s="28">
        <f t="shared" si="213"/>
        <v>-32776</v>
      </c>
      <c r="S94" s="28">
        <f t="shared" si="213"/>
        <v>-9439</v>
      </c>
      <c r="T94" s="28">
        <f t="shared" si="213"/>
        <v>-5500</v>
      </c>
      <c r="U94" s="28">
        <f t="shared" si="213"/>
        <v>-20867</v>
      </c>
      <c r="V94" s="28">
        <f t="shared" si="213"/>
        <v>-12158</v>
      </c>
      <c r="W94" s="28">
        <f t="shared" si="213"/>
        <v>-1500</v>
      </c>
      <c r="X94" s="28">
        <f t="shared" si="213"/>
        <v>-2000</v>
      </c>
      <c r="Y94" s="28">
        <f t="shared" si="213"/>
        <v>-1000</v>
      </c>
      <c r="Z94" s="28">
        <f t="shared" si="213"/>
        <v>-1000</v>
      </c>
      <c r="AA94" s="28">
        <f t="shared" si="213"/>
        <v>-1000</v>
      </c>
      <c r="AB94" s="28">
        <f t="shared" ref="AB94:AC94" si="214">AB21+AB56</f>
        <v>-1000</v>
      </c>
      <c r="AC94" s="28">
        <f t="shared" si="214"/>
        <v>-1000</v>
      </c>
      <c r="AD94" s="28">
        <f t="shared" ref="AD94:AE94" si="215">AD21+AD56</f>
        <v>0</v>
      </c>
      <c r="AE94" s="28">
        <f t="shared" si="215"/>
        <v>0</v>
      </c>
      <c r="AF94" s="28">
        <f t="shared" ref="AF94:AG94" si="216">AF21+AF56</f>
        <v>0</v>
      </c>
      <c r="AG94" s="28">
        <f t="shared" si="216"/>
        <v>0</v>
      </c>
      <c r="AH94" s="28">
        <f t="shared" ref="AH94:AI94" si="217">AH21+AH56</f>
        <v>0</v>
      </c>
      <c r="AI94" s="28">
        <f t="shared" si="217"/>
        <v>0</v>
      </c>
      <c r="AJ94" s="28">
        <f t="shared" ref="AJ94:AK94" si="218">AJ21+AJ56</f>
        <v>0</v>
      </c>
      <c r="AK94" s="28">
        <f t="shared" si="218"/>
        <v>0</v>
      </c>
      <c r="AL94" s="5"/>
    </row>
    <row r="95" spans="1:38" ht="13.5" customHeight="1" x14ac:dyDescent="0.2">
      <c r="A95" s="15"/>
      <c r="D95" s="26"/>
      <c r="E95" s="27" t="s">
        <v>30</v>
      </c>
      <c r="F95" s="29">
        <f t="shared" ref="F95:AA95" si="219">SUM(F93:F94)</f>
        <v>300934</v>
      </c>
      <c r="G95" s="29">
        <f t="shared" si="219"/>
        <v>329455</v>
      </c>
      <c r="H95" s="29"/>
      <c r="I95" s="29">
        <f t="shared" si="219"/>
        <v>408598</v>
      </c>
      <c r="J95" s="29">
        <f t="shared" si="219"/>
        <v>586719</v>
      </c>
      <c r="K95" s="29">
        <f t="shared" si="219"/>
        <v>797732</v>
      </c>
      <c r="L95" s="29">
        <f t="shared" si="219"/>
        <v>1376693</v>
      </c>
      <c r="M95" s="29">
        <f t="shared" si="219"/>
        <v>1548150</v>
      </c>
      <c r="N95" s="29">
        <f t="shared" si="219"/>
        <v>1522139</v>
      </c>
      <c r="O95" s="29">
        <f t="shared" si="219"/>
        <v>1931712</v>
      </c>
      <c r="P95" s="29">
        <f t="shared" si="219"/>
        <v>1613233</v>
      </c>
      <c r="Q95" s="29">
        <f t="shared" si="219"/>
        <v>1712410</v>
      </c>
      <c r="R95" s="29">
        <f t="shared" si="219"/>
        <v>1565497</v>
      </c>
      <c r="S95" s="29">
        <f t="shared" si="219"/>
        <v>2320053</v>
      </c>
      <c r="T95" s="29">
        <f t="shared" si="219"/>
        <v>1984980</v>
      </c>
      <c r="U95" s="29">
        <f t="shared" si="219"/>
        <v>3188352</v>
      </c>
      <c r="V95" s="29">
        <f t="shared" si="219"/>
        <v>3465767</v>
      </c>
      <c r="W95" s="29">
        <f t="shared" si="219"/>
        <v>3179736</v>
      </c>
      <c r="X95" s="29">
        <f t="shared" si="219"/>
        <v>2094369</v>
      </c>
      <c r="Y95" s="29">
        <f t="shared" si="219"/>
        <v>2126678</v>
      </c>
      <c r="Z95" s="29">
        <f t="shared" si="219"/>
        <v>2233276</v>
      </c>
      <c r="AA95" s="29">
        <f t="shared" si="219"/>
        <v>2459364</v>
      </c>
      <c r="AB95" s="29">
        <f t="shared" ref="AB95:AC95" si="220">SUM(AB93:AB94)</f>
        <v>3346585</v>
      </c>
      <c r="AC95" s="29">
        <f t="shared" si="220"/>
        <v>3987802</v>
      </c>
      <c r="AD95" s="29">
        <f t="shared" ref="AD95:AE95" si="221">SUM(AD93:AD94)</f>
        <v>4030200</v>
      </c>
      <c r="AE95" s="29">
        <f t="shared" si="221"/>
        <v>3343539</v>
      </c>
      <c r="AF95" s="29">
        <f t="shared" ref="AF95:AG95" si="222">SUM(AF93:AF94)</f>
        <v>3796621</v>
      </c>
      <c r="AG95" s="29">
        <f t="shared" si="222"/>
        <v>3696015</v>
      </c>
      <c r="AH95" s="29">
        <f t="shared" ref="AH95:AI95" si="223">SUM(AH93:AH94)</f>
        <v>3245480</v>
      </c>
      <c r="AI95" s="29">
        <f t="shared" si="223"/>
        <v>3549740</v>
      </c>
      <c r="AJ95" s="29">
        <f t="shared" ref="AJ95:AK95" si="224">SUM(AJ93:AJ94)</f>
        <v>3646948</v>
      </c>
      <c r="AK95" s="29">
        <f t="shared" si="224"/>
        <v>4077437</v>
      </c>
      <c r="AL95" s="5"/>
    </row>
    <row r="96" spans="1:38" ht="13.5" customHeight="1" x14ac:dyDescent="0.2">
      <c r="A96" s="15"/>
      <c r="C96" s="2" t="s">
        <v>32</v>
      </c>
      <c r="D96" s="2"/>
      <c r="AL96" s="17"/>
    </row>
    <row r="97" spans="1:38" ht="13.5" customHeight="1" x14ac:dyDescent="0.2">
      <c r="A97" s="15"/>
      <c r="D97" s="1" t="s">
        <v>27</v>
      </c>
      <c r="E97" s="21"/>
      <c r="F97" s="21">
        <f t="shared" ref="F97:G99" si="225">F24+F59</f>
        <v>2062587</v>
      </c>
      <c r="G97" s="21">
        <f t="shared" si="225"/>
        <v>2877324</v>
      </c>
      <c r="H97" s="21"/>
      <c r="I97" s="21">
        <f t="shared" ref="I97:AA99" si="226">I24+I59</f>
        <v>5308871</v>
      </c>
      <c r="J97" s="21">
        <f t="shared" si="226"/>
        <v>5774871</v>
      </c>
      <c r="K97" s="21">
        <f t="shared" si="226"/>
        <v>6823091</v>
      </c>
      <c r="L97" s="21">
        <f t="shared" si="226"/>
        <v>7545786</v>
      </c>
      <c r="M97" s="21">
        <f t="shared" si="226"/>
        <v>7591181</v>
      </c>
      <c r="N97" s="21">
        <f t="shared" si="226"/>
        <v>9277164</v>
      </c>
      <c r="O97" s="21">
        <f t="shared" si="226"/>
        <v>10002716</v>
      </c>
      <c r="P97" s="21">
        <f t="shared" si="226"/>
        <v>11069711</v>
      </c>
      <c r="Q97" s="21">
        <f t="shared" si="226"/>
        <v>11680177</v>
      </c>
      <c r="R97" s="21">
        <f t="shared" si="226"/>
        <v>12085640</v>
      </c>
      <c r="S97" s="21">
        <f t="shared" si="226"/>
        <v>13356869</v>
      </c>
      <c r="T97" s="21">
        <f t="shared" si="226"/>
        <v>14778717</v>
      </c>
      <c r="U97" s="21">
        <f t="shared" si="226"/>
        <v>16000047</v>
      </c>
      <c r="V97" s="21">
        <f t="shared" si="226"/>
        <v>17249181</v>
      </c>
      <c r="W97" s="21">
        <f t="shared" si="226"/>
        <v>16396888</v>
      </c>
      <c r="X97" s="21">
        <f t="shared" si="226"/>
        <v>17435017</v>
      </c>
      <c r="Y97" s="21">
        <f t="shared" si="226"/>
        <v>20765432</v>
      </c>
      <c r="Z97" s="21">
        <f t="shared" si="226"/>
        <v>22674739</v>
      </c>
      <c r="AA97" s="21">
        <f t="shared" si="226"/>
        <v>25946892</v>
      </c>
      <c r="AB97" s="21">
        <f t="shared" ref="AB97:AC97" si="227">AB24+AB59</f>
        <v>27477783</v>
      </c>
      <c r="AC97" s="21">
        <f t="shared" si="227"/>
        <v>26952687</v>
      </c>
      <c r="AD97" s="21">
        <f t="shared" ref="AD97:AE97" si="228">AD24+AD59</f>
        <v>26652020</v>
      </c>
      <c r="AE97" s="21">
        <f t="shared" si="228"/>
        <v>25503168</v>
      </c>
      <c r="AF97" s="21">
        <f t="shared" ref="AF97:AG97" si="229">AF24+AF59</f>
        <v>27173199</v>
      </c>
      <c r="AG97" s="21">
        <f t="shared" si="229"/>
        <v>30039889</v>
      </c>
      <c r="AH97" s="21">
        <f t="shared" ref="AH97:AI97" si="230">AH24+AH59</f>
        <v>24371219</v>
      </c>
      <c r="AI97" s="21">
        <f t="shared" si="230"/>
        <v>33613978</v>
      </c>
      <c r="AJ97" s="21">
        <f t="shared" ref="AJ97:AK97" si="231">AJ24+AJ59</f>
        <v>25005982</v>
      </c>
      <c r="AK97" s="21">
        <f t="shared" si="231"/>
        <v>27503908</v>
      </c>
      <c r="AL97" s="17"/>
    </row>
    <row r="98" spans="1:38" ht="13.5" customHeight="1" x14ac:dyDescent="0.2">
      <c r="A98" s="15"/>
      <c r="D98" s="1" t="s">
        <v>28</v>
      </c>
      <c r="E98" s="23"/>
      <c r="F98" s="23">
        <f t="shared" si="225"/>
        <v>20129</v>
      </c>
      <c r="G98" s="23">
        <f t="shared" si="225"/>
        <v>38952</v>
      </c>
      <c r="H98" s="23"/>
      <c r="I98" s="23">
        <f t="shared" si="226"/>
        <v>20100</v>
      </c>
      <c r="J98" s="23">
        <f t="shared" si="226"/>
        <v>27200</v>
      </c>
      <c r="K98" s="23">
        <f t="shared" si="226"/>
        <v>21483</v>
      </c>
      <c r="L98" s="23">
        <f t="shared" si="226"/>
        <v>17700</v>
      </c>
      <c r="M98" s="23">
        <f t="shared" si="226"/>
        <v>0</v>
      </c>
      <c r="N98" s="23">
        <f t="shared" si="226"/>
        <v>0</v>
      </c>
      <c r="O98" s="23">
        <f t="shared" si="226"/>
        <v>0</v>
      </c>
      <c r="P98" s="23">
        <f t="shared" si="226"/>
        <v>0</v>
      </c>
      <c r="Q98" s="23">
        <f t="shared" si="226"/>
        <v>0</v>
      </c>
      <c r="R98" s="23">
        <f t="shared" si="226"/>
        <v>0</v>
      </c>
      <c r="S98" s="23">
        <f t="shared" si="226"/>
        <v>0</v>
      </c>
      <c r="T98" s="23">
        <f t="shared" si="226"/>
        <v>0</v>
      </c>
      <c r="U98" s="23">
        <f t="shared" si="226"/>
        <v>0</v>
      </c>
      <c r="V98" s="23">
        <f t="shared" si="226"/>
        <v>0</v>
      </c>
      <c r="W98" s="23">
        <f t="shared" si="226"/>
        <v>0</v>
      </c>
      <c r="X98" s="23">
        <f t="shared" si="226"/>
        <v>0</v>
      </c>
      <c r="Y98" s="23">
        <f t="shared" si="226"/>
        <v>0</v>
      </c>
      <c r="Z98" s="23">
        <f t="shared" si="226"/>
        <v>0</v>
      </c>
      <c r="AA98" s="23">
        <f t="shared" si="226"/>
        <v>0</v>
      </c>
      <c r="AB98" s="23">
        <f t="shared" ref="AB98:AC98" si="232">AB25+AB60</f>
        <v>0</v>
      </c>
      <c r="AC98" s="23">
        <f t="shared" si="232"/>
        <v>0</v>
      </c>
      <c r="AD98" s="23">
        <f t="shared" ref="AD98:AE98" si="233">AD25+AD60</f>
        <v>1200</v>
      </c>
      <c r="AE98" s="23">
        <f t="shared" si="233"/>
        <v>0</v>
      </c>
      <c r="AF98" s="23">
        <f t="shared" ref="AF98:AG98" si="234">AF25+AF60</f>
        <v>0</v>
      </c>
      <c r="AG98" s="23">
        <f t="shared" si="234"/>
        <v>0</v>
      </c>
      <c r="AH98" s="23">
        <f t="shared" ref="AH98:AI98" si="235">AH25+AH60</f>
        <v>0</v>
      </c>
      <c r="AI98" s="23">
        <f t="shared" si="235"/>
        <v>0</v>
      </c>
      <c r="AJ98" s="23">
        <f t="shared" ref="AJ98:AK98" si="236">AJ25+AJ60</f>
        <v>0</v>
      </c>
      <c r="AK98" s="23">
        <f t="shared" si="236"/>
        <v>0</v>
      </c>
      <c r="AL98" s="17"/>
    </row>
    <row r="99" spans="1:38" ht="13.5" customHeight="1" x14ac:dyDescent="0.2">
      <c r="A99" s="15"/>
      <c r="D99" s="1" t="s">
        <v>29</v>
      </c>
      <c r="E99" s="23"/>
      <c r="F99" s="24">
        <f t="shared" si="225"/>
        <v>3166440</v>
      </c>
      <c r="G99" s="24">
        <f t="shared" si="225"/>
        <v>3405122</v>
      </c>
      <c r="H99" s="24"/>
      <c r="I99" s="24">
        <f t="shared" si="226"/>
        <v>3136567</v>
      </c>
      <c r="J99" s="24">
        <f t="shared" si="226"/>
        <v>3471236</v>
      </c>
      <c r="K99" s="24">
        <f t="shared" si="226"/>
        <v>3804764</v>
      </c>
      <c r="L99" s="24">
        <f t="shared" si="226"/>
        <v>3394331</v>
      </c>
      <c r="M99" s="24">
        <f t="shared" si="226"/>
        <v>3485510</v>
      </c>
      <c r="N99" s="24">
        <f t="shared" si="226"/>
        <v>3897131</v>
      </c>
      <c r="O99" s="24">
        <f t="shared" si="226"/>
        <v>1793198</v>
      </c>
      <c r="P99" s="24">
        <f t="shared" si="226"/>
        <v>3652402</v>
      </c>
      <c r="Q99" s="24">
        <f t="shared" si="226"/>
        <v>3638126</v>
      </c>
      <c r="R99" s="24">
        <f t="shared" si="226"/>
        <v>5273043</v>
      </c>
      <c r="S99" s="24">
        <f t="shared" si="226"/>
        <v>483125</v>
      </c>
      <c r="T99" s="24">
        <f t="shared" si="226"/>
        <v>5867176</v>
      </c>
      <c r="U99" s="24">
        <f t="shared" si="226"/>
        <v>6073184</v>
      </c>
      <c r="V99" s="24">
        <f t="shared" si="226"/>
        <v>6391721</v>
      </c>
      <c r="W99" s="24">
        <f t="shared" si="226"/>
        <v>6459317</v>
      </c>
      <c r="X99" s="24">
        <f t="shared" si="226"/>
        <v>6742518</v>
      </c>
      <c r="Y99" s="24">
        <f t="shared" si="226"/>
        <v>7094889</v>
      </c>
      <c r="Z99" s="24">
        <f t="shared" si="226"/>
        <v>6566143</v>
      </c>
      <c r="AA99" s="24">
        <f t="shared" si="226"/>
        <v>7091459</v>
      </c>
      <c r="AB99" s="24">
        <f t="shared" ref="AB99:AC99" si="237">AB26+AB61</f>
        <v>7146497</v>
      </c>
      <c r="AC99" s="24">
        <f t="shared" si="237"/>
        <v>7821560</v>
      </c>
      <c r="AD99" s="24">
        <f t="shared" ref="AD99:AE99" si="238">AD26+AD61</f>
        <v>7142445</v>
      </c>
      <c r="AE99" s="24">
        <f t="shared" si="238"/>
        <v>6801489</v>
      </c>
      <c r="AF99" s="24">
        <f t="shared" ref="AF99:AG99" si="239">AF26+AF61</f>
        <v>6856694</v>
      </c>
      <c r="AG99" s="24">
        <f t="shared" si="239"/>
        <v>6848562</v>
      </c>
      <c r="AH99" s="24">
        <f t="shared" ref="AH99:AI99" si="240">AH26+AH61</f>
        <v>5818298</v>
      </c>
      <c r="AI99" s="24">
        <f t="shared" si="240"/>
        <v>6318651</v>
      </c>
      <c r="AJ99" s="24">
        <f t="shared" ref="AJ99:AK99" si="241">AJ26+AJ61</f>
        <v>6414403</v>
      </c>
      <c r="AK99" s="24">
        <f t="shared" si="241"/>
        <v>6114332</v>
      </c>
      <c r="AL99" s="17"/>
    </row>
    <row r="100" spans="1:38" ht="13.5" customHeight="1" x14ac:dyDescent="0.2">
      <c r="A100" s="3"/>
      <c r="E100" s="21"/>
      <c r="F100" s="21">
        <f t="shared" ref="F100:Y100" si="242">SUM(F97:F99)</f>
        <v>5249156</v>
      </c>
      <c r="G100" s="21">
        <f t="shared" si="242"/>
        <v>6321398</v>
      </c>
      <c r="H100" s="21"/>
      <c r="I100" s="21">
        <f t="shared" si="242"/>
        <v>8465538</v>
      </c>
      <c r="J100" s="21">
        <f t="shared" si="242"/>
        <v>9273307</v>
      </c>
      <c r="K100" s="21">
        <f t="shared" si="242"/>
        <v>10649338</v>
      </c>
      <c r="L100" s="21">
        <f t="shared" si="242"/>
        <v>10957817</v>
      </c>
      <c r="M100" s="21">
        <f t="shared" si="242"/>
        <v>11076691</v>
      </c>
      <c r="N100" s="21">
        <f t="shared" si="242"/>
        <v>13174295</v>
      </c>
      <c r="O100" s="21">
        <f t="shared" si="242"/>
        <v>11795914</v>
      </c>
      <c r="P100" s="21">
        <f t="shared" si="242"/>
        <v>14722113</v>
      </c>
      <c r="Q100" s="21">
        <f t="shared" si="242"/>
        <v>15318303</v>
      </c>
      <c r="R100" s="21">
        <f t="shared" si="242"/>
        <v>17358683</v>
      </c>
      <c r="S100" s="21">
        <f t="shared" si="242"/>
        <v>13839994</v>
      </c>
      <c r="T100" s="21">
        <f t="shared" si="242"/>
        <v>20645893</v>
      </c>
      <c r="U100" s="21">
        <f t="shared" si="242"/>
        <v>22073231</v>
      </c>
      <c r="V100" s="21">
        <f t="shared" si="242"/>
        <v>23640902</v>
      </c>
      <c r="W100" s="21">
        <f t="shared" si="242"/>
        <v>22856205</v>
      </c>
      <c r="X100" s="21">
        <f t="shared" si="242"/>
        <v>24177535</v>
      </c>
      <c r="Y100" s="21">
        <f t="shared" si="242"/>
        <v>27860321</v>
      </c>
      <c r="Z100" s="21">
        <f t="shared" ref="Z100:AE100" si="243">SUM(Z97:Z99)</f>
        <v>29240882</v>
      </c>
      <c r="AA100" s="21">
        <f t="shared" si="243"/>
        <v>33038351</v>
      </c>
      <c r="AB100" s="21">
        <f t="shared" si="243"/>
        <v>34624280</v>
      </c>
      <c r="AC100" s="21">
        <f t="shared" si="243"/>
        <v>34774247</v>
      </c>
      <c r="AD100" s="21">
        <f t="shared" si="243"/>
        <v>33795665</v>
      </c>
      <c r="AE100" s="21">
        <f t="shared" si="243"/>
        <v>32304657</v>
      </c>
      <c r="AF100" s="21">
        <f t="shared" ref="AF100:AG100" si="244">SUM(AF97:AF99)</f>
        <v>34029893</v>
      </c>
      <c r="AG100" s="21">
        <f t="shared" si="244"/>
        <v>36888451</v>
      </c>
      <c r="AH100" s="21">
        <f t="shared" ref="AH100:AI100" si="245">SUM(AH97:AH99)</f>
        <v>30189517</v>
      </c>
      <c r="AI100" s="21">
        <f t="shared" si="245"/>
        <v>39932629</v>
      </c>
      <c r="AJ100" s="21">
        <f t="shared" ref="AJ100:AK100" si="246">SUM(AJ97:AJ99)</f>
        <v>31420385</v>
      </c>
      <c r="AK100" s="21">
        <f t="shared" si="246"/>
        <v>33618240</v>
      </c>
      <c r="AL100" s="5"/>
    </row>
    <row r="101" spans="1:38" ht="13.5" hidden="1" customHeight="1" x14ac:dyDescent="0.2">
      <c r="A101" s="15"/>
      <c r="D101" s="26"/>
      <c r="E101" s="27"/>
      <c r="F101" s="28">
        <f>F28+F63</f>
        <v>142730</v>
      </c>
      <c r="G101" s="28">
        <f>G28+G63</f>
        <v>139092</v>
      </c>
      <c r="H101" s="28"/>
      <c r="I101" s="28">
        <f t="shared" ref="I101:AA101" si="247">I28+I63</f>
        <v>133801</v>
      </c>
      <c r="J101" s="28">
        <f t="shared" si="247"/>
        <v>4030</v>
      </c>
      <c r="K101" s="28">
        <f t="shared" si="247"/>
        <v>10339</v>
      </c>
      <c r="L101" s="28">
        <f t="shared" si="247"/>
        <v>6053</v>
      </c>
      <c r="M101" s="28">
        <f t="shared" si="247"/>
        <v>39777</v>
      </c>
      <c r="N101" s="28">
        <f t="shared" si="247"/>
        <v>15335</v>
      </c>
      <c r="O101" s="28">
        <f t="shared" si="247"/>
        <v>24386</v>
      </c>
      <c r="P101" s="28">
        <f t="shared" si="247"/>
        <v>27877</v>
      </c>
      <c r="Q101" s="28">
        <f t="shared" si="247"/>
        <v>350153</v>
      </c>
      <c r="R101" s="28">
        <f t="shared" si="247"/>
        <v>32776</v>
      </c>
      <c r="S101" s="28">
        <f t="shared" si="247"/>
        <v>9439</v>
      </c>
      <c r="T101" s="28">
        <f t="shared" si="247"/>
        <v>5500</v>
      </c>
      <c r="U101" s="28">
        <f t="shared" si="247"/>
        <v>20867</v>
      </c>
      <c r="V101" s="28">
        <f t="shared" si="247"/>
        <v>12158</v>
      </c>
      <c r="W101" s="28">
        <f t="shared" si="247"/>
        <v>1500</v>
      </c>
      <c r="X101" s="28">
        <f t="shared" si="247"/>
        <v>2000</v>
      </c>
      <c r="Y101" s="28">
        <f t="shared" si="247"/>
        <v>1000</v>
      </c>
      <c r="Z101" s="28">
        <f t="shared" si="247"/>
        <v>1000</v>
      </c>
      <c r="AA101" s="28">
        <f t="shared" si="247"/>
        <v>49714</v>
      </c>
      <c r="AB101" s="28">
        <f t="shared" ref="AB101:AC101" si="248">AB28+AB63</f>
        <v>66790</v>
      </c>
      <c r="AC101" s="28">
        <f t="shared" si="248"/>
        <v>32782</v>
      </c>
      <c r="AD101" s="28">
        <f t="shared" ref="AD101:AE101" si="249">AD28+AD63</f>
        <v>0</v>
      </c>
      <c r="AE101" s="28">
        <f t="shared" si="249"/>
        <v>7389</v>
      </c>
      <c r="AF101" s="28">
        <f t="shared" ref="AF101:AG101" si="250">AF28+AF63</f>
        <v>1040</v>
      </c>
      <c r="AG101" s="28">
        <f t="shared" si="250"/>
        <v>364</v>
      </c>
      <c r="AH101" s="28">
        <f t="shared" ref="AH101:AI101" si="251">AH28+AH63</f>
        <v>3160</v>
      </c>
      <c r="AI101" s="28">
        <f t="shared" si="251"/>
        <v>0</v>
      </c>
      <c r="AJ101" s="28">
        <f t="shared" ref="AJ101:AK101" si="252">AJ28+AJ63</f>
        <v>10108</v>
      </c>
      <c r="AK101" s="28">
        <f t="shared" si="252"/>
        <v>8568</v>
      </c>
      <c r="AL101" s="5"/>
    </row>
    <row r="102" spans="1:38" ht="13.5" customHeight="1" x14ac:dyDescent="0.2">
      <c r="A102" s="15"/>
      <c r="D102" s="26"/>
      <c r="E102" s="27" t="s">
        <v>33</v>
      </c>
      <c r="F102" s="29">
        <f t="shared" ref="F102:AA102" si="253">SUM(F100:F101)</f>
        <v>5391886</v>
      </c>
      <c r="G102" s="29">
        <f t="shared" si="253"/>
        <v>6460490</v>
      </c>
      <c r="H102" s="29"/>
      <c r="I102" s="29">
        <f t="shared" si="253"/>
        <v>8599339</v>
      </c>
      <c r="J102" s="29">
        <f t="shared" si="253"/>
        <v>9277337</v>
      </c>
      <c r="K102" s="29">
        <f t="shared" si="253"/>
        <v>10659677</v>
      </c>
      <c r="L102" s="29">
        <f t="shared" si="253"/>
        <v>10963870</v>
      </c>
      <c r="M102" s="29">
        <f t="shared" si="253"/>
        <v>11116468</v>
      </c>
      <c r="N102" s="29">
        <f t="shared" si="253"/>
        <v>13189630</v>
      </c>
      <c r="O102" s="29">
        <f t="shared" si="253"/>
        <v>11820300</v>
      </c>
      <c r="P102" s="29">
        <f t="shared" si="253"/>
        <v>14749990</v>
      </c>
      <c r="Q102" s="29">
        <f t="shared" si="253"/>
        <v>15668456</v>
      </c>
      <c r="R102" s="29">
        <f t="shared" si="253"/>
        <v>17391459</v>
      </c>
      <c r="S102" s="29">
        <f t="shared" si="253"/>
        <v>13849433</v>
      </c>
      <c r="T102" s="29">
        <f t="shared" si="253"/>
        <v>20651393</v>
      </c>
      <c r="U102" s="29">
        <f t="shared" si="253"/>
        <v>22094098</v>
      </c>
      <c r="V102" s="29">
        <f t="shared" si="253"/>
        <v>23653060</v>
      </c>
      <c r="W102" s="29">
        <f t="shared" si="253"/>
        <v>22857705</v>
      </c>
      <c r="X102" s="29">
        <f t="shared" si="253"/>
        <v>24179535</v>
      </c>
      <c r="Y102" s="29">
        <f t="shared" si="253"/>
        <v>27861321</v>
      </c>
      <c r="Z102" s="29">
        <f t="shared" si="253"/>
        <v>29241882</v>
      </c>
      <c r="AA102" s="29">
        <f t="shared" si="253"/>
        <v>33088065</v>
      </c>
      <c r="AB102" s="29">
        <f t="shared" ref="AB102:AC102" si="254">SUM(AB100:AB101)</f>
        <v>34691070</v>
      </c>
      <c r="AC102" s="29">
        <f t="shared" si="254"/>
        <v>34807029</v>
      </c>
      <c r="AD102" s="29">
        <f t="shared" ref="AD102:AE102" si="255">SUM(AD100:AD101)</f>
        <v>33795665</v>
      </c>
      <c r="AE102" s="29">
        <f t="shared" si="255"/>
        <v>32312046</v>
      </c>
      <c r="AF102" s="29">
        <f t="shared" ref="AF102:AG102" si="256">SUM(AF100:AF101)</f>
        <v>34030933</v>
      </c>
      <c r="AG102" s="29">
        <f t="shared" si="256"/>
        <v>36888815</v>
      </c>
      <c r="AH102" s="29">
        <f t="shared" ref="AH102:AI102" si="257">SUM(AH100:AH101)</f>
        <v>30192677</v>
      </c>
      <c r="AI102" s="29">
        <f t="shared" si="257"/>
        <v>39932629</v>
      </c>
      <c r="AJ102" s="29">
        <f t="shared" ref="AJ102:AK102" si="258">SUM(AJ100:AJ101)</f>
        <v>31430493</v>
      </c>
      <c r="AK102" s="29">
        <f t="shared" si="258"/>
        <v>33626808</v>
      </c>
      <c r="AL102" s="5"/>
    </row>
    <row r="103" spans="1:38" ht="13.5" customHeight="1" x14ac:dyDescent="0.2">
      <c r="A103" s="15"/>
      <c r="C103" s="2" t="s">
        <v>34</v>
      </c>
      <c r="D103" s="2"/>
      <c r="AL103" s="17"/>
    </row>
    <row r="104" spans="1:38" ht="13.5" customHeight="1" x14ac:dyDescent="0.2">
      <c r="A104" s="15"/>
      <c r="D104" s="1" t="s">
        <v>27</v>
      </c>
      <c r="E104" s="21"/>
      <c r="F104" s="21">
        <f>F31+F66</f>
        <v>1326632</v>
      </c>
      <c r="G104" s="21">
        <f>G31+G66</f>
        <v>1490900</v>
      </c>
      <c r="H104" s="21"/>
      <c r="I104" s="21">
        <f t="shared" ref="I104:AA105" si="259">I31+I66</f>
        <v>2487467</v>
      </c>
      <c r="J104" s="21">
        <f t="shared" si="259"/>
        <v>2626392</v>
      </c>
      <c r="K104" s="21">
        <f t="shared" si="259"/>
        <v>2390321</v>
      </c>
      <c r="L104" s="21">
        <f t="shared" si="259"/>
        <v>1358961</v>
      </c>
      <c r="M104" s="21">
        <f t="shared" si="259"/>
        <v>1376524</v>
      </c>
      <c r="N104" s="21">
        <f t="shared" si="259"/>
        <v>2552517</v>
      </c>
      <c r="O104" s="21">
        <f t="shared" si="259"/>
        <v>3307592</v>
      </c>
      <c r="P104" s="21">
        <f t="shared" si="259"/>
        <v>4650853</v>
      </c>
      <c r="Q104" s="21">
        <f t="shared" si="259"/>
        <v>3181988</v>
      </c>
      <c r="R104" s="21">
        <f t="shared" si="259"/>
        <v>2294733</v>
      </c>
      <c r="S104" s="21">
        <f t="shared" si="259"/>
        <v>8069853</v>
      </c>
      <c r="T104" s="21">
        <f t="shared" si="259"/>
        <v>2944729</v>
      </c>
      <c r="U104" s="21">
        <f t="shared" si="259"/>
        <v>2632530</v>
      </c>
      <c r="V104" s="21">
        <f t="shared" si="259"/>
        <v>2615796</v>
      </c>
      <c r="W104" s="21">
        <f t="shared" si="259"/>
        <v>2719824</v>
      </c>
      <c r="X104" s="21">
        <f t="shared" si="259"/>
        <v>2756909</v>
      </c>
      <c r="Y104" s="21">
        <f t="shared" si="259"/>
        <v>3021032</v>
      </c>
      <c r="Z104" s="21">
        <f t="shared" si="259"/>
        <v>3164568</v>
      </c>
      <c r="AA104" s="21">
        <f t="shared" si="259"/>
        <v>2647638</v>
      </c>
      <c r="AB104" s="21">
        <f t="shared" ref="AB104:AC104" si="260">AB31+AB66</f>
        <v>2338394</v>
      </c>
      <c r="AC104" s="21">
        <f t="shared" si="260"/>
        <v>2645184</v>
      </c>
      <c r="AD104" s="21">
        <f t="shared" ref="AD104:AE104" si="261">AD31+AD66</f>
        <v>2421288</v>
      </c>
      <c r="AE104" s="21">
        <f t="shared" si="261"/>
        <v>2731617</v>
      </c>
      <c r="AF104" s="21">
        <f t="shared" ref="AF104:AG104" si="262">AF31+AF66</f>
        <v>2764773</v>
      </c>
      <c r="AG104" s="21">
        <f t="shared" si="262"/>
        <v>3110460</v>
      </c>
      <c r="AH104" s="21">
        <f t="shared" ref="AH104:AI104" si="263">AH31+AH66</f>
        <v>2739478</v>
      </c>
      <c r="AI104" s="21">
        <f t="shared" si="263"/>
        <v>2615431.4900000002</v>
      </c>
      <c r="AJ104" s="21">
        <f t="shared" ref="AJ104:AK104" si="264">AJ31+AJ66</f>
        <v>2763753</v>
      </c>
      <c r="AK104" s="21">
        <f t="shared" si="264"/>
        <v>2971973</v>
      </c>
      <c r="AL104" s="17"/>
    </row>
    <row r="105" spans="1:38" ht="13.5" customHeight="1" x14ac:dyDescent="0.2">
      <c r="A105" s="15"/>
      <c r="D105" s="1" t="s">
        <v>28</v>
      </c>
      <c r="E105" s="23"/>
      <c r="F105" s="31" t="s">
        <v>35</v>
      </c>
      <c r="G105" s="31" t="s">
        <v>35</v>
      </c>
      <c r="H105" s="31" t="s">
        <v>35</v>
      </c>
      <c r="I105" s="31" t="s">
        <v>35</v>
      </c>
      <c r="J105" s="31" t="s">
        <v>35</v>
      </c>
      <c r="K105" s="31" t="s">
        <v>35</v>
      </c>
      <c r="L105" s="31" t="s">
        <v>35</v>
      </c>
      <c r="M105" s="31" t="s">
        <v>35</v>
      </c>
      <c r="N105" s="31" t="s">
        <v>35</v>
      </c>
      <c r="O105" s="31" t="s">
        <v>35</v>
      </c>
      <c r="P105" s="31" t="s">
        <v>35</v>
      </c>
      <c r="Q105" s="24">
        <f t="shared" si="259"/>
        <v>2587872</v>
      </c>
      <c r="R105" s="24">
        <f t="shared" si="259"/>
        <v>3868158</v>
      </c>
      <c r="S105" s="24">
        <f t="shared" si="259"/>
        <v>5100004</v>
      </c>
      <c r="T105" s="24">
        <f t="shared" si="259"/>
        <v>6199265</v>
      </c>
      <c r="U105" s="24">
        <f t="shared" si="259"/>
        <v>5822722</v>
      </c>
      <c r="V105" s="24">
        <f t="shared" si="259"/>
        <v>4674126</v>
      </c>
      <c r="W105" s="24">
        <f t="shared" si="259"/>
        <v>2629451</v>
      </c>
      <c r="X105" s="24">
        <f t="shared" si="259"/>
        <v>2541219</v>
      </c>
      <c r="Y105" s="24">
        <f t="shared" si="259"/>
        <v>2667868</v>
      </c>
      <c r="Z105" s="24">
        <f t="shared" si="259"/>
        <v>2956756</v>
      </c>
      <c r="AA105" s="24">
        <f t="shared" si="259"/>
        <v>3872802</v>
      </c>
      <c r="AB105" s="24">
        <f t="shared" ref="AB105:AC105" si="265">AB32+AB67</f>
        <v>3494545</v>
      </c>
      <c r="AC105" s="24">
        <f t="shared" si="265"/>
        <v>3600562</v>
      </c>
      <c r="AD105" s="24">
        <f t="shared" ref="AD105:AE105" si="266">AD32+AD67</f>
        <v>3868513</v>
      </c>
      <c r="AE105" s="24">
        <f t="shared" si="266"/>
        <v>3898094</v>
      </c>
      <c r="AF105" s="24">
        <f t="shared" ref="AF105:AG105" si="267">AF32+AF67</f>
        <v>4020720</v>
      </c>
      <c r="AG105" s="24">
        <f t="shared" si="267"/>
        <v>4826847</v>
      </c>
      <c r="AH105" s="24">
        <f t="shared" ref="AH105:AI105" si="268">AH32+AH67</f>
        <v>4311551</v>
      </c>
      <c r="AI105" s="24">
        <f t="shared" si="268"/>
        <v>3450116</v>
      </c>
      <c r="AJ105" s="24">
        <f t="shared" ref="AJ105:AK105" si="269">AJ32+AJ67</f>
        <v>3398485</v>
      </c>
      <c r="AK105" s="24">
        <f t="shared" si="269"/>
        <v>3900178</v>
      </c>
      <c r="AL105" s="17"/>
    </row>
    <row r="106" spans="1:38" ht="13.5" customHeight="1" x14ac:dyDescent="0.2">
      <c r="A106" s="15"/>
      <c r="F106" s="21">
        <f t="shared" ref="F106:AA106" si="270">SUM(F104:F105)</f>
        <v>1326632</v>
      </c>
      <c r="G106" s="21">
        <f t="shared" si="270"/>
        <v>1490900</v>
      </c>
      <c r="H106" s="21"/>
      <c r="I106" s="21">
        <f t="shared" si="270"/>
        <v>2487467</v>
      </c>
      <c r="J106" s="21">
        <f t="shared" si="270"/>
        <v>2626392</v>
      </c>
      <c r="K106" s="21">
        <f t="shared" si="270"/>
        <v>2390321</v>
      </c>
      <c r="L106" s="21">
        <f t="shared" si="270"/>
        <v>1358961</v>
      </c>
      <c r="M106" s="21">
        <f t="shared" ref="M106:O106" si="271">M104</f>
        <v>1376524</v>
      </c>
      <c r="N106" s="21">
        <f t="shared" si="271"/>
        <v>2552517</v>
      </c>
      <c r="O106" s="21">
        <f t="shared" si="271"/>
        <v>3307592</v>
      </c>
      <c r="P106" s="21">
        <f>P104</f>
        <v>4650853</v>
      </c>
      <c r="Q106" s="21">
        <f t="shared" si="270"/>
        <v>5769860</v>
      </c>
      <c r="R106" s="21">
        <f t="shared" si="270"/>
        <v>6162891</v>
      </c>
      <c r="S106" s="21">
        <f t="shared" si="270"/>
        <v>13169857</v>
      </c>
      <c r="T106" s="21">
        <f t="shared" si="270"/>
        <v>9143994</v>
      </c>
      <c r="U106" s="21">
        <f t="shared" si="270"/>
        <v>8455252</v>
      </c>
      <c r="V106" s="21">
        <f t="shared" si="270"/>
        <v>7289922</v>
      </c>
      <c r="W106" s="21">
        <f t="shared" si="270"/>
        <v>5349275</v>
      </c>
      <c r="X106" s="21">
        <f t="shared" si="270"/>
        <v>5298128</v>
      </c>
      <c r="Y106" s="21">
        <f t="shared" si="270"/>
        <v>5688900</v>
      </c>
      <c r="Z106" s="21">
        <f t="shared" si="270"/>
        <v>6121324</v>
      </c>
      <c r="AA106" s="21">
        <f t="shared" si="270"/>
        <v>6520440</v>
      </c>
      <c r="AB106" s="21">
        <f t="shared" ref="AB106:AC106" si="272">SUM(AB104:AB105)</f>
        <v>5832939</v>
      </c>
      <c r="AC106" s="21">
        <f t="shared" si="272"/>
        <v>6245746</v>
      </c>
      <c r="AD106" s="21">
        <f t="shared" ref="AD106:AE106" si="273">SUM(AD104:AD105)</f>
        <v>6289801</v>
      </c>
      <c r="AE106" s="21">
        <f t="shared" si="273"/>
        <v>6629711</v>
      </c>
      <c r="AF106" s="21">
        <f t="shared" ref="AF106:AG106" si="274">SUM(AF104:AF105)</f>
        <v>6785493</v>
      </c>
      <c r="AG106" s="21">
        <f t="shared" si="274"/>
        <v>7937307</v>
      </c>
      <c r="AH106" s="21">
        <f t="shared" ref="AH106:AI106" si="275">SUM(AH104:AH105)</f>
        <v>7051029</v>
      </c>
      <c r="AI106" s="21">
        <f t="shared" si="275"/>
        <v>6065547.4900000002</v>
      </c>
      <c r="AJ106" s="21">
        <f t="shared" ref="AJ106:AK106" si="276">SUM(AJ104:AJ105)</f>
        <v>6162238</v>
      </c>
      <c r="AK106" s="21">
        <f t="shared" si="276"/>
        <v>6872151</v>
      </c>
      <c r="AL106" s="17"/>
    </row>
    <row r="107" spans="1:38" ht="13.5" customHeight="1" x14ac:dyDescent="0.2">
      <c r="A107" s="15"/>
      <c r="C107" s="2" t="s">
        <v>36</v>
      </c>
      <c r="D107" s="2"/>
      <c r="AL107" s="17"/>
    </row>
    <row r="108" spans="1:38" ht="13.5" customHeight="1" x14ac:dyDescent="0.2">
      <c r="A108" s="15"/>
      <c r="D108" s="1" t="s">
        <v>27</v>
      </c>
      <c r="E108" s="21"/>
      <c r="F108" s="21">
        <f t="shared" ref="F108:AA109" si="277">F84+F91+F97+F104</f>
        <v>6554462</v>
      </c>
      <c r="G108" s="21">
        <f t="shared" si="277"/>
        <v>7331822</v>
      </c>
      <c r="H108" s="21"/>
      <c r="I108" s="21">
        <f t="shared" si="277"/>
        <v>11287601</v>
      </c>
      <c r="J108" s="21">
        <f t="shared" si="277"/>
        <v>12397581</v>
      </c>
      <c r="K108" s="21">
        <f t="shared" si="277"/>
        <v>13667351</v>
      </c>
      <c r="L108" s="21">
        <f t="shared" si="277"/>
        <v>14454852</v>
      </c>
      <c r="M108" s="21">
        <f t="shared" si="277"/>
        <v>14789995</v>
      </c>
      <c r="N108" s="21">
        <f t="shared" si="277"/>
        <v>18792130</v>
      </c>
      <c r="O108" s="21">
        <f t="shared" si="277"/>
        <v>21725794</v>
      </c>
      <c r="P108" s="21">
        <f t="shared" si="277"/>
        <v>24050847</v>
      </c>
      <c r="Q108" s="21">
        <f t="shared" si="277"/>
        <v>24119464</v>
      </c>
      <c r="R108" s="21">
        <f t="shared" si="277"/>
        <v>23731803</v>
      </c>
      <c r="S108" s="21">
        <f t="shared" si="277"/>
        <v>32195410</v>
      </c>
      <c r="T108" s="21">
        <f t="shared" si="277"/>
        <v>28462242</v>
      </c>
      <c r="U108" s="21">
        <f t="shared" si="277"/>
        <v>31010096</v>
      </c>
      <c r="V108" s="21">
        <f t="shared" si="277"/>
        <v>34228400</v>
      </c>
      <c r="W108" s="21">
        <f t="shared" si="277"/>
        <v>39474219</v>
      </c>
      <c r="X108" s="21">
        <f t="shared" si="277"/>
        <v>40625359</v>
      </c>
      <c r="Y108" s="21">
        <f t="shared" si="277"/>
        <v>44102770</v>
      </c>
      <c r="Z108" s="21">
        <f t="shared" si="277"/>
        <v>46268216</v>
      </c>
      <c r="AA108" s="21">
        <f t="shared" si="277"/>
        <v>51113417</v>
      </c>
      <c r="AB108" s="21">
        <f t="shared" ref="AB108:AC108" si="278">AB84+AB91+AB97+AB104</f>
        <v>53184047</v>
      </c>
      <c r="AC108" s="21">
        <f t="shared" si="278"/>
        <v>52461799</v>
      </c>
      <c r="AD108" s="21">
        <f t="shared" ref="AD108:AE108" si="279">AD84+AD91+AD97+AD104</f>
        <v>49731286</v>
      </c>
      <c r="AE108" s="21">
        <f t="shared" si="279"/>
        <v>49724166</v>
      </c>
      <c r="AF108" s="21">
        <f t="shared" ref="AF108:AG108" si="280">AF84+AF91+AF97+AF104</f>
        <v>51774907</v>
      </c>
      <c r="AG108" s="21">
        <f t="shared" si="280"/>
        <v>52977593</v>
      </c>
      <c r="AH108" s="21">
        <f t="shared" ref="AH108:AI108" si="281">AH84+AH91+AH97+AH104</f>
        <v>48582542</v>
      </c>
      <c r="AI108" s="21">
        <f t="shared" si="281"/>
        <v>54242408.490000002</v>
      </c>
      <c r="AJ108" s="21">
        <f t="shared" ref="AJ108:AK108" si="282">AJ84+AJ91+AJ97+AJ104</f>
        <v>46075468</v>
      </c>
      <c r="AK108" s="21">
        <f t="shared" si="282"/>
        <v>50231561</v>
      </c>
      <c r="AL108" s="17"/>
    </row>
    <row r="109" spans="1:38" ht="13.5" customHeight="1" x14ac:dyDescent="0.2">
      <c r="A109" s="15"/>
      <c r="D109" s="1" t="s">
        <v>28</v>
      </c>
      <c r="E109" s="23"/>
      <c r="F109" s="23">
        <f>F85+F92+F98</f>
        <v>8640916</v>
      </c>
      <c r="G109" s="23">
        <f t="shared" ref="G109:L109" si="283">G85+G92+G98</f>
        <v>13864074</v>
      </c>
      <c r="H109" s="23"/>
      <c r="I109" s="23">
        <f t="shared" si="283"/>
        <v>26597138</v>
      </c>
      <c r="J109" s="23">
        <f t="shared" si="283"/>
        <v>29987434</v>
      </c>
      <c r="K109" s="23">
        <f t="shared" si="283"/>
        <v>31468496</v>
      </c>
      <c r="L109" s="23">
        <f t="shared" si="283"/>
        <v>32123959</v>
      </c>
      <c r="M109" s="23">
        <f>M85+M92+M98</f>
        <v>32621779</v>
      </c>
      <c r="N109" s="23">
        <f>N85+N92+N98</f>
        <v>37511489</v>
      </c>
      <c r="O109" s="23">
        <f>O85+O92+O98</f>
        <v>38051598</v>
      </c>
      <c r="P109" s="23">
        <f>P85+P92+P98</f>
        <v>45277627</v>
      </c>
      <c r="Q109" s="23">
        <f>Q85+Q92+Q98+Q105</f>
        <v>55855125</v>
      </c>
      <c r="R109" s="23">
        <f>R85+R92+R98+R105</f>
        <v>59887192</v>
      </c>
      <c r="S109" s="23">
        <f t="shared" si="277"/>
        <v>64397777</v>
      </c>
      <c r="T109" s="23">
        <f t="shared" si="277"/>
        <v>70856222</v>
      </c>
      <c r="U109" s="23">
        <f t="shared" si="277"/>
        <v>72523817</v>
      </c>
      <c r="V109" s="23">
        <f t="shared" si="277"/>
        <v>78609554</v>
      </c>
      <c r="W109" s="23">
        <f t="shared" si="277"/>
        <v>87631398</v>
      </c>
      <c r="X109" s="23">
        <f t="shared" si="277"/>
        <v>88396638</v>
      </c>
      <c r="Y109" s="23">
        <f t="shared" si="277"/>
        <v>87868111</v>
      </c>
      <c r="Z109" s="23">
        <f t="shared" si="277"/>
        <v>83837418</v>
      </c>
      <c r="AA109" s="23">
        <f t="shared" si="277"/>
        <v>80281528</v>
      </c>
      <c r="AB109" s="23">
        <f t="shared" ref="AB109:AC109" si="284">AB85+AB92+AB98+AB105</f>
        <v>76025648</v>
      </c>
      <c r="AC109" s="23">
        <f t="shared" si="284"/>
        <v>72029759</v>
      </c>
      <c r="AD109" s="23">
        <f t="shared" ref="AD109:AE109" si="285">AD85+AD92+AD98+AD105</f>
        <v>65769185</v>
      </c>
      <c r="AE109" s="23">
        <f t="shared" si="285"/>
        <v>62394552</v>
      </c>
      <c r="AF109" s="23">
        <f t="shared" ref="AF109:AG109" si="286">AF85+AF92+AF98+AF105</f>
        <v>62751303</v>
      </c>
      <c r="AG109" s="23">
        <f t="shared" si="286"/>
        <v>58700373</v>
      </c>
      <c r="AH109" s="23">
        <f t="shared" ref="AH109:AI109" si="287">AH85+AH92+AH98+AH105</f>
        <v>54178549</v>
      </c>
      <c r="AI109" s="23">
        <f t="shared" si="287"/>
        <v>49475963</v>
      </c>
      <c r="AJ109" s="23">
        <f t="shared" ref="AJ109:AK109" si="288">AJ85+AJ92+AJ98+AJ105</f>
        <v>49921358</v>
      </c>
      <c r="AK109" s="23">
        <f t="shared" si="288"/>
        <v>50829552</v>
      </c>
      <c r="AL109" s="17"/>
    </row>
    <row r="110" spans="1:38" ht="13.5" customHeight="1" x14ac:dyDescent="0.2">
      <c r="A110" s="15"/>
      <c r="D110" s="1" t="s">
        <v>29</v>
      </c>
      <c r="E110" s="23"/>
      <c r="F110" s="24">
        <f t="shared" ref="F110:AA110" si="289">F86+F99</f>
        <v>3526641</v>
      </c>
      <c r="G110" s="24">
        <f t="shared" si="289"/>
        <v>3694555</v>
      </c>
      <c r="H110" s="24"/>
      <c r="I110" s="24">
        <f t="shared" si="289"/>
        <v>3347309</v>
      </c>
      <c r="J110" s="24">
        <f t="shared" si="289"/>
        <v>3670125</v>
      </c>
      <c r="K110" s="24">
        <f t="shared" si="289"/>
        <v>4151601</v>
      </c>
      <c r="L110" s="24">
        <f t="shared" si="289"/>
        <v>3772665</v>
      </c>
      <c r="M110" s="24">
        <f t="shared" si="289"/>
        <v>3822194</v>
      </c>
      <c r="N110" s="24">
        <f t="shared" si="289"/>
        <v>4314434</v>
      </c>
      <c r="O110" s="24">
        <f t="shared" si="289"/>
        <v>2311430</v>
      </c>
      <c r="P110" s="24">
        <f t="shared" si="289"/>
        <v>4539718</v>
      </c>
      <c r="Q110" s="24">
        <f t="shared" si="289"/>
        <v>4091725</v>
      </c>
      <c r="R110" s="24">
        <f t="shared" si="289"/>
        <v>5648608</v>
      </c>
      <c r="S110" s="24">
        <f t="shared" si="289"/>
        <v>1409515</v>
      </c>
      <c r="T110" s="24">
        <f t="shared" si="289"/>
        <v>6257889</v>
      </c>
      <c r="U110" s="24">
        <f t="shared" si="289"/>
        <v>6355458</v>
      </c>
      <c r="V110" s="24">
        <f t="shared" si="289"/>
        <v>6684044</v>
      </c>
      <c r="W110" s="24">
        <f t="shared" si="289"/>
        <v>6791762</v>
      </c>
      <c r="X110" s="24">
        <f t="shared" si="289"/>
        <v>7052250</v>
      </c>
      <c r="Y110" s="24">
        <f t="shared" si="289"/>
        <v>7426225</v>
      </c>
      <c r="Z110" s="24">
        <f t="shared" si="289"/>
        <v>6942106</v>
      </c>
      <c r="AA110" s="24">
        <f t="shared" si="289"/>
        <v>7372993</v>
      </c>
      <c r="AB110" s="24">
        <f t="shared" ref="AB110:AC110" si="290">AB86+AB99</f>
        <v>7423916</v>
      </c>
      <c r="AC110" s="24">
        <f t="shared" si="290"/>
        <v>8124839</v>
      </c>
      <c r="AD110" s="24">
        <f t="shared" ref="AD110:AE110" si="291">AD86+AD99</f>
        <v>7436016</v>
      </c>
      <c r="AE110" s="24">
        <f t="shared" si="291"/>
        <v>7145069</v>
      </c>
      <c r="AF110" s="24">
        <f t="shared" ref="AF110:AG110" si="292">AF86+AF99</f>
        <v>7511820</v>
      </c>
      <c r="AG110" s="24">
        <f t="shared" si="292"/>
        <v>7316377</v>
      </c>
      <c r="AH110" s="24">
        <f t="shared" ref="AH110:AI110" si="293">AH86+AH99</f>
        <v>6252248</v>
      </c>
      <c r="AI110" s="24">
        <f t="shared" si="293"/>
        <v>6689374</v>
      </c>
      <c r="AJ110" s="24">
        <f t="shared" ref="AJ110:AK110" si="294">AJ86+AJ99</f>
        <v>6769386</v>
      </c>
      <c r="AK110" s="24">
        <f t="shared" si="294"/>
        <v>6700737</v>
      </c>
      <c r="AL110" s="17"/>
    </row>
    <row r="111" spans="1:38" ht="13.5" customHeight="1" x14ac:dyDescent="0.2">
      <c r="A111" s="3"/>
      <c r="E111" s="21"/>
      <c r="F111" s="21">
        <f t="shared" ref="F111:L111" si="295">SUM(F108:F110)</f>
        <v>18722019</v>
      </c>
      <c r="G111" s="21">
        <f t="shared" si="295"/>
        <v>24890451</v>
      </c>
      <c r="H111" s="21">
        <f>H38+H73</f>
        <v>34229859</v>
      </c>
      <c r="I111" s="21">
        <f t="shared" si="295"/>
        <v>41232048</v>
      </c>
      <c r="J111" s="21">
        <f t="shared" si="295"/>
        <v>46055140</v>
      </c>
      <c r="K111" s="21">
        <f t="shared" si="295"/>
        <v>49287448</v>
      </c>
      <c r="L111" s="21">
        <f t="shared" si="295"/>
        <v>50351476</v>
      </c>
      <c r="M111" s="21">
        <f t="shared" ref="M111:AA111" si="296">SUM(M108:M110)</f>
        <v>51233968</v>
      </c>
      <c r="N111" s="21">
        <f t="shared" si="296"/>
        <v>60618053</v>
      </c>
      <c r="O111" s="21">
        <f t="shared" si="296"/>
        <v>62088822</v>
      </c>
      <c r="P111" s="21">
        <f t="shared" si="296"/>
        <v>73868192</v>
      </c>
      <c r="Q111" s="21">
        <f t="shared" si="296"/>
        <v>84066314</v>
      </c>
      <c r="R111" s="21">
        <f t="shared" si="296"/>
        <v>89267603</v>
      </c>
      <c r="S111" s="21">
        <f t="shared" si="296"/>
        <v>98002702</v>
      </c>
      <c r="T111" s="21">
        <f t="shared" si="296"/>
        <v>105576353</v>
      </c>
      <c r="U111" s="21">
        <f t="shared" si="296"/>
        <v>109889371</v>
      </c>
      <c r="V111" s="21">
        <f t="shared" si="296"/>
        <v>119521998</v>
      </c>
      <c r="W111" s="21">
        <f t="shared" si="296"/>
        <v>133897379</v>
      </c>
      <c r="X111" s="21">
        <f t="shared" si="296"/>
        <v>136074247</v>
      </c>
      <c r="Y111" s="21">
        <f t="shared" si="296"/>
        <v>139397106</v>
      </c>
      <c r="Z111" s="21">
        <f t="shared" si="296"/>
        <v>137047740</v>
      </c>
      <c r="AA111" s="21">
        <f t="shared" si="296"/>
        <v>138767938</v>
      </c>
      <c r="AB111" s="21">
        <f t="shared" ref="AB111:AC111" si="297">SUM(AB108:AB110)</f>
        <v>136633611</v>
      </c>
      <c r="AC111" s="21">
        <f t="shared" si="297"/>
        <v>132616397</v>
      </c>
      <c r="AD111" s="21">
        <f t="shared" ref="AD111:AE111" si="298">SUM(AD108:AD110)</f>
        <v>122936487</v>
      </c>
      <c r="AE111" s="21">
        <f t="shared" si="298"/>
        <v>119263787</v>
      </c>
      <c r="AF111" s="21">
        <f t="shared" ref="AF111:AG111" si="299">SUM(AF108:AF110)</f>
        <v>122038030</v>
      </c>
      <c r="AG111" s="21">
        <f t="shared" si="299"/>
        <v>118994343</v>
      </c>
      <c r="AH111" s="21">
        <f t="shared" ref="AH111:AI111" si="300">SUM(AH108:AH110)</f>
        <v>109013339</v>
      </c>
      <c r="AI111" s="21">
        <f t="shared" si="300"/>
        <v>110407745.49000001</v>
      </c>
      <c r="AJ111" s="21">
        <f t="shared" ref="AJ111:AK111" si="301">SUM(AJ108:AJ110)</f>
        <v>102766212</v>
      </c>
      <c r="AK111" s="21">
        <f t="shared" si="301"/>
        <v>107761850</v>
      </c>
      <c r="AL111" s="5"/>
    </row>
    <row r="112" spans="1:38" ht="13.5" customHeight="1" x14ac:dyDescent="0.2">
      <c r="A112" s="3"/>
      <c r="C112" s="2" t="s">
        <v>37</v>
      </c>
      <c r="D112" s="2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5"/>
    </row>
    <row r="113" spans="1:38" ht="13.5" customHeight="1" x14ac:dyDescent="0.2">
      <c r="A113" s="3"/>
      <c r="D113" s="1" t="s">
        <v>38</v>
      </c>
      <c r="E113" s="21"/>
      <c r="F113" s="32">
        <f>F40+F75</f>
        <v>3012</v>
      </c>
      <c r="G113" s="32">
        <f>G40+G75</f>
        <v>3355</v>
      </c>
      <c r="H113" s="32"/>
      <c r="I113" s="32">
        <f t="shared" ref="I113:U114" si="302">I40+I75</f>
        <v>4732</v>
      </c>
      <c r="J113" s="32">
        <f t="shared" si="302"/>
        <v>4939</v>
      </c>
      <c r="K113" s="32">
        <f t="shared" si="302"/>
        <v>5633</v>
      </c>
      <c r="L113" s="32">
        <f t="shared" si="302"/>
        <v>4778</v>
      </c>
      <c r="M113" s="32">
        <f t="shared" si="302"/>
        <v>4826</v>
      </c>
      <c r="N113" s="32">
        <f t="shared" si="302"/>
        <v>5126</v>
      </c>
      <c r="O113" s="32">
        <f t="shared" si="302"/>
        <v>5330</v>
      </c>
      <c r="P113" s="32">
        <f t="shared" si="302"/>
        <v>6002</v>
      </c>
      <c r="Q113" s="32">
        <f t="shared" si="302"/>
        <v>6554</v>
      </c>
      <c r="R113" s="32">
        <f t="shared" si="302"/>
        <v>6705</v>
      </c>
      <c r="S113" s="32">
        <f t="shared" si="302"/>
        <v>6764</v>
      </c>
      <c r="T113" s="32">
        <f t="shared" si="302"/>
        <v>6991</v>
      </c>
      <c r="U113" s="32">
        <f t="shared" si="302"/>
        <v>7270</v>
      </c>
      <c r="V113" s="32">
        <v>7387</v>
      </c>
      <c r="W113" s="32">
        <f t="shared" ref="W113:AA114" si="303">W40+W75</f>
        <v>8364</v>
      </c>
      <c r="X113" s="32">
        <f t="shared" si="303"/>
        <v>8773</v>
      </c>
      <c r="Y113" s="32">
        <f t="shared" si="303"/>
        <v>8865</v>
      </c>
      <c r="Z113" s="32">
        <f t="shared" si="303"/>
        <v>6819</v>
      </c>
      <c r="AA113" s="32">
        <f t="shared" si="303"/>
        <v>6789</v>
      </c>
      <c r="AB113" s="32">
        <v>6543</v>
      </c>
      <c r="AC113" s="32">
        <v>5954</v>
      </c>
      <c r="AD113" s="32">
        <v>5426</v>
      </c>
      <c r="AE113" s="32">
        <v>5246</v>
      </c>
      <c r="AF113" s="32">
        <v>5000</v>
      </c>
      <c r="AG113" s="32">
        <v>4545</v>
      </c>
      <c r="AH113" s="32">
        <v>4160</v>
      </c>
      <c r="AI113" s="32">
        <f>AI40+AI75</f>
        <v>3910</v>
      </c>
      <c r="AJ113" s="32">
        <f>AJ40+AJ75</f>
        <v>3641</v>
      </c>
      <c r="AK113" s="32">
        <v>3677</v>
      </c>
      <c r="AL113" s="5"/>
    </row>
    <row r="114" spans="1:38" ht="13.5" customHeight="1" x14ac:dyDescent="0.2">
      <c r="A114" s="3"/>
      <c r="D114" s="1" t="s">
        <v>39</v>
      </c>
      <c r="E114" s="21"/>
      <c r="F114" s="33">
        <f>F41+F76</f>
        <v>1806</v>
      </c>
      <c r="G114" s="33">
        <f>G41+G76</f>
        <v>2049</v>
      </c>
      <c r="H114" s="33"/>
      <c r="I114" s="33">
        <f t="shared" si="302"/>
        <v>2978</v>
      </c>
      <c r="J114" s="33">
        <f t="shared" si="302"/>
        <v>3033</v>
      </c>
      <c r="K114" s="33">
        <f t="shared" si="302"/>
        <v>3095</v>
      </c>
      <c r="L114" s="33">
        <f t="shared" si="302"/>
        <v>1974</v>
      </c>
      <c r="M114" s="33">
        <f t="shared" si="302"/>
        <v>3052</v>
      </c>
      <c r="N114" s="33">
        <f t="shared" si="302"/>
        <v>3435</v>
      </c>
      <c r="O114" s="33">
        <f t="shared" si="302"/>
        <v>3511</v>
      </c>
      <c r="P114" s="33">
        <f t="shared" si="302"/>
        <v>4076</v>
      </c>
      <c r="Q114" s="33">
        <f t="shared" si="302"/>
        <v>3982</v>
      </c>
      <c r="R114" s="33">
        <f t="shared" si="302"/>
        <v>3651</v>
      </c>
      <c r="S114" s="33">
        <f t="shared" si="302"/>
        <v>3685</v>
      </c>
      <c r="T114" s="33">
        <f t="shared" si="302"/>
        <v>3496</v>
      </c>
      <c r="U114" s="33">
        <f t="shared" si="302"/>
        <v>3273</v>
      </c>
      <c r="V114" s="33">
        <v>3731</v>
      </c>
      <c r="W114" s="33">
        <f t="shared" si="303"/>
        <v>3232</v>
      </c>
      <c r="X114" s="33">
        <f t="shared" si="303"/>
        <v>3249</v>
      </c>
      <c r="Y114" s="33">
        <f t="shared" si="303"/>
        <v>3172</v>
      </c>
      <c r="Z114" s="33">
        <f t="shared" si="303"/>
        <v>5306</v>
      </c>
      <c r="AA114" s="33">
        <f t="shared" si="303"/>
        <v>4987</v>
      </c>
      <c r="AB114" s="33">
        <v>4990</v>
      </c>
      <c r="AC114" s="33">
        <v>5143</v>
      </c>
      <c r="AD114" s="33">
        <v>5334</v>
      </c>
      <c r="AE114" s="33">
        <v>4999</v>
      </c>
      <c r="AF114" s="33">
        <v>5296</v>
      </c>
      <c r="AG114" s="33">
        <v>5279</v>
      </c>
      <c r="AH114" s="33">
        <v>5024</v>
      </c>
      <c r="AI114" s="33">
        <v>5326</v>
      </c>
      <c r="AJ114" s="33">
        <v>4848</v>
      </c>
      <c r="AK114" s="33">
        <v>4579</v>
      </c>
      <c r="AL114" s="5"/>
    </row>
    <row r="115" spans="1:38" ht="13.5" customHeight="1" x14ac:dyDescent="0.2">
      <c r="A115" s="3"/>
      <c r="F115" s="32">
        <f t="shared" ref="F115:AA115" si="304">SUM(F113:F114)</f>
        <v>4818</v>
      </c>
      <c r="G115" s="32">
        <f t="shared" si="304"/>
        <v>5404</v>
      </c>
      <c r="H115" s="32"/>
      <c r="I115" s="32">
        <f t="shared" si="304"/>
        <v>7710</v>
      </c>
      <c r="J115" s="32">
        <f t="shared" si="304"/>
        <v>7972</v>
      </c>
      <c r="K115" s="32">
        <f t="shared" si="304"/>
        <v>8728</v>
      </c>
      <c r="L115" s="32">
        <f t="shared" si="304"/>
        <v>6752</v>
      </c>
      <c r="M115" s="32">
        <f t="shared" si="304"/>
        <v>7878</v>
      </c>
      <c r="N115" s="32">
        <f t="shared" si="304"/>
        <v>8561</v>
      </c>
      <c r="O115" s="32">
        <f t="shared" si="304"/>
        <v>8841</v>
      </c>
      <c r="P115" s="32">
        <f t="shared" si="304"/>
        <v>10078</v>
      </c>
      <c r="Q115" s="32">
        <f t="shared" si="304"/>
        <v>10536</v>
      </c>
      <c r="R115" s="32">
        <f t="shared" si="304"/>
        <v>10356</v>
      </c>
      <c r="S115" s="32">
        <f t="shared" si="304"/>
        <v>10449</v>
      </c>
      <c r="T115" s="32">
        <f t="shared" si="304"/>
        <v>10487</v>
      </c>
      <c r="U115" s="32">
        <f t="shared" si="304"/>
        <v>10543</v>
      </c>
      <c r="V115" s="32">
        <f t="shared" si="304"/>
        <v>11118</v>
      </c>
      <c r="W115" s="32">
        <f t="shared" si="304"/>
        <v>11596</v>
      </c>
      <c r="X115" s="32">
        <f t="shared" si="304"/>
        <v>12022</v>
      </c>
      <c r="Y115" s="32">
        <f t="shared" si="304"/>
        <v>12037</v>
      </c>
      <c r="Z115" s="32">
        <f t="shared" si="304"/>
        <v>12125</v>
      </c>
      <c r="AA115" s="32">
        <f t="shared" si="304"/>
        <v>11776</v>
      </c>
      <c r="AB115" s="32">
        <f t="shared" ref="AB115:AC115" si="305">SUM(AB113:AB114)</f>
        <v>11533</v>
      </c>
      <c r="AC115" s="32">
        <f t="shared" si="305"/>
        <v>11097</v>
      </c>
      <c r="AD115" s="32">
        <f t="shared" ref="AD115:AE115" si="306">SUM(AD113:AD114)</f>
        <v>10760</v>
      </c>
      <c r="AE115" s="32">
        <f t="shared" si="306"/>
        <v>10245</v>
      </c>
      <c r="AF115" s="32">
        <f t="shared" ref="AF115:AG115" si="307">SUM(AF113:AF114)</f>
        <v>10296</v>
      </c>
      <c r="AG115" s="32">
        <f t="shared" si="307"/>
        <v>9824</v>
      </c>
      <c r="AH115" s="32">
        <f t="shared" ref="AH115:AI115" si="308">SUM(AH113:AH114)</f>
        <v>9184</v>
      </c>
      <c r="AI115" s="32">
        <f t="shared" si="308"/>
        <v>9236</v>
      </c>
      <c r="AJ115" s="32">
        <f t="shared" ref="AJ115:AK115" si="309">SUM(AJ113:AJ114)</f>
        <v>8489</v>
      </c>
      <c r="AK115" s="32">
        <f t="shared" si="309"/>
        <v>8256</v>
      </c>
      <c r="AL115" s="5"/>
    </row>
    <row r="116" spans="1:38" ht="13.5" customHeight="1" x14ac:dyDescent="0.2">
      <c r="A116" s="3"/>
      <c r="B116" s="12"/>
      <c r="C116" s="12"/>
      <c r="D116" s="12"/>
      <c r="E116" s="12"/>
      <c r="F116" s="12"/>
      <c r="G116" s="12"/>
      <c r="H116" s="12"/>
      <c r="I116" s="12"/>
      <c r="J116" s="12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5"/>
    </row>
    <row r="117" spans="1:38" ht="13.5" customHeight="1" x14ac:dyDescent="0.2">
      <c r="A117" s="3"/>
      <c r="AL117" s="5"/>
    </row>
    <row r="118" spans="1:38" ht="13.5" customHeight="1" x14ac:dyDescent="0.2">
      <c r="A118" s="3"/>
      <c r="B118" s="1" t="s">
        <v>42</v>
      </c>
      <c r="AL118" s="5"/>
    </row>
    <row r="119" spans="1:38" ht="13.5" customHeight="1" x14ac:dyDescent="0.2">
      <c r="A119" s="3"/>
      <c r="AL119" s="5"/>
    </row>
    <row r="120" spans="1:38" ht="13.5" customHeight="1" x14ac:dyDescent="0.2">
      <c r="A120" s="3"/>
      <c r="B120" s="1" t="s">
        <v>43</v>
      </c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5"/>
    </row>
    <row r="121" spans="1:38" ht="13.5" customHeight="1" x14ac:dyDescent="0.2">
      <c r="A121" s="3"/>
      <c r="B121" s="1" t="s">
        <v>44</v>
      </c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5"/>
    </row>
    <row r="122" spans="1:38" ht="13.5" customHeight="1" x14ac:dyDescent="0.2">
      <c r="A122" s="3"/>
      <c r="B122" s="1" t="s">
        <v>45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5"/>
    </row>
    <row r="123" spans="1:38" ht="13.5" customHeight="1" x14ac:dyDescent="0.2">
      <c r="A123" s="3"/>
      <c r="AL123" s="5"/>
    </row>
    <row r="124" spans="1:38" ht="13.5" customHeight="1" x14ac:dyDescent="0.25">
      <c r="A124" s="39"/>
      <c r="B124" s="69" t="s">
        <v>46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70"/>
      <c r="AE124" s="71"/>
      <c r="AF124" s="71"/>
      <c r="AG124" s="40"/>
      <c r="AH124" s="40"/>
      <c r="AI124" s="40"/>
      <c r="AJ124" s="40"/>
      <c r="AK124" s="40" t="s">
        <v>61</v>
      </c>
      <c r="AL124" s="41"/>
    </row>
    <row r="126" spans="1:38" ht="13.5" customHeight="1" x14ac:dyDescent="0.2">
      <c r="AG126" s="21"/>
      <c r="AH126" s="21"/>
      <c r="AI126" s="21"/>
      <c r="AJ126" s="21">
        <f>AJ111/AJ115</f>
        <v>12105.808929202498</v>
      </c>
      <c r="AK126" s="21">
        <f>AK111/AK115</f>
        <v>13052.549660852714</v>
      </c>
    </row>
    <row r="127" spans="1:38" ht="13.5" customHeight="1" x14ac:dyDescent="0.2"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</row>
    <row r="133" spans="8:39" ht="13.5" customHeight="1" x14ac:dyDescent="0.2"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</row>
    <row r="134" spans="8:39" ht="13.5" customHeight="1" x14ac:dyDescent="0.2"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</row>
    <row r="135" spans="8:39" ht="13.5" customHeight="1" x14ac:dyDescent="0.2"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</row>
    <row r="136" spans="8:39" ht="13.5" customHeight="1" x14ac:dyDescent="0.2"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</row>
    <row r="137" spans="8:39" ht="13.5" customHeight="1" x14ac:dyDescent="0.2"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</row>
  </sheetData>
  <mergeCells count="2">
    <mergeCell ref="A2:AL2"/>
    <mergeCell ref="B124:AF124"/>
  </mergeCells>
  <hyperlinks>
    <hyperlink ref="B124:AC124" r:id="rId1" display="Source: DHE 14-1, Student Financial Aid Awarded" xr:uid="{2E1C6268-6821-42D4-BDC6-4F0BCB36AF12}"/>
    <hyperlink ref="B124:AD124" r:id="rId2" display="Source: DHE 14-1, Student Financial Aid Awarded" xr:uid="{3AD407AA-9DEB-4288-B6E8-D70940821E8C}"/>
  </hyperlinks>
  <printOptions horizontalCentered="1"/>
  <pageMargins left="0.7" right="0.45" top="0.5" bottom="0.25" header="0.5" footer="0.5"/>
  <pageSetup scale="77" orientation="portrait" verticalDpi="300" r:id="rId3"/>
  <headerFooter alignWithMargins="0"/>
  <rowBreaks count="1" manualBreakCount="1">
    <brk id="78" max="16383" man="1"/>
  </rowBreaks>
  <ignoredErrors>
    <ignoredError sqref="F87:AA114 AB93:AB94 AB100:AE100 AB87:AE87 AC93:AE94 AF87:AF101 AG87 AG93:AG94 AG100 AH87:AH101 AI87:AI102 AJ100 AJ87:AJ95 AK87:AK10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UM System</vt:lpstr>
      <vt:lpstr>MU</vt:lpstr>
      <vt:lpstr>UMKC</vt:lpstr>
      <vt:lpstr>S&amp;T</vt:lpstr>
      <vt:lpstr>UMSL</vt:lpstr>
      <vt:lpstr>MU!TABLE</vt:lpstr>
      <vt:lpstr>'S&amp;T'!TABLE</vt:lpstr>
      <vt:lpstr>UMKC!TABLE</vt:lpstr>
      <vt:lpstr>UMSL!TABLE</vt:lpstr>
      <vt:lpstr>TABLE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</cp:lastModifiedBy>
  <cp:lastPrinted>2023-11-02T13:02:04Z</cp:lastPrinted>
  <dcterms:created xsi:type="dcterms:W3CDTF">2014-11-18T15:48:20Z</dcterms:created>
  <dcterms:modified xsi:type="dcterms:W3CDTF">2024-10-16T19:34:45Z</dcterms:modified>
</cp:coreProperties>
</file>