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6C8462DF-3F9A-48EC-A63E-770A2C01F5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AU 24-25" sheetId="30" r:id="rId1"/>
    <sheet name="AAU 23-24" sheetId="29" r:id="rId2"/>
    <sheet name="AAU 22-23" sheetId="28" r:id="rId3"/>
    <sheet name="AAU 21-22" sheetId="27" r:id="rId4"/>
    <sheet name="AAU 20-21" sheetId="26" r:id="rId5"/>
    <sheet name="AAU 19-20" sheetId="25" r:id="rId6"/>
    <sheet name="AAU 18-19" sheetId="24" r:id="rId7"/>
    <sheet name="AAU 17-18" sheetId="23" r:id="rId8"/>
    <sheet name="AAU 16-17" sheetId="20" r:id="rId9"/>
    <sheet name="AAU 15-16" sheetId="19" r:id="rId10"/>
    <sheet name="AAU 14-15" sheetId="18" r:id="rId11"/>
    <sheet name="AAU 13-14" sheetId="1" r:id="rId12"/>
    <sheet name="AAU 12-13" sheetId="2" r:id="rId13"/>
    <sheet name="AAU 11-12" sheetId="3" r:id="rId14"/>
    <sheet name="AAU 10-11" sheetId="4" r:id="rId15"/>
    <sheet name="AAU 09-10" sheetId="5" r:id="rId16"/>
    <sheet name="AAU 08-09" sheetId="6" r:id="rId17"/>
    <sheet name="AAU 07-08" sheetId="7" r:id="rId18"/>
    <sheet name="AAU 06-07" sheetId="8" r:id="rId19"/>
    <sheet name="AAU 05-06" sheetId="9" r:id="rId20"/>
    <sheet name="AAU 04-05" sheetId="10" r:id="rId21"/>
    <sheet name="AAU 03-04" sheetId="11" r:id="rId22"/>
    <sheet name="AAU 02-03" sheetId="12" r:id="rId23"/>
    <sheet name="AAU 01-02" sheetId="13" r:id="rId24"/>
    <sheet name="AAU 00-01" sheetId="14" r:id="rId25"/>
    <sheet name="AAU 99-00" sheetId="15" r:id="rId26"/>
    <sheet name="AAU 98-99" sheetId="16" r:id="rId27"/>
    <sheet name="AAU 97-98" sheetId="17" r:id="rId28"/>
    <sheet name="AAU 89-90" sheetId="21" r:id="rId29"/>
    <sheet name="AAU 78-79" sheetId="22" r:id="rId30"/>
  </sheets>
  <definedNames>
    <definedName name="_xlnm.Print_Area" localSheetId="24">'AAU 00-01'!$A$1:$K$52</definedName>
    <definedName name="_xlnm.Print_Area" localSheetId="23">'AAU 01-02'!$A$1:$K$53</definedName>
    <definedName name="_xlnm.Print_Area" localSheetId="22">'AAU 02-03'!$A$1:$K$52</definedName>
    <definedName name="_xlnm.Print_Area" localSheetId="21">'AAU 03-04'!$A$1:$K$52</definedName>
    <definedName name="_xlnm.Print_Area" localSheetId="20">'AAU 04-05'!$A$1:$K$52</definedName>
    <definedName name="_xlnm.Print_Area" localSheetId="19">'AAU 05-06'!$A$1:$K$52</definedName>
    <definedName name="_xlnm.Print_Area" localSheetId="18">'AAU 06-07'!$A$1:$K$52</definedName>
    <definedName name="_xlnm.Print_Area" localSheetId="17">'AAU 07-08'!$A$1:$K$52</definedName>
    <definedName name="_xlnm.Print_Area" localSheetId="16">'AAU 08-09'!$A$1:$K$52</definedName>
    <definedName name="_xlnm.Print_Area" localSheetId="15">'AAU 09-10'!$A$1:$K$53</definedName>
    <definedName name="_xlnm.Print_Area" localSheetId="14">'AAU 10-11'!$A$1:$K$54</definedName>
    <definedName name="_xlnm.Print_Area" localSheetId="13">'AAU 11-12'!$A$1:$K$52</definedName>
    <definedName name="_xlnm.Print_Area" localSheetId="12">'AAU 12-13'!$A$1:$K$52</definedName>
    <definedName name="_xlnm.Print_Area" localSheetId="11">'AAU 13-14'!$A$1:$K$52</definedName>
    <definedName name="_xlnm.Print_Area" localSheetId="10">'AAU 14-15'!$A$1:$K$52</definedName>
    <definedName name="_xlnm.Print_Area" localSheetId="9">'AAU 15-16'!$A$1:$K$55</definedName>
    <definedName name="_xlnm.Print_Area" localSheetId="8">'AAU 16-17'!$A$1:$K$52</definedName>
    <definedName name="_xlnm.Print_Area" localSheetId="7">'AAU 17-18'!$A$1:$K$52</definedName>
    <definedName name="_xlnm.Print_Area" localSheetId="6">'AAU 18-19'!$A$1:$K$54</definedName>
    <definedName name="_xlnm.Print_Area" localSheetId="5">'AAU 19-20'!$A$1:$K$55</definedName>
    <definedName name="_xlnm.Print_Area" localSheetId="4">'AAU 20-21'!$A$1:$K$54</definedName>
    <definedName name="_xlnm.Print_Area" localSheetId="3">'AAU 21-22'!$A$1:$K$54</definedName>
    <definedName name="_xlnm.Print_Area" localSheetId="2">'AAU 22-23'!$A$1:$K$57</definedName>
    <definedName name="_xlnm.Print_Area" localSheetId="1">'AAU 23-24'!$A$1:$K$57</definedName>
    <definedName name="_xlnm.Print_Area" localSheetId="0">'AAU 24-25'!$A$1:$K$56</definedName>
    <definedName name="_xlnm.Print_Area" localSheetId="29">'AAU 78-79'!$A$1:$K$42</definedName>
    <definedName name="_xlnm.Print_Area" localSheetId="28">'AAU 89-90'!$A$1:$K$47</definedName>
    <definedName name="_xlnm.Print_Area" localSheetId="27">'AAU 97-98'!$A$1:$K$50</definedName>
    <definedName name="_xlnm.Print_Area" localSheetId="26">'AAU 98-99'!$A$1:$K$50</definedName>
    <definedName name="_xlnm.Print_Area" localSheetId="25">'AAU 99-00'!$A$1:$K$50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" i="30" l="1"/>
  <c r="N48" i="30"/>
  <c r="M48" i="30"/>
  <c r="O47" i="30"/>
  <c r="N47" i="30"/>
  <c r="M47" i="30"/>
  <c r="O46" i="30"/>
  <c r="N46" i="30"/>
  <c r="M46" i="30"/>
  <c r="O45" i="30"/>
  <c r="N45" i="30"/>
  <c r="M45" i="30"/>
  <c r="O43" i="30"/>
  <c r="N43" i="30"/>
  <c r="M43" i="30"/>
  <c r="O44" i="30"/>
  <c r="N44" i="30"/>
  <c r="M44" i="30"/>
  <c r="O40" i="30"/>
  <c r="N40" i="30"/>
  <c r="M40" i="30"/>
  <c r="O38" i="30"/>
  <c r="N38" i="30"/>
  <c r="M38" i="30"/>
  <c r="O36" i="30"/>
  <c r="N36" i="30"/>
  <c r="M36" i="30"/>
  <c r="O35" i="30"/>
  <c r="N35" i="30"/>
  <c r="M35" i="30"/>
  <c r="O34" i="30"/>
  <c r="N34" i="30"/>
  <c r="M34" i="30"/>
  <c r="O39" i="30"/>
  <c r="N39" i="30"/>
  <c r="M39" i="30"/>
  <c r="O41" i="30"/>
  <c r="N41" i="30"/>
  <c r="M41" i="30"/>
  <c r="O42" i="30"/>
  <c r="N42" i="30"/>
  <c r="M42" i="30"/>
  <c r="O33" i="30"/>
  <c r="N33" i="30"/>
  <c r="M33" i="30"/>
  <c r="O31" i="30"/>
  <c r="N31" i="30"/>
  <c r="M31" i="30"/>
  <c r="O30" i="30"/>
  <c r="N30" i="30"/>
  <c r="M30" i="30"/>
  <c r="O29" i="30"/>
  <c r="N29" i="30"/>
  <c r="M29" i="30"/>
  <c r="O28" i="30"/>
  <c r="N28" i="30"/>
  <c r="M28" i="30"/>
  <c r="O27" i="30"/>
  <c r="N27" i="30"/>
  <c r="M27" i="30"/>
  <c r="O26" i="30"/>
  <c r="N26" i="30"/>
  <c r="M26" i="30"/>
  <c r="O25" i="30"/>
  <c r="N25" i="30"/>
  <c r="M25" i="30"/>
  <c r="O24" i="30"/>
  <c r="N24" i="30"/>
  <c r="M24" i="30"/>
  <c r="O22" i="30"/>
  <c r="N22" i="30"/>
  <c r="M22" i="30"/>
  <c r="O21" i="30"/>
  <c r="N21" i="30"/>
  <c r="M21" i="30"/>
  <c r="O20" i="30"/>
  <c r="N20" i="30"/>
  <c r="M20" i="30"/>
  <c r="O19" i="30"/>
  <c r="N19" i="30"/>
  <c r="M19" i="30"/>
  <c r="O18" i="30"/>
  <c r="N18" i="30"/>
  <c r="M18" i="30"/>
  <c r="O17" i="30"/>
  <c r="N17" i="30"/>
  <c r="M17" i="30"/>
  <c r="O16" i="30"/>
  <c r="N16" i="30"/>
  <c r="M16" i="30"/>
  <c r="O15" i="30"/>
  <c r="N15" i="30"/>
  <c r="M15" i="30"/>
  <c r="O14" i="30"/>
  <c r="N14" i="30"/>
  <c r="M14" i="30"/>
  <c r="O13" i="30"/>
  <c r="N13" i="30"/>
  <c r="M13" i="30"/>
  <c r="O37" i="30"/>
  <c r="N37" i="30"/>
  <c r="M37" i="30"/>
  <c r="O23" i="30"/>
  <c r="N23" i="30"/>
  <c r="M23" i="30"/>
  <c r="O12" i="30"/>
  <c r="N12" i="30"/>
  <c r="M12" i="30"/>
  <c r="O11" i="30"/>
  <c r="N11" i="30"/>
  <c r="M11" i="30"/>
  <c r="O32" i="30" l="1"/>
  <c r="N32" i="30"/>
  <c r="M32" i="30"/>
  <c r="P32" i="30" s="1"/>
  <c r="R12" i="30"/>
  <c r="S13" i="30"/>
  <c r="Q13" i="30"/>
  <c r="R13" i="30"/>
  <c r="S15" i="30"/>
  <c r="P16" i="30"/>
  <c r="Q16" i="30"/>
  <c r="R16" i="30"/>
  <c r="P19" i="30"/>
  <c r="Q19" i="30"/>
  <c r="P20" i="30"/>
  <c r="Q20" i="30"/>
  <c r="Q22" i="30"/>
  <c r="R22" i="30"/>
  <c r="P23" i="30"/>
  <c r="Q23" i="30"/>
  <c r="R23" i="30"/>
  <c r="R25" i="30"/>
  <c r="S26" i="30"/>
  <c r="Q26" i="30"/>
  <c r="R26" i="30"/>
  <c r="S27" i="30"/>
  <c r="S28" i="30"/>
  <c r="P29" i="30"/>
  <c r="Q29" i="30"/>
  <c r="Q32" i="30"/>
  <c r="R32" i="30"/>
  <c r="Q33" i="30"/>
  <c r="R33" i="30"/>
  <c r="Q35" i="30"/>
  <c r="P36" i="30"/>
  <c r="R36" i="30"/>
  <c r="P37" i="30"/>
  <c r="P39" i="30"/>
  <c r="Q39" i="30"/>
  <c r="Q40" i="30"/>
  <c r="R42" i="30"/>
  <c r="P43" i="30"/>
  <c r="Q43" i="30"/>
  <c r="R43" i="30"/>
  <c r="Q44" i="30"/>
  <c r="R44" i="30"/>
  <c r="S46" i="30"/>
  <c r="Q46" i="30"/>
  <c r="R46" i="30"/>
  <c r="P47" i="30"/>
  <c r="G51" i="30"/>
  <c r="F51" i="30"/>
  <c r="E51" i="30"/>
  <c r="Q48" i="30"/>
  <c r="P48" i="30"/>
  <c r="R47" i="30"/>
  <c r="Q45" i="30"/>
  <c r="S45" i="30"/>
  <c r="P45" i="30"/>
  <c r="P44" i="30"/>
  <c r="Q42" i="30"/>
  <c r="S41" i="30"/>
  <c r="R41" i="30"/>
  <c r="Q41" i="30"/>
  <c r="P41" i="30"/>
  <c r="R40" i="30"/>
  <c r="R38" i="30"/>
  <c r="Q38" i="30"/>
  <c r="P38" i="30"/>
  <c r="Q37" i="30"/>
  <c r="R37" i="30"/>
  <c r="P35" i="30"/>
  <c r="R35" i="30"/>
  <c r="R34" i="30"/>
  <c r="Q34" i="30"/>
  <c r="S34" i="30"/>
  <c r="R31" i="30"/>
  <c r="Q31" i="30"/>
  <c r="R30" i="30"/>
  <c r="Q30" i="30"/>
  <c r="S30" i="30"/>
  <c r="R29" i="30"/>
  <c r="Q28" i="30"/>
  <c r="P28" i="30"/>
  <c r="R28" i="30"/>
  <c r="R27" i="30"/>
  <c r="Q27" i="30"/>
  <c r="Q25" i="30"/>
  <c r="P25" i="30"/>
  <c r="R24" i="30"/>
  <c r="Q24" i="30"/>
  <c r="P24" i="30"/>
  <c r="S23" i="30"/>
  <c r="R21" i="30"/>
  <c r="Q21" i="30"/>
  <c r="P21" i="30"/>
  <c r="R20" i="30"/>
  <c r="R18" i="30"/>
  <c r="Q18" i="30"/>
  <c r="P18" i="30"/>
  <c r="R17" i="30"/>
  <c r="Q17" i="30"/>
  <c r="P17" i="30"/>
  <c r="Q15" i="30"/>
  <c r="R15" i="30"/>
  <c r="P15" i="30"/>
  <c r="S14" i="30"/>
  <c r="R14" i="30"/>
  <c r="Q14" i="30"/>
  <c r="P14" i="30"/>
  <c r="Q12" i="30"/>
  <c r="P12" i="30"/>
  <c r="R11" i="30"/>
  <c r="Q11" i="30"/>
  <c r="O46" i="29"/>
  <c r="N46" i="29"/>
  <c r="M46" i="29"/>
  <c r="O42" i="29"/>
  <c r="N42" i="29"/>
  <c r="M42" i="29"/>
  <c r="O20" i="29"/>
  <c r="O19" i="29"/>
  <c r="N19" i="29"/>
  <c r="M19" i="29"/>
  <c r="O18" i="29"/>
  <c r="N18" i="29"/>
  <c r="M18" i="29"/>
  <c r="O17" i="29"/>
  <c r="N17" i="29"/>
  <c r="O16" i="29"/>
  <c r="N16" i="29"/>
  <c r="M16" i="29"/>
  <c r="O15" i="29"/>
  <c r="N15" i="29"/>
  <c r="M15" i="29"/>
  <c r="O14" i="29"/>
  <c r="M14" i="29"/>
  <c r="O13" i="29"/>
  <c r="N13" i="29"/>
  <c r="M13" i="29"/>
  <c r="O48" i="29"/>
  <c r="N48" i="29"/>
  <c r="M48" i="29"/>
  <c r="O47" i="29"/>
  <c r="N47" i="29"/>
  <c r="M47" i="29"/>
  <c r="F47" i="29"/>
  <c r="O45" i="29"/>
  <c r="N45" i="29"/>
  <c r="M45" i="29"/>
  <c r="O44" i="29"/>
  <c r="N44" i="29"/>
  <c r="M44" i="29"/>
  <c r="O43" i="29"/>
  <c r="N43" i="29"/>
  <c r="M43" i="29"/>
  <c r="O37" i="29"/>
  <c r="N37" i="29"/>
  <c r="M37" i="29"/>
  <c r="O36" i="29"/>
  <c r="N36" i="29"/>
  <c r="M36" i="29"/>
  <c r="O35" i="29"/>
  <c r="N35" i="29"/>
  <c r="M35" i="29"/>
  <c r="O34" i="29"/>
  <c r="N34" i="29"/>
  <c r="M34" i="29"/>
  <c r="O33" i="29"/>
  <c r="N33" i="29"/>
  <c r="M33" i="29"/>
  <c r="O41" i="29"/>
  <c r="N41" i="29"/>
  <c r="M41" i="29"/>
  <c r="O39" i="29"/>
  <c r="N39" i="29"/>
  <c r="M39" i="29"/>
  <c r="O31" i="29"/>
  <c r="N31" i="29"/>
  <c r="M31" i="29"/>
  <c r="O29" i="29"/>
  <c r="N29" i="29"/>
  <c r="M29" i="29"/>
  <c r="O30" i="29"/>
  <c r="N30" i="29"/>
  <c r="M30" i="29"/>
  <c r="O28" i="29"/>
  <c r="N28" i="29"/>
  <c r="M28" i="29"/>
  <c r="O27" i="29"/>
  <c r="N27" i="29"/>
  <c r="M27" i="29"/>
  <c r="O26" i="29"/>
  <c r="N26" i="29"/>
  <c r="M26" i="29"/>
  <c r="O38" i="29"/>
  <c r="N38" i="29"/>
  <c r="M38" i="29"/>
  <c r="O25" i="29"/>
  <c r="N25" i="29"/>
  <c r="M25" i="29"/>
  <c r="O24" i="29"/>
  <c r="N24" i="29"/>
  <c r="M24" i="29"/>
  <c r="O23" i="29"/>
  <c r="N23" i="29"/>
  <c r="M23" i="29"/>
  <c r="O40" i="29"/>
  <c r="N40" i="29"/>
  <c r="M40" i="29"/>
  <c r="O22" i="29"/>
  <c r="N22" i="29"/>
  <c r="M22" i="29"/>
  <c r="T38" i="30" l="1"/>
  <c r="T24" i="30"/>
  <c r="T14" i="30"/>
  <c r="U14" i="30" s="1"/>
  <c r="I14" i="30" s="1"/>
  <c r="J14" i="30" s="1"/>
  <c r="T29" i="30"/>
  <c r="T32" i="30"/>
  <c r="P26" i="30"/>
  <c r="T26" i="30" s="1"/>
  <c r="U26" i="30" s="1"/>
  <c r="I26" i="30" s="1"/>
  <c r="J26" i="30" s="1"/>
  <c r="S22" i="30"/>
  <c r="T35" i="30"/>
  <c r="T44" i="30"/>
  <c r="T17" i="30"/>
  <c r="S37" i="30"/>
  <c r="T43" i="30"/>
  <c r="P34" i="30"/>
  <c r="T34" i="30" s="1"/>
  <c r="U34" i="30" s="1"/>
  <c r="I34" i="30" s="1"/>
  <c r="J34" i="30" s="1"/>
  <c r="P46" i="30"/>
  <c r="T46" i="30" s="1"/>
  <c r="U46" i="30" s="1"/>
  <c r="I46" i="30" s="1"/>
  <c r="J46" i="30" s="1"/>
  <c r="S17" i="30"/>
  <c r="T23" i="30"/>
  <c r="U23" i="30" s="1"/>
  <c r="I23" i="30" s="1"/>
  <c r="J23" i="30" s="1"/>
  <c r="P30" i="30"/>
  <c r="T30" i="30" s="1"/>
  <c r="U30" i="30" s="1"/>
  <c r="I30" i="30" s="1"/>
  <c r="J30" i="30" s="1"/>
  <c r="T18" i="30"/>
  <c r="S31" i="30"/>
  <c r="S43" i="30"/>
  <c r="S39" i="30"/>
  <c r="S44" i="30"/>
  <c r="Q47" i="30"/>
  <c r="T47" i="30" s="1"/>
  <c r="S11" i="30"/>
  <c r="S40" i="30"/>
  <c r="S19" i="30"/>
  <c r="S24" i="30"/>
  <c r="S35" i="30"/>
  <c r="S48" i="30"/>
  <c r="S21" i="30"/>
  <c r="T15" i="30"/>
  <c r="U15" i="30" s="1"/>
  <c r="I15" i="30" s="1"/>
  <c r="J15" i="30" s="1"/>
  <c r="T12" i="30"/>
  <c r="S32" i="30"/>
  <c r="S36" i="30"/>
  <c r="T41" i="30"/>
  <c r="U41" i="30" s="1"/>
  <c r="I41" i="30" s="1"/>
  <c r="J41" i="30" s="1"/>
  <c r="T20" i="30"/>
  <c r="S33" i="30"/>
  <c r="N50" i="30"/>
  <c r="T28" i="30"/>
  <c r="U28" i="30" s="1"/>
  <c r="I28" i="30" s="1"/>
  <c r="J28" i="30" s="1"/>
  <c r="T37" i="30"/>
  <c r="S12" i="30"/>
  <c r="S42" i="30"/>
  <c r="T16" i="30"/>
  <c r="T25" i="30"/>
  <c r="T21" i="30"/>
  <c r="S25" i="30"/>
  <c r="S16" i="30"/>
  <c r="P40" i="30"/>
  <c r="T40" i="30" s="1"/>
  <c r="P11" i="30"/>
  <c r="S18" i="30"/>
  <c r="S47" i="30"/>
  <c r="P22" i="30"/>
  <c r="T22" i="30" s="1"/>
  <c r="S29" i="30"/>
  <c r="P42" i="30"/>
  <c r="T42" i="30" s="1"/>
  <c r="O50" i="30"/>
  <c r="P27" i="30"/>
  <c r="T27" i="30" s="1"/>
  <c r="U27" i="30" s="1"/>
  <c r="I27" i="30" s="1"/>
  <c r="J27" i="30" s="1"/>
  <c r="M50" i="30"/>
  <c r="P31" i="30"/>
  <c r="T31" i="30" s="1"/>
  <c r="S38" i="30"/>
  <c r="P13" i="30"/>
  <c r="T13" i="30" s="1"/>
  <c r="U13" i="30" s="1"/>
  <c r="I13" i="30" s="1"/>
  <c r="J13" i="30" s="1"/>
  <c r="S20" i="30"/>
  <c r="P33" i="30"/>
  <c r="T33" i="30" s="1"/>
  <c r="Q36" i="30"/>
  <c r="R45" i="30"/>
  <c r="T45" i="30" s="1"/>
  <c r="U45" i="30" s="1"/>
  <c r="I45" i="30" s="1"/>
  <c r="J45" i="30" s="1"/>
  <c r="R19" i="30"/>
  <c r="R39" i="30"/>
  <c r="T39" i="30" s="1"/>
  <c r="R48" i="30"/>
  <c r="T48" i="30" s="1"/>
  <c r="O32" i="29"/>
  <c r="N32" i="29"/>
  <c r="M32" i="29"/>
  <c r="O21" i="29"/>
  <c r="N21" i="29"/>
  <c r="M21" i="29"/>
  <c r="N20" i="29"/>
  <c r="M20" i="29"/>
  <c r="S18" i="29"/>
  <c r="M17" i="29"/>
  <c r="R16" i="29"/>
  <c r="N14" i="29"/>
  <c r="O12" i="29"/>
  <c r="N12" i="29"/>
  <c r="M12" i="29"/>
  <c r="O11" i="29"/>
  <c r="N11" i="29"/>
  <c r="M11" i="29"/>
  <c r="R12" i="29"/>
  <c r="Q12" i="29"/>
  <c r="S12" i="29"/>
  <c r="S12" i="28"/>
  <c r="P12" i="28"/>
  <c r="T12" i="28" s="1"/>
  <c r="U12" i="28" s="1"/>
  <c r="I12" i="28" s="1"/>
  <c r="R12" i="28"/>
  <c r="Q12" i="28"/>
  <c r="O12" i="28"/>
  <c r="N12" i="28"/>
  <c r="M12" i="28"/>
  <c r="F51" i="29"/>
  <c r="E51" i="29"/>
  <c r="R40" i="29"/>
  <c r="Q40" i="29"/>
  <c r="S40" i="29"/>
  <c r="R17" i="29"/>
  <c r="Q17" i="29"/>
  <c r="P17" i="29"/>
  <c r="O41" i="28"/>
  <c r="R41" i="28" s="1"/>
  <c r="N41" i="28"/>
  <c r="Q41" i="28" s="1"/>
  <c r="M41" i="28"/>
  <c r="S41" i="28" s="1"/>
  <c r="Q17" i="28"/>
  <c r="P17" i="28"/>
  <c r="O17" i="28"/>
  <c r="S17" i="28" s="1"/>
  <c r="N17" i="28"/>
  <c r="M17" i="28"/>
  <c r="G51" i="29"/>
  <c r="R48" i="29"/>
  <c r="Q48" i="29"/>
  <c r="R47" i="29"/>
  <c r="Q47" i="29"/>
  <c r="S47" i="29"/>
  <c r="R46" i="29"/>
  <c r="P46" i="29"/>
  <c r="R45" i="29"/>
  <c r="Q45" i="29"/>
  <c r="S45" i="29"/>
  <c r="Q44" i="29"/>
  <c r="P44" i="29"/>
  <c r="S44" i="29"/>
  <c r="R43" i="29"/>
  <c r="Q43" i="29"/>
  <c r="P43" i="29"/>
  <c r="R42" i="29"/>
  <c r="Q42" i="29"/>
  <c r="S42" i="29"/>
  <c r="R41" i="29"/>
  <c r="Q41" i="29"/>
  <c r="S41" i="29"/>
  <c r="R39" i="29"/>
  <c r="Q39" i="29"/>
  <c r="S39" i="29"/>
  <c r="R38" i="29"/>
  <c r="Q38" i="29"/>
  <c r="P38" i="29"/>
  <c r="R37" i="29"/>
  <c r="Q37" i="29"/>
  <c r="R36" i="29"/>
  <c r="Q36" i="29"/>
  <c r="S36" i="29"/>
  <c r="R35" i="29"/>
  <c r="Q35" i="29"/>
  <c r="Q34" i="29"/>
  <c r="P34" i="29"/>
  <c r="R33" i="29"/>
  <c r="Q33" i="29"/>
  <c r="R32" i="29"/>
  <c r="Q32" i="29"/>
  <c r="P32" i="29"/>
  <c r="R31" i="29"/>
  <c r="Q31" i="29"/>
  <c r="S31" i="29"/>
  <c r="R30" i="29"/>
  <c r="Q30" i="29"/>
  <c r="P30" i="29"/>
  <c r="R29" i="29"/>
  <c r="Q29" i="29"/>
  <c r="P29" i="29"/>
  <c r="R28" i="29"/>
  <c r="Q28" i="29"/>
  <c r="S28" i="29"/>
  <c r="R27" i="29"/>
  <c r="Q27" i="29"/>
  <c r="P27" i="29"/>
  <c r="R26" i="29"/>
  <c r="P26" i="29"/>
  <c r="R25" i="29"/>
  <c r="Q25" i="29"/>
  <c r="R24" i="29"/>
  <c r="Q24" i="29"/>
  <c r="S24" i="29"/>
  <c r="R23" i="29"/>
  <c r="P23" i="29"/>
  <c r="R22" i="29"/>
  <c r="Q22" i="29"/>
  <c r="P22" i="29"/>
  <c r="R21" i="29"/>
  <c r="Q21" i="29"/>
  <c r="P21" i="29"/>
  <c r="R20" i="29"/>
  <c r="Q20" i="29"/>
  <c r="P20" i="29"/>
  <c r="R19" i="29"/>
  <c r="Q19" i="29"/>
  <c r="P19" i="29"/>
  <c r="Q18" i="29"/>
  <c r="Q16" i="29"/>
  <c r="P16" i="29"/>
  <c r="R15" i="29"/>
  <c r="Q15" i="29"/>
  <c r="P15" i="29"/>
  <c r="R14" i="29"/>
  <c r="P14" i="29"/>
  <c r="R13" i="29"/>
  <c r="Q13" i="29"/>
  <c r="Q11" i="29"/>
  <c r="M50" i="29"/>
  <c r="O49" i="28"/>
  <c r="N49" i="28"/>
  <c r="M49" i="28"/>
  <c r="O22" i="28"/>
  <c r="N22" i="28"/>
  <c r="M22" i="28"/>
  <c r="O48" i="28"/>
  <c r="N48" i="28"/>
  <c r="M48" i="28"/>
  <c r="O47" i="28"/>
  <c r="N47" i="28"/>
  <c r="M47" i="28"/>
  <c r="O46" i="28"/>
  <c r="N46" i="28"/>
  <c r="M46" i="28"/>
  <c r="O44" i="28"/>
  <c r="N44" i="28"/>
  <c r="M44" i="28"/>
  <c r="O45" i="28"/>
  <c r="N45" i="28"/>
  <c r="M45" i="28"/>
  <c r="O38" i="28"/>
  <c r="N38" i="28"/>
  <c r="M38" i="28"/>
  <c r="O37" i="28"/>
  <c r="N37" i="28"/>
  <c r="M37" i="28"/>
  <c r="O36" i="28"/>
  <c r="N36" i="28"/>
  <c r="M36" i="28"/>
  <c r="O35" i="28"/>
  <c r="N35" i="28"/>
  <c r="M35" i="28"/>
  <c r="O34" i="28"/>
  <c r="N34" i="28"/>
  <c r="M34" i="28"/>
  <c r="O43" i="28"/>
  <c r="N43" i="28"/>
  <c r="M43" i="28"/>
  <c r="O42" i="28"/>
  <c r="N42" i="28"/>
  <c r="M42" i="28"/>
  <c r="O40" i="28"/>
  <c r="N40" i="28"/>
  <c r="M40" i="28"/>
  <c r="O33" i="28"/>
  <c r="N33" i="28"/>
  <c r="M33" i="28"/>
  <c r="O32" i="28"/>
  <c r="N32" i="28"/>
  <c r="M32" i="28"/>
  <c r="O31" i="28"/>
  <c r="N31" i="28"/>
  <c r="M31" i="28"/>
  <c r="O30" i="28"/>
  <c r="N30" i="28"/>
  <c r="M30" i="28"/>
  <c r="O29" i="28"/>
  <c r="N29" i="28"/>
  <c r="M29" i="28"/>
  <c r="O39" i="28"/>
  <c r="N39" i="28"/>
  <c r="M39" i="28"/>
  <c r="O28" i="28"/>
  <c r="N28" i="28"/>
  <c r="M28" i="28"/>
  <c r="O27" i="28"/>
  <c r="N27" i="28"/>
  <c r="M27" i="28"/>
  <c r="O26" i="28"/>
  <c r="N26" i="28"/>
  <c r="M26" i="28"/>
  <c r="O25" i="28"/>
  <c r="N25" i="28"/>
  <c r="M25" i="28"/>
  <c r="O24" i="28"/>
  <c r="N24" i="28"/>
  <c r="M24" i="28"/>
  <c r="O23" i="28"/>
  <c r="N23" i="28"/>
  <c r="M23" i="28"/>
  <c r="U38" i="30" l="1"/>
  <c r="I38" i="30" s="1"/>
  <c r="J38" i="30" s="1"/>
  <c r="U35" i="30"/>
  <c r="I35" i="30" s="1"/>
  <c r="J35" i="30" s="1"/>
  <c r="U24" i="30"/>
  <c r="I24" i="30" s="1"/>
  <c r="J24" i="30" s="1"/>
  <c r="S50" i="30"/>
  <c r="U18" i="30"/>
  <c r="I18" i="30" s="1"/>
  <c r="J18" i="30" s="1"/>
  <c r="U48" i="30"/>
  <c r="I48" i="30" s="1"/>
  <c r="J48" i="30" s="1"/>
  <c r="U44" i="30"/>
  <c r="I44" i="30" s="1"/>
  <c r="J44" i="30" s="1"/>
  <c r="U29" i="30"/>
  <c r="I29" i="30" s="1"/>
  <c r="J29" i="30" s="1"/>
  <c r="U22" i="30"/>
  <c r="I22" i="30" s="1"/>
  <c r="J22" i="30" s="1"/>
  <c r="U32" i="30"/>
  <c r="I32" i="30" s="1"/>
  <c r="J32" i="30" s="1"/>
  <c r="U47" i="30"/>
  <c r="I47" i="30" s="1"/>
  <c r="J47" i="30" s="1"/>
  <c r="U37" i="30"/>
  <c r="I37" i="30" s="1"/>
  <c r="J37" i="30" s="1"/>
  <c r="U40" i="30"/>
  <c r="I40" i="30" s="1"/>
  <c r="J40" i="30" s="1"/>
  <c r="U12" i="30"/>
  <c r="I12" i="30" s="1"/>
  <c r="J12" i="30" s="1"/>
  <c r="U33" i="30"/>
  <c r="I33" i="30" s="1"/>
  <c r="J33" i="30" s="1"/>
  <c r="U21" i="30"/>
  <c r="I21" i="30" s="1"/>
  <c r="J21" i="30" s="1"/>
  <c r="U20" i="30"/>
  <c r="I20" i="30" s="1"/>
  <c r="J20" i="30" s="1"/>
  <c r="U43" i="30"/>
  <c r="I43" i="30" s="1"/>
  <c r="J43" i="30" s="1"/>
  <c r="U42" i="30"/>
  <c r="I42" i="30" s="1"/>
  <c r="J42" i="30" s="1"/>
  <c r="U39" i="30"/>
  <c r="I39" i="30" s="1"/>
  <c r="J39" i="30" s="1"/>
  <c r="R50" i="30"/>
  <c r="G50" i="30" s="1"/>
  <c r="U17" i="30"/>
  <c r="I17" i="30" s="1"/>
  <c r="J17" i="30" s="1"/>
  <c r="Q50" i="30"/>
  <c r="F50" i="30" s="1"/>
  <c r="U31" i="30"/>
  <c r="I31" i="30" s="1"/>
  <c r="J31" i="30" s="1"/>
  <c r="T36" i="30"/>
  <c r="U36" i="30" s="1"/>
  <c r="I36" i="30" s="1"/>
  <c r="J36" i="30" s="1"/>
  <c r="T19" i="30"/>
  <c r="U19" i="30" s="1"/>
  <c r="I19" i="30" s="1"/>
  <c r="J19" i="30" s="1"/>
  <c r="U25" i="30"/>
  <c r="I25" i="30" s="1"/>
  <c r="J25" i="30" s="1"/>
  <c r="T11" i="30"/>
  <c r="U11" i="30" s="1"/>
  <c r="I11" i="30" s="1"/>
  <c r="J11" i="30" s="1"/>
  <c r="P50" i="30"/>
  <c r="U16" i="30"/>
  <c r="I16" i="30" s="1"/>
  <c r="J16" i="30" s="1"/>
  <c r="R18" i="29"/>
  <c r="R50" i="29" s="1"/>
  <c r="T16" i="29"/>
  <c r="P12" i="29"/>
  <c r="T12" i="29" s="1"/>
  <c r="U12" i="29" s="1"/>
  <c r="I12" i="29" s="1"/>
  <c r="J12" i="29" s="1"/>
  <c r="R17" i="28"/>
  <c r="T17" i="28"/>
  <c r="U17" i="28" s="1"/>
  <c r="I17" i="28" s="1"/>
  <c r="P41" i="28"/>
  <c r="T41" i="28" s="1"/>
  <c r="U41" i="28" s="1"/>
  <c r="I41" i="28" s="1"/>
  <c r="T17" i="29"/>
  <c r="T27" i="29"/>
  <c r="S13" i="29"/>
  <c r="S35" i="29"/>
  <c r="P40" i="29"/>
  <c r="T40" i="29" s="1"/>
  <c r="U40" i="29" s="1"/>
  <c r="I40" i="29" s="1"/>
  <c r="J40" i="29" s="1"/>
  <c r="S17" i="29"/>
  <c r="U17" i="29" s="1"/>
  <c r="I17" i="29" s="1"/>
  <c r="J17" i="29" s="1"/>
  <c r="R44" i="29"/>
  <c r="T44" i="29" s="1"/>
  <c r="U44" i="29" s="1"/>
  <c r="I44" i="29" s="1"/>
  <c r="S48" i="29"/>
  <c r="T30" i="29"/>
  <c r="S25" i="29"/>
  <c r="S37" i="29"/>
  <c r="S26" i="29"/>
  <c r="O50" i="29"/>
  <c r="P41" i="29"/>
  <c r="T41" i="29" s="1"/>
  <c r="U41" i="29" s="1"/>
  <c r="I41" i="29" s="1"/>
  <c r="P11" i="29"/>
  <c r="S46" i="29"/>
  <c r="S11" i="29"/>
  <c r="T21" i="29"/>
  <c r="P18" i="29"/>
  <c r="T19" i="29"/>
  <c r="S23" i="29"/>
  <c r="P31" i="29"/>
  <c r="T31" i="29" s="1"/>
  <c r="U31" i="29" s="1"/>
  <c r="I31" i="29" s="1"/>
  <c r="T32" i="29"/>
  <c r="S14" i="29"/>
  <c r="S20" i="29"/>
  <c r="P28" i="29"/>
  <c r="T28" i="29" s="1"/>
  <c r="U28" i="29" s="1"/>
  <c r="I28" i="29" s="1"/>
  <c r="S21" i="29"/>
  <c r="S33" i="29"/>
  <c r="S34" i="29"/>
  <c r="T22" i="29"/>
  <c r="N50" i="29"/>
  <c r="S30" i="29"/>
  <c r="S22" i="29"/>
  <c r="R11" i="29"/>
  <c r="P24" i="29"/>
  <c r="T24" i="29" s="1"/>
  <c r="U24" i="29" s="1"/>
  <c r="I24" i="29" s="1"/>
  <c r="S32" i="29"/>
  <c r="T15" i="29"/>
  <c r="T29" i="29"/>
  <c r="T20" i="29"/>
  <c r="T43" i="29"/>
  <c r="T38" i="29"/>
  <c r="Q26" i="29"/>
  <c r="T26" i="29" s="1"/>
  <c r="Q23" i="29"/>
  <c r="T23" i="29" s="1"/>
  <c r="P33" i="29"/>
  <c r="T33" i="29" s="1"/>
  <c r="P13" i="29"/>
  <c r="T13" i="29" s="1"/>
  <c r="P25" i="29"/>
  <c r="T25" i="29" s="1"/>
  <c r="P45" i="29"/>
  <c r="T45" i="29" s="1"/>
  <c r="U45" i="29" s="1"/>
  <c r="I45" i="29" s="1"/>
  <c r="P35" i="29"/>
  <c r="T35" i="29" s="1"/>
  <c r="U35" i="29" s="1"/>
  <c r="I35" i="29" s="1"/>
  <c r="S43" i="29"/>
  <c r="P47" i="29"/>
  <c r="T47" i="29" s="1"/>
  <c r="U47" i="29" s="1"/>
  <c r="I47" i="29" s="1"/>
  <c r="Q14" i="29"/>
  <c r="T14" i="29" s="1"/>
  <c r="U14" i="29" s="1"/>
  <c r="I14" i="29" s="1"/>
  <c r="S38" i="29"/>
  <c r="P37" i="29"/>
  <c r="T37" i="29" s="1"/>
  <c r="S16" i="29"/>
  <c r="S15" i="29"/>
  <c r="P39" i="29"/>
  <c r="T39" i="29" s="1"/>
  <c r="U39" i="29" s="1"/>
  <c r="I39" i="29" s="1"/>
  <c r="R34" i="29"/>
  <c r="P36" i="29"/>
  <c r="T36" i="29" s="1"/>
  <c r="U36" i="29" s="1"/>
  <c r="I36" i="29" s="1"/>
  <c r="P42" i="29"/>
  <c r="T42" i="29" s="1"/>
  <c r="U42" i="29" s="1"/>
  <c r="I42" i="29" s="1"/>
  <c r="S27" i="29"/>
  <c r="S19" i="29"/>
  <c r="S29" i="29"/>
  <c r="Q46" i="29"/>
  <c r="T46" i="29" s="1"/>
  <c r="P48" i="29"/>
  <c r="T48" i="29" s="1"/>
  <c r="O21" i="28"/>
  <c r="R21" i="28" s="1"/>
  <c r="N21" i="28"/>
  <c r="Q21" i="28" s="1"/>
  <c r="M21" i="28"/>
  <c r="P21" i="28" s="1"/>
  <c r="O20" i="28"/>
  <c r="R20" i="28" s="1"/>
  <c r="N20" i="28"/>
  <c r="Q20" i="28" s="1"/>
  <c r="M20" i="28"/>
  <c r="O19" i="28"/>
  <c r="R19" i="28" s="1"/>
  <c r="N19" i="28"/>
  <c r="Q19" i="28" s="1"/>
  <c r="M19" i="28"/>
  <c r="P19" i="28" s="1"/>
  <c r="O18" i="28"/>
  <c r="R18" i="28" s="1"/>
  <c r="N18" i="28"/>
  <c r="Q18" i="28" s="1"/>
  <c r="M18" i="28"/>
  <c r="O16" i="28"/>
  <c r="N16" i="28"/>
  <c r="Q16" i="28" s="1"/>
  <c r="M16" i="28"/>
  <c r="S16" i="28" s="1"/>
  <c r="O15" i="28"/>
  <c r="R15" i="28" s="1"/>
  <c r="N15" i="28"/>
  <c r="Q15" i="28" s="1"/>
  <c r="M15" i="28"/>
  <c r="P15" i="28" s="1"/>
  <c r="O14" i="28"/>
  <c r="R14" i="28" s="1"/>
  <c r="N14" i="28"/>
  <c r="Q14" i="28" s="1"/>
  <c r="M14" i="28"/>
  <c r="S14" i="28" s="1"/>
  <c r="O13" i="28"/>
  <c r="R13" i="28" s="1"/>
  <c r="N13" i="28"/>
  <c r="Q13" i="28" s="1"/>
  <c r="M13" i="28"/>
  <c r="P13" i="28" s="1"/>
  <c r="O11" i="28"/>
  <c r="N11" i="28"/>
  <c r="Q11" i="28" s="1"/>
  <c r="M11" i="28"/>
  <c r="P11" i="28" s="1"/>
  <c r="G52" i="28"/>
  <c r="F52" i="28"/>
  <c r="E52" i="28"/>
  <c r="Q49" i="28"/>
  <c r="P49" i="28"/>
  <c r="S49" i="28"/>
  <c r="R48" i="28"/>
  <c r="Q48" i="28"/>
  <c r="S48" i="28"/>
  <c r="R47" i="28"/>
  <c r="Q47" i="28"/>
  <c r="S47" i="28"/>
  <c r="P46" i="28"/>
  <c r="R46" i="28"/>
  <c r="S46" i="28"/>
  <c r="R45" i="28"/>
  <c r="Q45" i="28"/>
  <c r="S45" i="28"/>
  <c r="S44" i="28"/>
  <c r="R44" i="28"/>
  <c r="Q44" i="28"/>
  <c r="P44" i="28"/>
  <c r="R43" i="28"/>
  <c r="Q43" i="28"/>
  <c r="S43" i="28"/>
  <c r="S42" i="28"/>
  <c r="R42" i="28"/>
  <c r="Q42" i="28"/>
  <c r="P42" i="28"/>
  <c r="R40" i="28"/>
  <c r="Q40" i="28"/>
  <c r="S40" i="28"/>
  <c r="P39" i="28"/>
  <c r="R39" i="28"/>
  <c r="Q39" i="28"/>
  <c r="S39" i="28"/>
  <c r="R38" i="28"/>
  <c r="Q38" i="28"/>
  <c r="S38" i="28"/>
  <c r="R37" i="28"/>
  <c r="Q37" i="28"/>
  <c r="P37" i="28"/>
  <c r="S37" i="28"/>
  <c r="R36" i="28"/>
  <c r="Q36" i="28"/>
  <c r="S36" i="28"/>
  <c r="R35" i="28"/>
  <c r="Q35" i="28"/>
  <c r="S35" i="28"/>
  <c r="Q34" i="28"/>
  <c r="P34" i="28"/>
  <c r="R34" i="28"/>
  <c r="R33" i="28"/>
  <c r="Q33" i="28"/>
  <c r="S33" i="28"/>
  <c r="S32" i="28"/>
  <c r="R32" i="28"/>
  <c r="Q32" i="28"/>
  <c r="P32" i="28"/>
  <c r="R31" i="28"/>
  <c r="Q31" i="28"/>
  <c r="P31" i="28"/>
  <c r="S30" i="28"/>
  <c r="R30" i="28"/>
  <c r="Q30" i="28"/>
  <c r="P30" i="28"/>
  <c r="R29" i="28"/>
  <c r="Q29" i="28"/>
  <c r="P29" i="28"/>
  <c r="Q28" i="28"/>
  <c r="P28" i="28"/>
  <c r="S28" i="28"/>
  <c r="R27" i="28"/>
  <c r="Q27" i="28"/>
  <c r="S27" i="28"/>
  <c r="R26" i="28"/>
  <c r="Q26" i="28"/>
  <c r="S26" i="28"/>
  <c r="P25" i="28"/>
  <c r="R25" i="28"/>
  <c r="Q25" i="28"/>
  <c r="R24" i="28"/>
  <c r="Q24" i="28"/>
  <c r="S24" i="28"/>
  <c r="S23" i="28"/>
  <c r="R23" i="28"/>
  <c r="Q23" i="28"/>
  <c r="P23" i="28"/>
  <c r="R22" i="28"/>
  <c r="Q22" i="28"/>
  <c r="S22" i="28"/>
  <c r="R16" i="28"/>
  <c r="O33" i="27"/>
  <c r="R33" i="27" s="1"/>
  <c r="N33" i="27"/>
  <c r="M33" i="27"/>
  <c r="M37" i="27"/>
  <c r="P37" i="27"/>
  <c r="O46" i="27"/>
  <c r="N46" i="27"/>
  <c r="M46" i="27"/>
  <c r="P46" i="27" s="1"/>
  <c r="E49" i="27"/>
  <c r="O45" i="27"/>
  <c r="R45" i="27" s="1"/>
  <c r="N45" i="27"/>
  <c r="Q45" i="27" s="1"/>
  <c r="M45" i="27"/>
  <c r="P45" i="27" s="1"/>
  <c r="O44" i="27"/>
  <c r="R44" i="27" s="1"/>
  <c r="N44" i="27"/>
  <c r="Q44" i="27" s="1"/>
  <c r="M44" i="27"/>
  <c r="P44" i="27" s="1"/>
  <c r="O43" i="27"/>
  <c r="R43" i="27" s="1"/>
  <c r="N43" i="27"/>
  <c r="Q43" i="27" s="1"/>
  <c r="M43" i="27"/>
  <c r="P43" i="27" s="1"/>
  <c r="O41" i="27"/>
  <c r="R41" i="27" s="1"/>
  <c r="N41" i="27"/>
  <c r="M41" i="27"/>
  <c r="P41" i="27" s="1"/>
  <c r="O42" i="27"/>
  <c r="N42" i="27"/>
  <c r="M42" i="27"/>
  <c r="O40" i="27"/>
  <c r="R40" i="27" s="1"/>
  <c r="N40" i="27"/>
  <c r="Q40" i="27" s="1"/>
  <c r="M40" i="27"/>
  <c r="P40" i="27"/>
  <c r="O39" i="27"/>
  <c r="N39" i="27"/>
  <c r="Q39" i="27" s="1"/>
  <c r="M39" i="27"/>
  <c r="O36" i="27"/>
  <c r="N36" i="27"/>
  <c r="Q36" i="27" s="1"/>
  <c r="M36" i="27"/>
  <c r="O35" i="27"/>
  <c r="R35" i="27" s="1"/>
  <c r="N35" i="27"/>
  <c r="Q35" i="27" s="1"/>
  <c r="M35" i="27"/>
  <c r="O37" i="27"/>
  <c r="R37" i="27" s="1"/>
  <c r="N37" i="27"/>
  <c r="Q37" i="27" s="1"/>
  <c r="O34" i="27"/>
  <c r="R34" i="27" s="1"/>
  <c r="N34" i="27"/>
  <c r="M34" i="27"/>
  <c r="Q34" i="27"/>
  <c r="P34" i="27"/>
  <c r="O32" i="27"/>
  <c r="R32" i="27" s="1"/>
  <c r="N32" i="27"/>
  <c r="Q32" i="27" s="1"/>
  <c r="M32" i="27"/>
  <c r="S32" i="27" s="1"/>
  <c r="O38" i="27"/>
  <c r="R38" i="27" s="1"/>
  <c r="N38" i="27"/>
  <c r="M38" i="27"/>
  <c r="O31" i="27"/>
  <c r="R31" i="27" s="1"/>
  <c r="N31" i="27"/>
  <c r="Q31" i="27" s="1"/>
  <c r="M31" i="27"/>
  <c r="P31" i="27" s="1"/>
  <c r="O30" i="27"/>
  <c r="R30" i="27" s="1"/>
  <c r="N30" i="27"/>
  <c r="Q30" i="27" s="1"/>
  <c r="M30" i="27"/>
  <c r="P30" i="27" s="1"/>
  <c r="O29" i="27"/>
  <c r="R29" i="27" s="1"/>
  <c r="N29" i="27"/>
  <c r="Q29" i="27" s="1"/>
  <c r="M29" i="27"/>
  <c r="P29" i="27" s="1"/>
  <c r="O28" i="27"/>
  <c r="N28" i="27"/>
  <c r="M28" i="27"/>
  <c r="P28" i="27" s="1"/>
  <c r="O27" i="27"/>
  <c r="N27" i="27"/>
  <c r="M27" i="27"/>
  <c r="O26" i="27"/>
  <c r="N26" i="27"/>
  <c r="M26" i="27"/>
  <c r="O25" i="27"/>
  <c r="R25" i="27" s="1"/>
  <c r="N25" i="27"/>
  <c r="M25" i="27"/>
  <c r="P25" i="27" s="1"/>
  <c r="O24" i="27"/>
  <c r="N24" i="27"/>
  <c r="M24" i="27"/>
  <c r="P24" i="27" s="1"/>
  <c r="O23" i="27"/>
  <c r="N23" i="27"/>
  <c r="M23" i="27"/>
  <c r="O22" i="27"/>
  <c r="R22" i="27" s="1"/>
  <c r="N22" i="27"/>
  <c r="Q22" i="27" s="1"/>
  <c r="M22" i="27"/>
  <c r="O21" i="27"/>
  <c r="R21" i="27" s="1"/>
  <c r="N21" i="27"/>
  <c r="Q21" i="27" s="1"/>
  <c r="M21" i="27"/>
  <c r="P21" i="27" s="1"/>
  <c r="O20" i="27"/>
  <c r="R20" i="27" s="1"/>
  <c r="N20" i="27"/>
  <c r="Q20" i="27" s="1"/>
  <c r="M20" i="27"/>
  <c r="P20" i="27" s="1"/>
  <c r="O18" i="27"/>
  <c r="R18" i="27" s="1"/>
  <c r="O17" i="27"/>
  <c r="R17" i="27" s="1"/>
  <c r="O16" i="27"/>
  <c r="R16" i="27" s="1"/>
  <c r="N18" i="27"/>
  <c r="Q18" i="27" s="1"/>
  <c r="N17" i="27"/>
  <c r="N16" i="27"/>
  <c r="Q16" i="27" s="1"/>
  <c r="M18" i="27"/>
  <c r="P18" i="27" s="1"/>
  <c r="M17" i="27"/>
  <c r="P17" i="27" s="1"/>
  <c r="M16" i="27"/>
  <c r="P16" i="27" s="1"/>
  <c r="Q17" i="27"/>
  <c r="O15" i="27"/>
  <c r="R15" i="27" s="1"/>
  <c r="O14" i="27"/>
  <c r="R14" i="27" s="1"/>
  <c r="O13" i="27"/>
  <c r="R13" i="27" s="1"/>
  <c r="O12" i="27"/>
  <c r="N15" i="27"/>
  <c r="N14" i="27"/>
  <c r="N13" i="27"/>
  <c r="N12" i="27"/>
  <c r="M15" i="27"/>
  <c r="P15" i="27" s="1"/>
  <c r="M14" i="27"/>
  <c r="M13" i="27"/>
  <c r="M12" i="27"/>
  <c r="P12" i="27" s="1"/>
  <c r="P13" i="27"/>
  <c r="O11" i="27"/>
  <c r="N11" i="27"/>
  <c r="M11" i="27"/>
  <c r="Q11" i="27"/>
  <c r="R11" i="27"/>
  <c r="G49" i="27"/>
  <c r="F49" i="27"/>
  <c r="R46" i="27"/>
  <c r="Q46" i="27"/>
  <c r="R42" i="27"/>
  <c r="Q42" i="27"/>
  <c r="P42" i="27"/>
  <c r="Q41" i="27"/>
  <c r="R39" i="27"/>
  <c r="P38" i="27"/>
  <c r="Q38" i="27"/>
  <c r="R36" i="27"/>
  <c r="P36" i="27"/>
  <c r="P35" i="27"/>
  <c r="Q33" i="27"/>
  <c r="P33" i="27"/>
  <c r="R28" i="27"/>
  <c r="Q28" i="27"/>
  <c r="Q27" i="27"/>
  <c r="P27" i="27"/>
  <c r="R27" i="27"/>
  <c r="R26" i="27"/>
  <c r="Q26" i="27"/>
  <c r="Q25" i="27"/>
  <c r="R24" i="27"/>
  <c r="Q24" i="27"/>
  <c r="R23" i="27"/>
  <c r="Q23" i="27"/>
  <c r="P23" i="27"/>
  <c r="P22" i="27"/>
  <c r="R19" i="27"/>
  <c r="Q19" i="27"/>
  <c r="P19" i="27"/>
  <c r="Q15" i="27"/>
  <c r="P14" i="27"/>
  <c r="Q13" i="27"/>
  <c r="R12" i="27"/>
  <c r="Q12" i="27"/>
  <c r="O46" i="26"/>
  <c r="R46" i="26" s="1"/>
  <c r="N46" i="26"/>
  <c r="Q46" i="26" s="1"/>
  <c r="M46" i="26"/>
  <c r="P46" i="26" s="1"/>
  <c r="O44" i="26"/>
  <c r="R44" i="26" s="1"/>
  <c r="N44" i="26"/>
  <c r="Q44" i="26" s="1"/>
  <c r="M44" i="26"/>
  <c r="P44" i="26" s="1"/>
  <c r="O45" i="26"/>
  <c r="R45" i="26" s="1"/>
  <c r="N45" i="26"/>
  <c r="Q45" i="26" s="1"/>
  <c r="M45" i="26"/>
  <c r="P45" i="26" s="1"/>
  <c r="O43" i="26"/>
  <c r="R43" i="26" s="1"/>
  <c r="N43" i="26"/>
  <c r="M43" i="26"/>
  <c r="O41" i="26"/>
  <c r="R41" i="26" s="1"/>
  <c r="N41" i="26"/>
  <c r="Q41" i="26" s="1"/>
  <c r="M41" i="26"/>
  <c r="P41" i="26" s="1"/>
  <c r="O42" i="26"/>
  <c r="R42" i="26" s="1"/>
  <c r="N42" i="26"/>
  <c r="Q42" i="26" s="1"/>
  <c r="M42" i="26"/>
  <c r="P42" i="26" s="1"/>
  <c r="O36" i="26"/>
  <c r="N36" i="26"/>
  <c r="M36" i="26"/>
  <c r="P36" i="26" s="1"/>
  <c r="O35" i="26"/>
  <c r="R35" i="26" s="1"/>
  <c r="N35" i="26"/>
  <c r="Q35" i="26" s="1"/>
  <c r="M35" i="26"/>
  <c r="P35" i="26" s="1"/>
  <c r="O34" i="26"/>
  <c r="R34" i="26" s="1"/>
  <c r="N34" i="26"/>
  <c r="Q34" i="26" s="1"/>
  <c r="M34" i="26"/>
  <c r="P34" i="26" s="1"/>
  <c r="O33" i="26"/>
  <c r="N33" i="26"/>
  <c r="Q33" i="26" s="1"/>
  <c r="M33" i="26"/>
  <c r="P33" i="26" s="1"/>
  <c r="O32" i="26"/>
  <c r="R32" i="26" s="1"/>
  <c r="N32" i="26"/>
  <c r="M32" i="26"/>
  <c r="P32" i="26" s="1"/>
  <c r="O39" i="26"/>
  <c r="R39" i="26" s="1"/>
  <c r="N39" i="26"/>
  <c r="M39" i="26"/>
  <c r="O40" i="26"/>
  <c r="R40" i="26" s="1"/>
  <c r="N40" i="26"/>
  <c r="Q40" i="26" s="1"/>
  <c r="M40" i="26"/>
  <c r="P40" i="26" s="1"/>
  <c r="O37" i="26"/>
  <c r="R37" i="26" s="1"/>
  <c r="N37" i="26"/>
  <c r="Q37" i="26" s="1"/>
  <c r="M37" i="26"/>
  <c r="P37" i="26" s="1"/>
  <c r="O38" i="26"/>
  <c r="R38" i="26" s="1"/>
  <c r="N38" i="26"/>
  <c r="Q38" i="26" s="1"/>
  <c r="M38" i="26"/>
  <c r="P38" i="26" s="1"/>
  <c r="O27" i="26"/>
  <c r="R27" i="26" s="1"/>
  <c r="N27" i="26"/>
  <c r="Q27" i="26" s="1"/>
  <c r="M27" i="26"/>
  <c r="P27" i="26" s="1"/>
  <c r="O26" i="26"/>
  <c r="R26" i="26" s="1"/>
  <c r="N26" i="26"/>
  <c r="Q26" i="26" s="1"/>
  <c r="M26" i="26"/>
  <c r="P26" i="26" s="1"/>
  <c r="O25" i="26"/>
  <c r="R25" i="26" s="1"/>
  <c r="N25" i="26"/>
  <c r="M25" i="26"/>
  <c r="P25" i="26" s="1"/>
  <c r="N24" i="26"/>
  <c r="Q24" i="26" s="1"/>
  <c r="O24" i="26"/>
  <c r="R24" i="26" s="1"/>
  <c r="M24" i="26"/>
  <c r="P24" i="26" s="1"/>
  <c r="M23" i="26"/>
  <c r="P23" i="26" s="1"/>
  <c r="O23" i="26"/>
  <c r="R23" i="26" s="1"/>
  <c r="N23" i="26"/>
  <c r="Q23" i="26" s="1"/>
  <c r="O22" i="26"/>
  <c r="N22" i="26"/>
  <c r="Q22" i="26" s="1"/>
  <c r="M22" i="26"/>
  <c r="P22" i="26" s="1"/>
  <c r="O31" i="26"/>
  <c r="R31" i="26" s="1"/>
  <c r="N31" i="26"/>
  <c r="Q31" i="26" s="1"/>
  <c r="M31" i="26"/>
  <c r="P31" i="26" s="1"/>
  <c r="O29" i="26"/>
  <c r="R29" i="26" s="1"/>
  <c r="N29" i="26"/>
  <c r="Q29" i="26" s="1"/>
  <c r="M29" i="26"/>
  <c r="P29" i="26" s="1"/>
  <c r="O28" i="26"/>
  <c r="R28" i="26" s="1"/>
  <c r="N28" i="26"/>
  <c r="Q28" i="26" s="1"/>
  <c r="M28" i="26"/>
  <c r="P28" i="26" s="1"/>
  <c r="O30" i="26"/>
  <c r="R30" i="26" s="1"/>
  <c r="N30" i="26"/>
  <c r="Q30" i="26" s="1"/>
  <c r="M30" i="26"/>
  <c r="P30" i="26" s="1"/>
  <c r="O21" i="26"/>
  <c r="R21" i="26" s="1"/>
  <c r="N21" i="26"/>
  <c r="M21" i="26"/>
  <c r="O20" i="26"/>
  <c r="R20" i="26" s="1"/>
  <c r="N20" i="26"/>
  <c r="Q20" i="26" s="1"/>
  <c r="M20" i="26"/>
  <c r="P20" i="26" s="1"/>
  <c r="O18" i="26"/>
  <c r="R18" i="26" s="1"/>
  <c r="N18" i="26"/>
  <c r="Q18" i="26" s="1"/>
  <c r="M18" i="26"/>
  <c r="P18" i="26" s="1"/>
  <c r="O17" i="26"/>
  <c r="R17" i="26" s="1"/>
  <c r="N17" i="26"/>
  <c r="Q17" i="26" s="1"/>
  <c r="M17" i="26"/>
  <c r="P17" i="26" s="1"/>
  <c r="O16" i="26"/>
  <c r="N16" i="26"/>
  <c r="Q16" i="26" s="1"/>
  <c r="M16" i="26"/>
  <c r="P16" i="26" s="1"/>
  <c r="O19" i="26"/>
  <c r="R19" i="26" s="1"/>
  <c r="N19" i="26"/>
  <c r="Q19" i="26" s="1"/>
  <c r="M19" i="26"/>
  <c r="P19" i="26" s="1"/>
  <c r="O15" i="26"/>
  <c r="R15" i="26" s="1"/>
  <c r="N15" i="26"/>
  <c r="M15" i="26"/>
  <c r="P15" i="26" s="1"/>
  <c r="O14" i="26"/>
  <c r="R14" i="26" s="1"/>
  <c r="N14" i="26"/>
  <c r="Q14" i="26" s="1"/>
  <c r="M14" i="26"/>
  <c r="O13" i="26"/>
  <c r="R13" i="26" s="1"/>
  <c r="N13" i="26"/>
  <c r="Q13" i="26" s="1"/>
  <c r="M13" i="26"/>
  <c r="P13" i="26" s="1"/>
  <c r="O12" i="26"/>
  <c r="R12" i="26" s="1"/>
  <c r="N12" i="26"/>
  <c r="Q12" i="26" s="1"/>
  <c r="M12" i="26"/>
  <c r="P12" i="26" s="1"/>
  <c r="O11" i="26"/>
  <c r="N11" i="26"/>
  <c r="M11" i="26"/>
  <c r="G49" i="26"/>
  <c r="F49" i="26"/>
  <c r="Q43" i="26"/>
  <c r="P43" i="26"/>
  <c r="Q39" i="26"/>
  <c r="P39" i="26"/>
  <c r="R36" i="26"/>
  <c r="Q36" i="26"/>
  <c r="R33" i="26"/>
  <c r="Q32" i="26"/>
  <c r="Q25" i="26"/>
  <c r="R22" i="26"/>
  <c r="Q21" i="26"/>
  <c r="P21" i="26"/>
  <c r="R16" i="26"/>
  <c r="E49" i="26"/>
  <c r="E49" i="24"/>
  <c r="T50" i="30" l="1"/>
  <c r="U50" i="30" s="1"/>
  <c r="I50" i="30" s="1"/>
  <c r="J50" i="30" s="1"/>
  <c r="E50" i="30"/>
  <c r="I51" i="30"/>
  <c r="J51" i="30" s="1"/>
  <c r="U13" i="29"/>
  <c r="I13" i="29" s="1"/>
  <c r="U16" i="29"/>
  <c r="I16" i="29" s="1"/>
  <c r="U37" i="29"/>
  <c r="I37" i="29" s="1"/>
  <c r="U30" i="29"/>
  <c r="I30" i="29" s="1"/>
  <c r="U27" i="29"/>
  <c r="I27" i="29" s="1"/>
  <c r="T18" i="29"/>
  <c r="U18" i="29" s="1"/>
  <c r="I18" i="29" s="1"/>
  <c r="S11" i="28"/>
  <c r="S18" i="28"/>
  <c r="U25" i="29"/>
  <c r="I25" i="29" s="1"/>
  <c r="U15" i="29"/>
  <c r="I15" i="29" s="1"/>
  <c r="G50" i="29"/>
  <c r="U48" i="29"/>
  <c r="I48" i="29" s="1"/>
  <c r="U43" i="29"/>
  <c r="I43" i="29" s="1"/>
  <c r="U26" i="29"/>
  <c r="I26" i="29" s="1"/>
  <c r="U19" i="29"/>
  <c r="I19" i="29" s="1"/>
  <c r="U38" i="29"/>
  <c r="I38" i="29" s="1"/>
  <c r="U32" i="29"/>
  <c r="I32" i="29" s="1"/>
  <c r="T11" i="29"/>
  <c r="U11" i="29" s="1"/>
  <c r="I11" i="29" s="1"/>
  <c r="U46" i="29"/>
  <c r="I46" i="29" s="1"/>
  <c r="U33" i="29"/>
  <c r="I33" i="29" s="1"/>
  <c r="U22" i="29"/>
  <c r="I22" i="29" s="1"/>
  <c r="U20" i="29"/>
  <c r="I20" i="29" s="1"/>
  <c r="U21" i="29"/>
  <c r="I21" i="29" s="1"/>
  <c r="U29" i="29"/>
  <c r="I29" i="29" s="1"/>
  <c r="U23" i="29"/>
  <c r="I23" i="29" s="1"/>
  <c r="S50" i="29"/>
  <c r="S20" i="28"/>
  <c r="T15" i="28"/>
  <c r="P14" i="28"/>
  <c r="P16" i="28"/>
  <c r="T16" i="28" s="1"/>
  <c r="T37" i="28"/>
  <c r="S21" i="28"/>
  <c r="Q50" i="29"/>
  <c r="F50" i="29" s="1"/>
  <c r="T34" i="29"/>
  <c r="U34" i="29" s="1"/>
  <c r="I34" i="29" s="1"/>
  <c r="P50" i="29"/>
  <c r="T42" i="28"/>
  <c r="U42" i="28" s="1"/>
  <c r="I42" i="28" s="1"/>
  <c r="T31" i="28"/>
  <c r="T23" i="28"/>
  <c r="U23" i="28" s="1"/>
  <c r="I23" i="28" s="1"/>
  <c r="U16" i="28"/>
  <c r="I16" i="28" s="1"/>
  <c r="T32" i="28"/>
  <c r="U32" i="28" s="1"/>
  <c r="I32" i="28" s="1"/>
  <c r="T21" i="28"/>
  <c r="U21" i="28" s="1"/>
  <c r="I21" i="28" s="1"/>
  <c r="T44" i="28"/>
  <c r="U44" i="28" s="1"/>
  <c r="I44" i="28" s="1"/>
  <c r="T14" i="28"/>
  <c r="U14" i="28" s="1"/>
  <c r="I14" i="28" s="1"/>
  <c r="T39" i="28"/>
  <c r="U39" i="28" s="1"/>
  <c r="I39" i="28" s="1"/>
  <c r="U37" i="28"/>
  <c r="I37" i="28" s="1"/>
  <c r="T13" i="28"/>
  <c r="U13" i="28" s="1"/>
  <c r="I13" i="28" s="1"/>
  <c r="T19" i="28"/>
  <c r="T29" i="28"/>
  <c r="T34" i="28"/>
  <c r="T25" i="28"/>
  <c r="T30" i="28"/>
  <c r="U30" i="28" s="1"/>
  <c r="I30" i="28" s="1"/>
  <c r="P36" i="28"/>
  <c r="T36" i="28" s="1"/>
  <c r="U36" i="28" s="1"/>
  <c r="I36" i="28" s="1"/>
  <c r="S19" i="28"/>
  <c r="S34" i="28"/>
  <c r="S25" i="28"/>
  <c r="P38" i="28"/>
  <c r="T38" i="28" s="1"/>
  <c r="U38" i="28" s="1"/>
  <c r="I38" i="28" s="1"/>
  <c r="P40" i="28"/>
  <c r="T40" i="28" s="1"/>
  <c r="U40" i="28" s="1"/>
  <c r="I40" i="28" s="1"/>
  <c r="N51" i="28"/>
  <c r="S13" i="28"/>
  <c r="P22" i="28"/>
  <c r="T22" i="28" s="1"/>
  <c r="U22" i="28" s="1"/>
  <c r="I22" i="28" s="1"/>
  <c r="S29" i="28"/>
  <c r="P43" i="28"/>
  <c r="T43" i="28" s="1"/>
  <c r="U43" i="28" s="1"/>
  <c r="I43" i="28" s="1"/>
  <c r="P18" i="28"/>
  <c r="T18" i="28" s="1"/>
  <c r="U18" i="28" s="1"/>
  <c r="I18" i="28" s="1"/>
  <c r="P33" i="28"/>
  <c r="T33" i="28" s="1"/>
  <c r="U33" i="28" s="1"/>
  <c r="I33" i="28" s="1"/>
  <c r="S15" i="28"/>
  <c r="U15" i="28" s="1"/>
  <c r="I15" i="28" s="1"/>
  <c r="P24" i="28"/>
  <c r="T24" i="28" s="1"/>
  <c r="U24" i="28" s="1"/>
  <c r="I24" i="28" s="1"/>
  <c r="S31" i="28"/>
  <c r="P45" i="28"/>
  <c r="T45" i="28" s="1"/>
  <c r="U45" i="28" s="1"/>
  <c r="I45" i="28" s="1"/>
  <c r="P27" i="28"/>
  <c r="T27" i="28" s="1"/>
  <c r="U27" i="28" s="1"/>
  <c r="I27" i="28" s="1"/>
  <c r="P48" i="28"/>
  <c r="T48" i="28" s="1"/>
  <c r="U48" i="28" s="1"/>
  <c r="I48" i="28" s="1"/>
  <c r="O51" i="28"/>
  <c r="P20" i="28"/>
  <c r="T20" i="28" s="1"/>
  <c r="U20" i="28" s="1"/>
  <c r="P35" i="28"/>
  <c r="T35" i="28" s="1"/>
  <c r="U35" i="28" s="1"/>
  <c r="I35" i="28" s="1"/>
  <c r="Q46" i="28"/>
  <c r="T46" i="28" s="1"/>
  <c r="U46" i="28" s="1"/>
  <c r="I46" i="28" s="1"/>
  <c r="M51" i="28"/>
  <c r="P26" i="28"/>
  <c r="T26" i="28" s="1"/>
  <c r="U26" i="28" s="1"/>
  <c r="I26" i="28" s="1"/>
  <c r="P47" i="28"/>
  <c r="T47" i="28" s="1"/>
  <c r="U47" i="28" s="1"/>
  <c r="I47" i="28" s="1"/>
  <c r="R11" i="28"/>
  <c r="T11" i="28" s="1"/>
  <c r="U11" i="28" s="1"/>
  <c r="I11" i="28" s="1"/>
  <c r="R28" i="28"/>
  <c r="T28" i="28" s="1"/>
  <c r="U28" i="28" s="1"/>
  <c r="I28" i="28" s="1"/>
  <c r="R49" i="28"/>
  <c r="T49" i="28" s="1"/>
  <c r="U49" i="28" s="1"/>
  <c r="I49" i="28" s="1"/>
  <c r="P32" i="27"/>
  <c r="S46" i="27"/>
  <c r="S44" i="27"/>
  <c r="S33" i="27"/>
  <c r="S45" i="27"/>
  <c r="T44" i="27"/>
  <c r="U44" i="27" s="1"/>
  <c r="I44" i="27" s="1"/>
  <c r="S43" i="27"/>
  <c r="T43" i="27"/>
  <c r="U43" i="27" s="1"/>
  <c r="I43" i="27" s="1"/>
  <c r="S42" i="27"/>
  <c r="S40" i="27"/>
  <c r="S39" i="27"/>
  <c r="P39" i="27"/>
  <c r="T39" i="27" s="1"/>
  <c r="S34" i="27"/>
  <c r="S38" i="27"/>
  <c r="T30" i="27"/>
  <c r="T28" i="27"/>
  <c r="S28" i="27"/>
  <c r="U28" i="27" s="1"/>
  <c r="I28" i="27" s="1"/>
  <c r="S27" i="27"/>
  <c r="S26" i="27"/>
  <c r="P26" i="27"/>
  <c r="T26" i="27" s="1"/>
  <c r="T25" i="27"/>
  <c r="T24" i="27"/>
  <c r="S22" i="27"/>
  <c r="S21" i="27"/>
  <c r="S20" i="27"/>
  <c r="S16" i="27"/>
  <c r="S14" i="27"/>
  <c r="Q14" i="27"/>
  <c r="T14" i="27" s="1"/>
  <c r="U14" i="27" s="1"/>
  <c r="I14" i="27" s="1"/>
  <c r="S15" i="27"/>
  <c r="O48" i="27"/>
  <c r="T12" i="27"/>
  <c r="T17" i="27"/>
  <c r="T18" i="27"/>
  <c r="T13" i="27"/>
  <c r="T31" i="27"/>
  <c r="T36" i="27"/>
  <c r="T35" i="27"/>
  <c r="T46" i="27"/>
  <c r="U46" i="27" s="1"/>
  <c r="I46" i="27" s="1"/>
  <c r="J46" i="27" s="1"/>
  <c r="T22" i="27"/>
  <c r="T32" i="27"/>
  <c r="U32" i="27" s="1"/>
  <c r="I32" i="27" s="1"/>
  <c r="T29" i="27"/>
  <c r="T16" i="27"/>
  <c r="T34" i="27"/>
  <c r="T19" i="27"/>
  <c r="T20" i="27"/>
  <c r="T23" i="27"/>
  <c r="T37" i="27"/>
  <c r="T38" i="27"/>
  <c r="Q48" i="27"/>
  <c r="S13" i="27"/>
  <c r="S19" i="27"/>
  <c r="S25" i="27"/>
  <c r="S31" i="27"/>
  <c r="S37" i="27"/>
  <c r="T41" i="27"/>
  <c r="T42" i="27"/>
  <c r="U42" i="27" s="1"/>
  <c r="I42" i="27" s="1"/>
  <c r="M48" i="27"/>
  <c r="P11" i="27"/>
  <c r="R48" i="27"/>
  <c r="S11" i="27"/>
  <c r="S12" i="27"/>
  <c r="T15" i="27"/>
  <c r="S17" i="27"/>
  <c r="S18" i="27"/>
  <c r="T21" i="27"/>
  <c r="S23" i="27"/>
  <c r="S24" i="27"/>
  <c r="T27" i="27"/>
  <c r="S29" i="27"/>
  <c r="U29" i="27" s="1"/>
  <c r="I29" i="27" s="1"/>
  <c r="S30" i="27"/>
  <c r="T33" i="27"/>
  <c r="U33" i="27" s="1"/>
  <c r="I33" i="27" s="1"/>
  <c r="J33" i="27" s="1"/>
  <c r="S35" i="27"/>
  <c r="S36" i="27"/>
  <c r="T40" i="27"/>
  <c r="T45" i="27"/>
  <c r="N48" i="27"/>
  <c r="S41" i="27"/>
  <c r="S21" i="26"/>
  <c r="S27" i="26"/>
  <c r="S44" i="26"/>
  <c r="T45" i="26"/>
  <c r="S15" i="26"/>
  <c r="Q15" i="26"/>
  <c r="T36" i="26"/>
  <c r="T34" i="26"/>
  <c r="S33" i="26"/>
  <c r="S39" i="26"/>
  <c r="T23" i="26"/>
  <c r="T29" i="26"/>
  <c r="S13" i="26"/>
  <c r="T12" i="26"/>
  <c r="T16" i="26"/>
  <c r="T18" i="26"/>
  <c r="T46" i="26"/>
  <c r="T28" i="26"/>
  <c r="T31" i="26"/>
  <c r="T35" i="26"/>
  <c r="T41" i="26"/>
  <c r="T17" i="26"/>
  <c r="T37" i="26"/>
  <c r="T22" i="26"/>
  <c r="T25" i="26"/>
  <c r="T40" i="26"/>
  <c r="T19" i="26"/>
  <c r="T13" i="26"/>
  <c r="T24" i="26"/>
  <c r="T30" i="26"/>
  <c r="T42" i="26"/>
  <c r="S12" i="26"/>
  <c r="S18" i="26"/>
  <c r="S24" i="26"/>
  <c r="S30" i="26"/>
  <c r="S36" i="26"/>
  <c r="U36" i="26" s="1"/>
  <c r="I36" i="26" s="1"/>
  <c r="P11" i="26"/>
  <c r="M48" i="26"/>
  <c r="N48" i="26"/>
  <c r="Q11" i="26"/>
  <c r="Q48" i="26" s="1"/>
  <c r="P14" i="26"/>
  <c r="T14" i="26" s="1"/>
  <c r="S16" i="26"/>
  <c r="S17" i="26"/>
  <c r="T20" i="26"/>
  <c r="S22" i="26"/>
  <c r="S23" i="26"/>
  <c r="T26" i="26"/>
  <c r="S28" i="26"/>
  <c r="S29" i="26"/>
  <c r="T32" i="26"/>
  <c r="S34" i="26"/>
  <c r="S35" i="26"/>
  <c r="T38" i="26"/>
  <c r="S40" i="26"/>
  <c r="S41" i="26"/>
  <c r="T43" i="26"/>
  <c r="S45" i="26"/>
  <c r="U45" i="26" s="1"/>
  <c r="I45" i="26" s="1"/>
  <c r="S46" i="26"/>
  <c r="U46" i="26" s="1"/>
  <c r="I46" i="26" s="1"/>
  <c r="O48" i="26"/>
  <c r="R11" i="26"/>
  <c r="R48" i="26" s="1"/>
  <c r="S11" i="26"/>
  <c r="T15" i="26"/>
  <c r="S19" i="26"/>
  <c r="T21" i="26"/>
  <c r="S25" i="26"/>
  <c r="T27" i="26"/>
  <c r="S31" i="26"/>
  <c r="T33" i="26"/>
  <c r="U33" i="26" s="1"/>
  <c r="I33" i="26" s="1"/>
  <c r="S37" i="26"/>
  <c r="T39" i="26"/>
  <c r="S42" i="26"/>
  <c r="T44" i="26"/>
  <c r="S14" i="26"/>
  <c r="S20" i="26"/>
  <c r="S26" i="26"/>
  <c r="S32" i="26"/>
  <c r="S38" i="26"/>
  <c r="S43" i="26"/>
  <c r="N17" i="25"/>
  <c r="J21" i="29" l="1"/>
  <c r="U31" i="28"/>
  <c r="I31" i="28" s="1"/>
  <c r="J11" i="28"/>
  <c r="J11" i="29"/>
  <c r="J45" i="28"/>
  <c r="J44" i="29"/>
  <c r="J31" i="28"/>
  <c r="J30" i="29"/>
  <c r="J33" i="28"/>
  <c r="J32" i="29"/>
  <c r="J43" i="28"/>
  <c r="J42" i="29"/>
  <c r="J14" i="28"/>
  <c r="J14" i="29"/>
  <c r="J28" i="28"/>
  <c r="J27" i="29"/>
  <c r="J26" i="28"/>
  <c r="J26" i="29"/>
  <c r="J24" i="28"/>
  <c r="J24" i="29"/>
  <c r="J18" i="28"/>
  <c r="J18" i="29"/>
  <c r="J38" i="28"/>
  <c r="J37" i="29"/>
  <c r="J13" i="28"/>
  <c r="J13" i="29"/>
  <c r="J39" i="28"/>
  <c r="J38" i="29"/>
  <c r="J22" i="28"/>
  <c r="J22" i="29"/>
  <c r="J47" i="28"/>
  <c r="J46" i="29"/>
  <c r="J46" i="28"/>
  <c r="J45" i="29"/>
  <c r="J44" i="28"/>
  <c r="J43" i="29"/>
  <c r="J40" i="28"/>
  <c r="J39" i="29"/>
  <c r="I20" i="28"/>
  <c r="J20" i="29" s="1"/>
  <c r="J49" i="28"/>
  <c r="J48" i="29"/>
  <c r="J15" i="28"/>
  <c r="J15" i="29"/>
  <c r="J37" i="28"/>
  <c r="J36" i="29"/>
  <c r="J32" i="28"/>
  <c r="J31" i="29"/>
  <c r="J16" i="28"/>
  <c r="J16" i="29"/>
  <c r="J23" i="28"/>
  <c r="J23" i="29"/>
  <c r="J42" i="28"/>
  <c r="J41" i="29"/>
  <c r="J35" i="28"/>
  <c r="J34" i="29"/>
  <c r="J36" i="28"/>
  <c r="J35" i="29"/>
  <c r="J48" i="28"/>
  <c r="J47" i="29"/>
  <c r="J30" i="28"/>
  <c r="J29" i="29"/>
  <c r="J27" i="28"/>
  <c r="T50" i="29"/>
  <c r="E50" i="29"/>
  <c r="I51" i="29"/>
  <c r="J51" i="29" s="1"/>
  <c r="Q51" i="28"/>
  <c r="F51" i="28" s="1"/>
  <c r="S51" i="28"/>
  <c r="U34" i="28"/>
  <c r="I34" i="28" s="1"/>
  <c r="U25" i="28"/>
  <c r="I25" i="28" s="1"/>
  <c r="U29" i="28"/>
  <c r="I29" i="28" s="1"/>
  <c r="U19" i="28"/>
  <c r="I19" i="28" s="1"/>
  <c r="P51" i="28"/>
  <c r="R51" i="28"/>
  <c r="G51" i="28" s="1"/>
  <c r="U26" i="27"/>
  <c r="I26" i="27" s="1"/>
  <c r="U35" i="26"/>
  <c r="I35" i="26" s="1"/>
  <c r="U27" i="27"/>
  <c r="I27" i="27" s="1"/>
  <c r="J27" i="27" s="1"/>
  <c r="J44" i="27"/>
  <c r="U21" i="26"/>
  <c r="I21" i="26" s="1"/>
  <c r="U16" i="27"/>
  <c r="I16" i="27" s="1"/>
  <c r="J42" i="27"/>
  <c r="J43" i="27"/>
  <c r="U28" i="26"/>
  <c r="I28" i="26" s="1"/>
  <c r="J28" i="27" s="1"/>
  <c r="U40" i="26"/>
  <c r="I40" i="26" s="1"/>
  <c r="U34" i="27"/>
  <c r="I34" i="27" s="1"/>
  <c r="J34" i="27" s="1"/>
  <c r="U19" i="26"/>
  <c r="I19" i="26" s="1"/>
  <c r="U45" i="27"/>
  <c r="I45" i="27" s="1"/>
  <c r="J45" i="27" s="1"/>
  <c r="U41" i="27"/>
  <c r="I41" i="27" s="1"/>
  <c r="J41" i="27" s="1"/>
  <c r="U40" i="27"/>
  <c r="I40" i="27" s="1"/>
  <c r="J40" i="27" s="1"/>
  <c r="U39" i="27"/>
  <c r="I39" i="27" s="1"/>
  <c r="U35" i="27"/>
  <c r="I35" i="27" s="1"/>
  <c r="U38" i="27"/>
  <c r="I38" i="27" s="1"/>
  <c r="U30" i="27"/>
  <c r="I30" i="27" s="1"/>
  <c r="U25" i="27"/>
  <c r="I25" i="27" s="1"/>
  <c r="U24" i="27"/>
  <c r="I24" i="27" s="1"/>
  <c r="U22" i="27"/>
  <c r="I22" i="27" s="1"/>
  <c r="U21" i="27"/>
  <c r="I21" i="27" s="1"/>
  <c r="U20" i="27"/>
  <c r="I20" i="27" s="1"/>
  <c r="U13" i="27"/>
  <c r="I13" i="27" s="1"/>
  <c r="J13" i="27" s="1"/>
  <c r="U15" i="27"/>
  <c r="I15" i="27" s="1"/>
  <c r="J15" i="27" s="1"/>
  <c r="G48" i="27"/>
  <c r="U17" i="27"/>
  <c r="I17" i="27" s="1"/>
  <c r="J17" i="27" s="1"/>
  <c r="U12" i="27"/>
  <c r="I12" i="27" s="1"/>
  <c r="J12" i="27" s="1"/>
  <c r="U18" i="27"/>
  <c r="I18" i="27" s="1"/>
  <c r="J18" i="27" s="1"/>
  <c r="F48" i="27"/>
  <c r="U36" i="27"/>
  <c r="I36" i="27" s="1"/>
  <c r="J36" i="27" s="1"/>
  <c r="U23" i="27"/>
  <c r="I23" i="27" s="1"/>
  <c r="J23" i="27" s="1"/>
  <c r="U31" i="27"/>
  <c r="I31" i="27" s="1"/>
  <c r="J31" i="27" s="1"/>
  <c r="U19" i="27"/>
  <c r="U37" i="27"/>
  <c r="I37" i="27" s="1"/>
  <c r="P48" i="27"/>
  <c r="E48" i="27" s="1"/>
  <c r="T11" i="27"/>
  <c r="U11" i="27" s="1"/>
  <c r="I11" i="27" s="1"/>
  <c r="S48" i="27"/>
  <c r="U12" i="26"/>
  <c r="I12" i="26" s="1"/>
  <c r="U32" i="26"/>
  <c r="I32" i="26" s="1"/>
  <c r="J32" i="27" s="1"/>
  <c r="U27" i="26"/>
  <c r="I27" i="26" s="1"/>
  <c r="U44" i="26"/>
  <c r="I44" i="26" s="1"/>
  <c r="U15" i="26"/>
  <c r="I15" i="26" s="1"/>
  <c r="U17" i="26"/>
  <c r="I17" i="26" s="1"/>
  <c r="U41" i="26"/>
  <c r="I41" i="26" s="1"/>
  <c r="U34" i="26"/>
  <c r="I34" i="26" s="1"/>
  <c r="U39" i="26"/>
  <c r="I39" i="26" s="1"/>
  <c r="U23" i="26"/>
  <c r="I23" i="26" s="1"/>
  <c r="U22" i="26"/>
  <c r="I22" i="26" s="1"/>
  <c r="U31" i="26"/>
  <c r="I31" i="26" s="1"/>
  <c r="U29" i="26"/>
  <c r="I29" i="26" s="1"/>
  <c r="J29" i="27" s="1"/>
  <c r="U30" i="26"/>
  <c r="I30" i="26" s="1"/>
  <c r="U20" i="26"/>
  <c r="I20" i="26" s="1"/>
  <c r="U16" i="26"/>
  <c r="I16" i="26" s="1"/>
  <c r="U13" i="26"/>
  <c r="I13" i="26" s="1"/>
  <c r="S48" i="26"/>
  <c r="U18" i="26"/>
  <c r="I18" i="26" s="1"/>
  <c r="U42" i="26"/>
  <c r="I42" i="26" s="1"/>
  <c r="U25" i="26"/>
  <c r="I25" i="26" s="1"/>
  <c r="U38" i="26"/>
  <c r="I38" i="26" s="1"/>
  <c r="U14" i="26"/>
  <c r="I14" i="26" s="1"/>
  <c r="J14" i="27" s="1"/>
  <c r="U37" i="26"/>
  <c r="I37" i="26" s="1"/>
  <c r="U24" i="26"/>
  <c r="I24" i="26" s="1"/>
  <c r="F48" i="26"/>
  <c r="U26" i="26"/>
  <c r="I26" i="26" s="1"/>
  <c r="U43" i="26"/>
  <c r="I43" i="26" s="1"/>
  <c r="T11" i="26"/>
  <c r="U11" i="26" s="1"/>
  <c r="I11" i="26" s="1"/>
  <c r="P48" i="26"/>
  <c r="E48" i="26" s="1"/>
  <c r="G48" i="26"/>
  <c r="P43" i="24"/>
  <c r="O43" i="24"/>
  <c r="R43" i="24" s="1"/>
  <c r="N43" i="24"/>
  <c r="Q43" i="24" s="1"/>
  <c r="M43" i="24"/>
  <c r="O18" i="24"/>
  <c r="R18" i="24" s="1"/>
  <c r="N18" i="24"/>
  <c r="Q18" i="24" s="1"/>
  <c r="M18" i="24"/>
  <c r="P18" i="24" s="1"/>
  <c r="O43" i="25"/>
  <c r="R43" i="25" s="1"/>
  <c r="N43" i="25"/>
  <c r="Q43" i="25" s="1"/>
  <c r="M43" i="25"/>
  <c r="S43" i="25" s="1"/>
  <c r="O18" i="25"/>
  <c r="R18" i="25" s="1"/>
  <c r="N18" i="25"/>
  <c r="Q18" i="25" s="1"/>
  <c r="M18" i="25"/>
  <c r="P18" i="25" s="1"/>
  <c r="U50" i="29" l="1"/>
  <c r="I50" i="29" s="1"/>
  <c r="J50" i="29" s="1"/>
  <c r="J25" i="28"/>
  <c r="J25" i="29"/>
  <c r="J19" i="28"/>
  <c r="J19" i="29"/>
  <c r="J29" i="28"/>
  <c r="J28" i="29"/>
  <c r="J34" i="28"/>
  <c r="J33" i="29"/>
  <c r="J20" i="28"/>
  <c r="T51" i="28"/>
  <c r="U51" i="28" s="1"/>
  <c r="I51" i="28" s="1"/>
  <c r="J51" i="28" s="1"/>
  <c r="E51" i="28"/>
  <c r="I52" i="28"/>
  <c r="J52" i="28" s="1"/>
  <c r="T18" i="25"/>
  <c r="J16" i="27"/>
  <c r="J20" i="27"/>
  <c r="J21" i="27"/>
  <c r="J22" i="27"/>
  <c r="J26" i="27"/>
  <c r="S18" i="24"/>
  <c r="J35" i="27"/>
  <c r="S43" i="24"/>
  <c r="J39" i="27"/>
  <c r="J24" i="27"/>
  <c r="J30" i="27"/>
  <c r="J25" i="27"/>
  <c r="J11" i="27"/>
  <c r="J38" i="27"/>
  <c r="J37" i="27"/>
  <c r="I49" i="27"/>
  <c r="J49" i="27" s="1"/>
  <c r="T48" i="27"/>
  <c r="P43" i="25"/>
  <c r="T43" i="25" s="1"/>
  <c r="U43" i="25" s="1"/>
  <c r="I43" i="25" s="1"/>
  <c r="S18" i="25"/>
  <c r="J43" i="26"/>
  <c r="T48" i="26"/>
  <c r="U48" i="26" s="1"/>
  <c r="I48" i="26" s="1"/>
  <c r="I49" i="26"/>
  <c r="T43" i="24"/>
  <c r="T18" i="24"/>
  <c r="O46" i="25"/>
  <c r="N46" i="25"/>
  <c r="M46" i="25"/>
  <c r="O45" i="25"/>
  <c r="N45" i="25"/>
  <c r="M45" i="25"/>
  <c r="O44" i="25"/>
  <c r="N44" i="25"/>
  <c r="M44" i="25"/>
  <c r="O41" i="25"/>
  <c r="N41" i="25"/>
  <c r="M41" i="25"/>
  <c r="O42" i="25"/>
  <c r="N42" i="25"/>
  <c r="M42" i="25"/>
  <c r="O35" i="25"/>
  <c r="N35" i="25"/>
  <c r="M35" i="25"/>
  <c r="O36" i="25"/>
  <c r="N36" i="25"/>
  <c r="M36" i="25"/>
  <c r="O34" i="25"/>
  <c r="N34" i="25"/>
  <c r="M34" i="25"/>
  <c r="O33" i="25"/>
  <c r="N33" i="25"/>
  <c r="M33" i="25"/>
  <c r="O32" i="25"/>
  <c r="N32" i="25"/>
  <c r="M32" i="25"/>
  <c r="O40" i="25"/>
  <c r="N40" i="25"/>
  <c r="M40" i="25"/>
  <c r="U18" i="25" l="1"/>
  <c r="I18" i="25" s="1"/>
  <c r="J18" i="26" s="1"/>
  <c r="U18" i="24"/>
  <c r="I18" i="24" s="1"/>
  <c r="U43" i="24"/>
  <c r="I43" i="24" s="1"/>
  <c r="J43" i="25" s="1"/>
  <c r="U48" i="27"/>
  <c r="I48" i="27" s="1"/>
  <c r="J48" i="27" s="1"/>
  <c r="O39" i="25"/>
  <c r="N39" i="25"/>
  <c r="M39" i="25"/>
  <c r="O38" i="25"/>
  <c r="N38" i="25"/>
  <c r="M38" i="25"/>
  <c r="O30" i="25"/>
  <c r="N30" i="25"/>
  <c r="M30" i="25"/>
  <c r="O29" i="25"/>
  <c r="N29" i="25"/>
  <c r="M29" i="25"/>
  <c r="O28" i="25"/>
  <c r="N28" i="25"/>
  <c r="M28" i="25"/>
  <c r="O27" i="25"/>
  <c r="N27" i="25"/>
  <c r="M27" i="25"/>
  <c r="O26" i="25"/>
  <c r="N26" i="25"/>
  <c r="M26" i="25"/>
  <c r="O24" i="25"/>
  <c r="N24" i="25"/>
  <c r="M24" i="25"/>
  <c r="O25" i="25"/>
  <c r="N25" i="25"/>
  <c r="M25" i="25"/>
  <c r="O37" i="25"/>
  <c r="N37" i="25"/>
  <c r="M37" i="25"/>
  <c r="O23" i="25"/>
  <c r="N23" i="25"/>
  <c r="M23" i="25"/>
  <c r="O22" i="25"/>
  <c r="N22" i="25"/>
  <c r="M22" i="25"/>
  <c r="O21" i="25"/>
  <c r="N21" i="25"/>
  <c r="M21" i="25"/>
  <c r="O20" i="25"/>
  <c r="N20" i="25"/>
  <c r="M20" i="25"/>
  <c r="O19" i="25"/>
  <c r="N19" i="25"/>
  <c r="M19" i="25"/>
  <c r="O17" i="25"/>
  <c r="M17" i="25"/>
  <c r="O16" i="25"/>
  <c r="N16" i="25"/>
  <c r="M16" i="25"/>
  <c r="O15" i="25"/>
  <c r="N15" i="25"/>
  <c r="M15" i="25"/>
  <c r="O14" i="25"/>
  <c r="N14" i="25"/>
  <c r="M14" i="25"/>
  <c r="E14" i="25"/>
  <c r="E49" i="25" s="1"/>
  <c r="O13" i="25"/>
  <c r="N13" i="25"/>
  <c r="M13" i="25"/>
  <c r="O12" i="25"/>
  <c r="N12" i="25"/>
  <c r="M12" i="25"/>
  <c r="O11" i="25"/>
  <c r="N11" i="25"/>
  <c r="M11" i="25"/>
  <c r="J18" i="25" l="1"/>
  <c r="O31" i="25"/>
  <c r="N31" i="25"/>
  <c r="Q31" i="25" s="1"/>
  <c r="M31" i="25"/>
  <c r="P31" i="25" s="1"/>
  <c r="G49" i="25"/>
  <c r="R46" i="25"/>
  <c r="Q46" i="25"/>
  <c r="P46" i="25"/>
  <c r="S45" i="25"/>
  <c r="R45" i="25"/>
  <c r="Q45" i="25"/>
  <c r="P45" i="25"/>
  <c r="R44" i="25"/>
  <c r="Q44" i="25"/>
  <c r="S44" i="25"/>
  <c r="S42" i="25"/>
  <c r="R42" i="25"/>
  <c r="Q42" i="25"/>
  <c r="P42" i="25"/>
  <c r="R41" i="25"/>
  <c r="Q41" i="25"/>
  <c r="P41" i="25"/>
  <c r="S41" i="25"/>
  <c r="Q40" i="25"/>
  <c r="P40" i="25"/>
  <c r="R40" i="25"/>
  <c r="S40" i="25"/>
  <c r="P39" i="25"/>
  <c r="R39" i="25"/>
  <c r="Q39" i="25"/>
  <c r="S39" i="25"/>
  <c r="R38" i="25"/>
  <c r="Q38" i="25"/>
  <c r="P38" i="25"/>
  <c r="S37" i="25"/>
  <c r="R37" i="25"/>
  <c r="Q37" i="25"/>
  <c r="P37" i="25"/>
  <c r="R36" i="25"/>
  <c r="Q36" i="25"/>
  <c r="S36" i="25"/>
  <c r="R35" i="25"/>
  <c r="Q35" i="25"/>
  <c r="P35" i="25"/>
  <c r="S35" i="25"/>
  <c r="Q34" i="25"/>
  <c r="P34" i="25"/>
  <c r="R34" i="25"/>
  <c r="S34" i="25"/>
  <c r="P33" i="25"/>
  <c r="R33" i="25"/>
  <c r="Q33" i="25"/>
  <c r="S33" i="25"/>
  <c r="R32" i="25"/>
  <c r="Q32" i="25"/>
  <c r="P32" i="25"/>
  <c r="R31" i="25"/>
  <c r="R30" i="25"/>
  <c r="Q30" i="25"/>
  <c r="S30" i="25"/>
  <c r="R29" i="25"/>
  <c r="Q29" i="25"/>
  <c r="P29" i="25"/>
  <c r="S29" i="25"/>
  <c r="Q28" i="25"/>
  <c r="P28" i="25"/>
  <c r="R28" i="25"/>
  <c r="P27" i="25"/>
  <c r="R27" i="25"/>
  <c r="Q27" i="25"/>
  <c r="R26" i="25"/>
  <c r="Q26" i="25"/>
  <c r="P26" i="25"/>
  <c r="R25" i="25"/>
  <c r="Q25" i="25"/>
  <c r="P25" i="25"/>
  <c r="R24" i="25"/>
  <c r="Q24" i="25"/>
  <c r="S24" i="25"/>
  <c r="R23" i="25"/>
  <c r="Q23" i="25"/>
  <c r="P23" i="25"/>
  <c r="S23" i="25"/>
  <c r="Q22" i="25"/>
  <c r="P22" i="25"/>
  <c r="R22" i="25"/>
  <c r="P21" i="25"/>
  <c r="R21" i="25"/>
  <c r="Q21" i="25"/>
  <c r="S20" i="25"/>
  <c r="Q20" i="25"/>
  <c r="R20" i="25"/>
  <c r="P20" i="25"/>
  <c r="S19" i="25"/>
  <c r="R19" i="25"/>
  <c r="P19" i="25"/>
  <c r="Q19" i="25"/>
  <c r="S17" i="25"/>
  <c r="R17" i="25"/>
  <c r="Q17" i="25"/>
  <c r="P17" i="25"/>
  <c r="Q16" i="25"/>
  <c r="R16" i="25"/>
  <c r="S16" i="25"/>
  <c r="R15" i="25"/>
  <c r="Q15" i="25"/>
  <c r="P15" i="25"/>
  <c r="S15" i="25"/>
  <c r="S14" i="25"/>
  <c r="Q14" i="25"/>
  <c r="R14" i="25"/>
  <c r="P14" i="25"/>
  <c r="P13" i="25"/>
  <c r="R13" i="25"/>
  <c r="Q13" i="25"/>
  <c r="S13" i="25"/>
  <c r="R12" i="25"/>
  <c r="Q12" i="25"/>
  <c r="P12" i="25"/>
  <c r="S11" i="25"/>
  <c r="R11" i="25"/>
  <c r="P11" i="25"/>
  <c r="S31" i="25" l="1"/>
  <c r="O48" i="25"/>
  <c r="T13" i="25"/>
  <c r="U13" i="25" s="1"/>
  <c r="I13" i="25" s="1"/>
  <c r="J13" i="26" s="1"/>
  <c r="T20" i="25"/>
  <c r="U20" i="25" s="1"/>
  <c r="I20" i="25" s="1"/>
  <c r="J20" i="26" s="1"/>
  <c r="T26" i="25"/>
  <c r="T33" i="25"/>
  <c r="U33" i="25" s="1"/>
  <c r="I33" i="25" s="1"/>
  <c r="J33" i="26" s="1"/>
  <c r="T38" i="25"/>
  <c r="T15" i="25"/>
  <c r="U15" i="25" s="1"/>
  <c r="I15" i="25" s="1"/>
  <c r="J15" i="26" s="1"/>
  <c r="T17" i="25"/>
  <c r="U17" i="25" s="1"/>
  <c r="I17" i="25" s="1"/>
  <c r="J17" i="26" s="1"/>
  <c r="T32" i="25"/>
  <c r="T35" i="25"/>
  <c r="U35" i="25" s="1"/>
  <c r="I35" i="25" s="1"/>
  <c r="J35" i="26" s="1"/>
  <c r="T12" i="25"/>
  <c r="T14" i="25"/>
  <c r="U14" i="25" s="1"/>
  <c r="I14" i="25" s="1"/>
  <c r="J14" i="26" s="1"/>
  <c r="T21" i="25"/>
  <c r="T23" i="25"/>
  <c r="U23" i="25" s="1"/>
  <c r="I23" i="25" s="1"/>
  <c r="J23" i="26" s="1"/>
  <c r="T25" i="25"/>
  <c r="T27" i="25"/>
  <c r="T46" i="25"/>
  <c r="T29" i="25"/>
  <c r="U29" i="25" s="1"/>
  <c r="I29" i="25" s="1"/>
  <c r="J29" i="26" s="1"/>
  <c r="T31" i="25"/>
  <c r="T42" i="25"/>
  <c r="U42" i="25" s="1"/>
  <c r="I42" i="25" s="1"/>
  <c r="J42" i="26" s="1"/>
  <c r="T39" i="25"/>
  <c r="U39" i="25" s="1"/>
  <c r="I39" i="25" s="1"/>
  <c r="J39" i="26" s="1"/>
  <c r="T45" i="25"/>
  <c r="U45" i="25" s="1"/>
  <c r="I45" i="25" s="1"/>
  <c r="J45" i="26" s="1"/>
  <c r="T19" i="25"/>
  <c r="U19" i="25" s="1"/>
  <c r="I19" i="25" s="1"/>
  <c r="J19" i="26" s="1"/>
  <c r="T22" i="25"/>
  <c r="T28" i="25"/>
  <c r="F49" i="25"/>
  <c r="S12" i="25"/>
  <c r="S26" i="25"/>
  <c r="U26" i="25" s="1"/>
  <c r="I26" i="25" s="1"/>
  <c r="J26" i="26" s="1"/>
  <c r="T34" i="25"/>
  <c r="U34" i="25" s="1"/>
  <c r="I34" i="25" s="1"/>
  <c r="J34" i="26" s="1"/>
  <c r="T37" i="25"/>
  <c r="U37" i="25" s="1"/>
  <c r="I37" i="25" s="1"/>
  <c r="J37" i="26" s="1"/>
  <c r="M48" i="25"/>
  <c r="S21" i="25"/>
  <c r="S22" i="25"/>
  <c r="S32" i="25"/>
  <c r="T40" i="25"/>
  <c r="U40" i="25" s="1"/>
  <c r="I40" i="25" s="1"/>
  <c r="J40" i="26" s="1"/>
  <c r="S46" i="25"/>
  <c r="N48" i="25"/>
  <c r="S25" i="25"/>
  <c r="S27" i="25"/>
  <c r="S28" i="25"/>
  <c r="S38" i="25"/>
  <c r="T41" i="25"/>
  <c r="U41" i="25" s="1"/>
  <c r="I41" i="25" s="1"/>
  <c r="J41" i="26" s="1"/>
  <c r="R48" i="25"/>
  <c r="Q11" i="25"/>
  <c r="Q48" i="25" s="1"/>
  <c r="P16" i="25"/>
  <c r="T16" i="25" s="1"/>
  <c r="U16" i="25" s="1"/>
  <c r="I16" i="25" s="1"/>
  <c r="J16" i="26" s="1"/>
  <c r="P24" i="25"/>
  <c r="T24" i="25" s="1"/>
  <c r="U24" i="25" s="1"/>
  <c r="I24" i="25" s="1"/>
  <c r="J24" i="26" s="1"/>
  <c r="P30" i="25"/>
  <c r="T30" i="25" s="1"/>
  <c r="U30" i="25" s="1"/>
  <c r="I30" i="25" s="1"/>
  <c r="J30" i="26" s="1"/>
  <c r="P36" i="25"/>
  <c r="T36" i="25" s="1"/>
  <c r="U36" i="25" s="1"/>
  <c r="I36" i="25" s="1"/>
  <c r="J36" i="26" s="1"/>
  <c r="P44" i="25"/>
  <c r="T44" i="25" s="1"/>
  <c r="U44" i="25" s="1"/>
  <c r="I44" i="25" s="1"/>
  <c r="J44" i="26" s="1"/>
  <c r="O46" i="24"/>
  <c r="N46" i="24"/>
  <c r="M46" i="24"/>
  <c r="O45" i="24"/>
  <c r="N45" i="24"/>
  <c r="M45" i="24"/>
  <c r="O44" i="24"/>
  <c r="N44" i="24"/>
  <c r="M44" i="24"/>
  <c r="O41" i="24"/>
  <c r="N41" i="24"/>
  <c r="M41" i="24"/>
  <c r="O36" i="24"/>
  <c r="N36" i="24"/>
  <c r="M36" i="24"/>
  <c r="O35" i="24"/>
  <c r="N35" i="24"/>
  <c r="M35" i="24"/>
  <c r="O34" i="24"/>
  <c r="N34" i="24"/>
  <c r="M34" i="24"/>
  <c r="O33" i="24"/>
  <c r="N33" i="24"/>
  <c r="M33" i="24"/>
  <c r="U31" i="25" l="1"/>
  <c r="I31" i="25" s="1"/>
  <c r="J31" i="26" s="1"/>
  <c r="U38" i="25"/>
  <c r="I38" i="25" s="1"/>
  <c r="J38" i="26" s="1"/>
  <c r="U25" i="25"/>
  <c r="I25" i="25" s="1"/>
  <c r="J25" i="26" s="1"/>
  <c r="U27" i="25"/>
  <c r="I27" i="25" s="1"/>
  <c r="J27" i="26" s="1"/>
  <c r="U32" i="25"/>
  <c r="I32" i="25" s="1"/>
  <c r="J32" i="26" s="1"/>
  <c r="U12" i="25"/>
  <c r="I12" i="25" s="1"/>
  <c r="J12" i="26" s="1"/>
  <c r="U21" i="25"/>
  <c r="I21" i="25" s="1"/>
  <c r="J21" i="26" s="1"/>
  <c r="U46" i="25"/>
  <c r="I46" i="25" s="1"/>
  <c r="J46" i="26" s="1"/>
  <c r="F48" i="25"/>
  <c r="T11" i="25"/>
  <c r="U11" i="25" s="1"/>
  <c r="I11" i="25" s="1"/>
  <c r="J11" i="26" s="1"/>
  <c r="U22" i="25"/>
  <c r="I22" i="25" s="1"/>
  <c r="J22" i="26" s="1"/>
  <c r="G48" i="25"/>
  <c r="S48" i="25"/>
  <c r="P48" i="25"/>
  <c r="E48" i="25" s="1"/>
  <c r="U28" i="25"/>
  <c r="I28" i="25" s="1"/>
  <c r="J28" i="26" s="1"/>
  <c r="O32" i="24"/>
  <c r="N32" i="24"/>
  <c r="M32" i="24"/>
  <c r="O39" i="24"/>
  <c r="N39" i="24"/>
  <c r="M39" i="24"/>
  <c r="O40" i="24"/>
  <c r="N40" i="24"/>
  <c r="M40" i="24"/>
  <c r="O38" i="24"/>
  <c r="N38" i="24"/>
  <c r="M38" i="24"/>
  <c r="I49" i="25" l="1"/>
  <c r="J49" i="26" s="1"/>
  <c r="T48" i="25"/>
  <c r="U48" i="25" s="1"/>
  <c r="I48" i="25" s="1"/>
  <c r="J48" i="26" s="1"/>
  <c r="O31" i="24"/>
  <c r="N31" i="24"/>
  <c r="M31" i="24"/>
  <c r="O30" i="24"/>
  <c r="N30" i="24"/>
  <c r="M30" i="24"/>
  <c r="O29" i="24"/>
  <c r="N29" i="24"/>
  <c r="M29" i="24"/>
  <c r="O28" i="24"/>
  <c r="N28" i="24"/>
  <c r="M28" i="24"/>
  <c r="O27" i="24"/>
  <c r="N27" i="24"/>
  <c r="M27" i="24"/>
  <c r="O26" i="24"/>
  <c r="N26" i="24"/>
  <c r="M26" i="24"/>
  <c r="O24" i="24"/>
  <c r="N24" i="24"/>
  <c r="M24" i="24"/>
  <c r="O37" i="24"/>
  <c r="N37" i="24"/>
  <c r="M37" i="24"/>
  <c r="O25" i="24"/>
  <c r="N25" i="24"/>
  <c r="M25" i="24"/>
  <c r="O23" i="24"/>
  <c r="N23" i="24"/>
  <c r="M23" i="24"/>
  <c r="O22" i="24"/>
  <c r="N22" i="24"/>
  <c r="M22" i="24"/>
  <c r="O21" i="24"/>
  <c r="N21" i="24"/>
  <c r="M21" i="24"/>
  <c r="N20" i="24"/>
  <c r="O20" i="24"/>
  <c r="M20" i="24"/>
  <c r="O19" i="24" l="1"/>
  <c r="N19" i="24"/>
  <c r="M19" i="24"/>
  <c r="F19" i="24"/>
  <c r="O17" i="24"/>
  <c r="N17" i="24"/>
  <c r="M17" i="24"/>
  <c r="O16" i="24"/>
  <c r="N16" i="24"/>
  <c r="M16" i="24"/>
  <c r="O15" i="24"/>
  <c r="N15" i="24"/>
  <c r="M15" i="24"/>
  <c r="O14" i="24"/>
  <c r="N14" i="24"/>
  <c r="M14" i="24"/>
  <c r="O13" i="24" l="1"/>
  <c r="N13" i="24"/>
  <c r="M13" i="24"/>
  <c r="O12" i="24"/>
  <c r="N12" i="24"/>
  <c r="M12" i="24"/>
  <c r="O11" i="24"/>
  <c r="N11" i="24"/>
  <c r="M11" i="24"/>
  <c r="G49" i="24" l="1"/>
  <c r="F49" i="24"/>
  <c r="R46" i="24"/>
  <c r="Q46" i="24"/>
  <c r="S46" i="24"/>
  <c r="S45" i="24"/>
  <c r="Q45" i="24"/>
  <c r="P45" i="24"/>
  <c r="R45" i="24"/>
  <c r="R44" i="24"/>
  <c r="P44" i="24"/>
  <c r="Q44" i="24"/>
  <c r="R42" i="24"/>
  <c r="Q42" i="24"/>
  <c r="R41" i="24"/>
  <c r="Q41" i="24"/>
  <c r="S41" i="24"/>
  <c r="P40" i="24"/>
  <c r="R40" i="24"/>
  <c r="Q40" i="24"/>
  <c r="R39" i="24"/>
  <c r="Q39" i="24"/>
  <c r="R38" i="24"/>
  <c r="Q38" i="24"/>
  <c r="S38" i="24"/>
  <c r="S37" i="24"/>
  <c r="Q37" i="24"/>
  <c r="P37" i="24"/>
  <c r="R37" i="24"/>
  <c r="R36" i="24"/>
  <c r="P36" i="24"/>
  <c r="Q36" i="24"/>
  <c r="R35" i="24"/>
  <c r="Q35" i="24"/>
  <c r="P35" i="24"/>
  <c r="R34" i="24"/>
  <c r="Q34" i="24"/>
  <c r="P34" i="24"/>
  <c r="Q33" i="24"/>
  <c r="P33" i="24"/>
  <c r="R33" i="24"/>
  <c r="R32" i="24"/>
  <c r="P32" i="24"/>
  <c r="Q32" i="24"/>
  <c r="R31" i="24"/>
  <c r="Q31" i="24"/>
  <c r="P31" i="24"/>
  <c r="R30" i="24"/>
  <c r="Q30" i="24"/>
  <c r="P30" i="24"/>
  <c r="Q29" i="24"/>
  <c r="P29" i="24"/>
  <c r="R29" i="24"/>
  <c r="R28" i="24"/>
  <c r="P28" i="24"/>
  <c r="Q28" i="24"/>
  <c r="R27" i="24"/>
  <c r="Q27" i="24"/>
  <c r="P27" i="24"/>
  <c r="R26" i="24"/>
  <c r="Q26" i="24"/>
  <c r="P26" i="24"/>
  <c r="Q25" i="24"/>
  <c r="P25" i="24"/>
  <c r="R25" i="24"/>
  <c r="P24" i="24"/>
  <c r="R24" i="24"/>
  <c r="Q24" i="24"/>
  <c r="R23" i="24"/>
  <c r="Q23" i="24"/>
  <c r="P23" i="24"/>
  <c r="R22" i="24"/>
  <c r="Q22" i="24"/>
  <c r="P22" i="24"/>
  <c r="Q21" i="24"/>
  <c r="P21" i="24"/>
  <c r="R21" i="24"/>
  <c r="P20" i="24"/>
  <c r="R20" i="24"/>
  <c r="Q20" i="24"/>
  <c r="R19" i="24"/>
  <c r="Q19" i="24"/>
  <c r="P19" i="24"/>
  <c r="R17" i="24"/>
  <c r="Q17" i="24"/>
  <c r="P17" i="24"/>
  <c r="Q16" i="24"/>
  <c r="P16" i="24"/>
  <c r="R16" i="24"/>
  <c r="P15" i="24"/>
  <c r="R15" i="24"/>
  <c r="Q15" i="24"/>
  <c r="R14" i="24"/>
  <c r="Q14" i="24"/>
  <c r="P14" i="24"/>
  <c r="R13" i="24"/>
  <c r="Q13" i="24"/>
  <c r="P13" i="24"/>
  <c r="Q12" i="24"/>
  <c r="P12" i="24"/>
  <c r="R12" i="24"/>
  <c r="P11" i="24"/>
  <c r="O48" i="24"/>
  <c r="Q11" i="24"/>
  <c r="T21" i="24" l="1"/>
  <c r="T12" i="24"/>
  <c r="T30" i="24"/>
  <c r="T36" i="24"/>
  <c r="T29" i="24"/>
  <c r="T33" i="24"/>
  <c r="T37" i="24"/>
  <c r="U37" i="24" s="1"/>
  <c r="I37" i="24" s="1"/>
  <c r="J37" i="25" s="1"/>
  <c r="T17" i="24"/>
  <c r="T19" i="24"/>
  <c r="T20" i="24"/>
  <c r="T25" i="24"/>
  <c r="T32" i="24"/>
  <c r="T45" i="24"/>
  <c r="U45" i="24" s="1"/>
  <c r="I45" i="24" s="1"/>
  <c r="J45" i="25" s="1"/>
  <c r="T16" i="24"/>
  <c r="T13" i="24"/>
  <c r="T14" i="24"/>
  <c r="T28" i="24"/>
  <c r="T26" i="24"/>
  <c r="T34" i="24"/>
  <c r="T24" i="24"/>
  <c r="T15" i="24"/>
  <c r="T22" i="24"/>
  <c r="M48" i="24"/>
  <c r="R11" i="24"/>
  <c r="R48" i="24" s="1"/>
  <c r="G48" i="24" s="1"/>
  <c r="S14" i="24"/>
  <c r="S19" i="24"/>
  <c r="S23" i="24"/>
  <c r="S27" i="24"/>
  <c r="S31" i="24"/>
  <c r="S35" i="24"/>
  <c r="T40" i="24"/>
  <c r="P42" i="24"/>
  <c r="T42" i="24" s="1"/>
  <c r="S42" i="24"/>
  <c r="S44" i="24"/>
  <c r="Q48" i="24"/>
  <c r="S11" i="24"/>
  <c r="S15" i="24"/>
  <c r="S20" i="24"/>
  <c r="S24" i="24"/>
  <c r="S28" i="24"/>
  <c r="S32" i="24"/>
  <c r="S36" i="24"/>
  <c r="P38" i="24"/>
  <c r="T38" i="24" s="1"/>
  <c r="U38" i="24" s="1"/>
  <c r="I38" i="24" s="1"/>
  <c r="J38" i="25" s="1"/>
  <c r="N48" i="24"/>
  <c r="S12" i="24"/>
  <c r="S13" i="24"/>
  <c r="S16" i="24"/>
  <c r="S17" i="24"/>
  <c r="S21" i="24"/>
  <c r="S22" i="24"/>
  <c r="S25" i="24"/>
  <c r="S26" i="24"/>
  <c r="S29" i="24"/>
  <c r="S30" i="24"/>
  <c r="S33" i="24"/>
  <c r="S34" i="24"/>
  <c r="P39" i="24"/>
  <c r="T39" i="24" s="1"/>
  <c r="S39" i="24"/>
  <c r="S40" i="24"/>
  <c r="T44" i="24"/>
  <c r="P46" i="24"/>
  <c r="T46" i="24" s="1"/>
  <c r="U46" i="24" s="1"/>
  <c r="I46" i="24" s="1"/>
  <c r="J46" i="25" s="1"/>
  <c r="T23" i="24"/>
  <c r="T27" i="24"/>
  <c r="T31" i="24"/>
  <c r="T35" i="24"/>
  <c r="P41" i="24"/>
  <c r="T41" i="24" s="1"/>
  <c r="U41" i="24" s="1"/>
  <c r="I41" i="24" s="1"/>
  <c r="J41" i="25" s="1"/>
  <c r="O44" i="23"/>
  <c r="N44" i="23"/>
  <c r="M44" i="23"/>
  <c r="O43" i="23"/>
  <c r="N43" i="23"/>
  <c r="M43" i="23"/>
  <c r="O42" i="23"/>
  <c r="N42" i="23"/>
  <c r="M42" i="23"/>
  <c r="O41" i="23"/>
  <c r="N41" i="23"/>
  <c r="M41" i="23"/>
  <c r="U12" i="24" l="1"/>
  <c r="I12" i="24" s="1"/>
  <c r="J12" i="25" s="1"/>
  <c r="U36" i="24"/>
  <c r="I36" i="24" s="1"/>
  <c r="J36" i="25" s="1"/>
  <c r="U35" i="24"/>
  <c r="I35" i="24" s="1"/>
  <c r="J35" i="25" s="1"/>
  <c r="U33" i="24"/>
  <c r="I33" i="24" s="1"/>
  <c r="J33" i="25" s="1"/>
  <c r="U31" i="24"/>
  <c r="I31" i="24" s="1"/>
  <c r="J31" i="25" s="1"/>
  <c r="U30" i="24"/>
  <c r="I30" i="24" s="1"/>
  <c r="J30" i="25" s="1"/>
  <c r="U29" i="24"/>
  <c r="I29" i="24" s="1"/>
  <c r="J29" i="25" s="1"/>
  <c r="U27" i="24"/>
  <c r="I27" i="24" s="1"/>
  <c r="J27" i="25" s="1"/>
  <c r="U25" i="24"/>
  <c r="I25" i="24" s="1"/>
  <c r="J25" i="25" s="1"/>
  <c r="U21" i="24"/>
  <c r="I21" i="24" s="1"/>
  <c r="J21" i="25" s="1"/>
  <c r="U14" i="24"/>
  <c r="I14" i="24" s="1"/>
  <c r="J14" i="25" s="1"/>
  <c r="U16" i="24"/>
  <c r="I16" i="24" s="1"/>
  <c r="J16" i="25" s="1"/>
  <c r="U13" i="24"/>
  <c r="I13" i="24" s="1"/>
  <c r="J13" i="25" s="1"/>
  <c r="F48" i="24"/>
  <c r="S48" i="24"/>
  <c r="U23" i="24"/>
  <c r="I23" i="24" s="1"/>
  <c r="J23" i="25" s="1"/>
  <c r="U20" i="24"/>
  <c r="I20" i="24" s="1"/>
  <c r="J20" i="25" s="1"/>
  <c r="U34" i="24"/>
  <c r="I34" i="24" s="1"/>
  <c r="J34" i="25" s="1"/>
  <c r="U28" i="24"/>
  <c r="I28" i="24" s="1"/>
  <c r="J28" i="25" s="1"/>
  <c r="U17" i="24"/>
  <c r="I17" i="24" s="1"/>
  <c r="J17" i="25" s="1"/>
  <c r="U19" i="24"/>
  <c r="I19" i="24" s="1"/>
  <c r="J19" i="25" s="1"/>
  <c r="U32" i="24"/>
  <c r="I32" i="24" s="1"/>
  <c r="J32" i="25" s="1"/>
  <c r="T11" i="24"/>
  <c r="U11" i="24" s="1"/>
  <c r="I11" i="24" s="1"/>
  <c r="J11" i="25" s="1"/>
  <c r="P48" i="24"/>
  <c r="E48" i="24" s="1"/>
  <c r="U39" i="24"/>
  <c r="I39" i="24" s="1"/>
  <c r="J39" i="25" s="1"/>
  <c r="U22" i="24"/>
  <c r="I22" i="24" s="1"/>
  <c r="J22" i="25" s="1"/>
  <c r="U24" i="24"/>
  <c r="I24" i="24" s="1"/>
  <c r="J24" i="25" s="1"/>
  <c r="U44" i="24"/>
  <c r="I44" i="24" s="1"/>
  <c r="J44" i="25" s="1"/>
  <c r="U42" i="24"/>
  <c r="U15" i="24"/>
  <c r="I15" i="24" s="1"/>
  <c r="J15" i="25" s="1"/>
  <c r="U26" i="24"/>
  <c r="I26" i="24" s="1"/>
  <c r="J26" i="25" s="1"/>
  <c r="U40" i="24"/>
  <c r="I40" i="24" s="1"/>
  <c r="J40" i="25" s="1"/>
  <c r="O40" i="23"/>
  <c r="N40" i="23"/>
  <c r="M40" i="23"/>
  <c r="O34" i="23"/>
  <c r="N34" i="23"/>
  <c r="M34" i="23"/>
  <c r="O35" i="23"/>
  <c r="N35" i="23"/>
  <c r="M35" i="23"/>
  <c r="O33" i="23"/>
  <c r="N33" i="23"/>
  <c r="M33" i="23"/>
  <c r="O32" i="23"/>
  <c r="N32" i="23"/>
  <c r="M32" i="23"/>
  <c r="O31" i="23"/>
  <c r="N31" i="23"/>
  <c r="M31" i="23"/>
  <c r="O38" i="23"/>
  <c r="N38" i="23"/>
  <c r="M38" i="23"/>
  <c r="O39" i="23"/>
  <c r="N39" i="23"/>
  <c r="M39" i="23"/>
  <c r="O37" i="23"/>
  <c r="N37" i="23"/>
  <c r="M37" i="23"/>
  <c r="I49" i="24" l="1"/>
  <c r="T48" i="24"/>
  <c r="U48" i="24" s="1"/>
  <c r="I48" i="24" s="1"/>
  <c r="J48" i="25" s="1"/>
  <c r="O29" i="23"/>
  <c r="N29" i="23"/>
  <c r="M29" i="23"/>
  <c r="O28" i="23"/>
  <c r="N28" i="23"/>
  <c r="M28" i="23"/>
  <c r="O27" i="23"/>
  <c r="N27" i="23"/>
  <c r="M27" i="23"/>
  <c r="O26" i="23"/>
  <c r="N26" i="23"/>
  <c r="M26" i="23"/>
  <c r="O25" i="23"/>
  <c r="N25" i="23"/>
  <c r="M25" i="23"/>
  <c r="O24" i="23"/>
  <c r="N24" i="23"/>
  <c r="M24" i="23"/>
  <c r="O23" i="23"/>
  <c r="N23" i="23"/>
  <c r="M23" i="23"/>
  <c r="O36" i="23"/>
  <c r="N36" i="23"/>
  <c r="M36" i="23"/>
  <c r="O22" i="23"/>
  <c r="N22" i="23"/>
  <c r="M22" i="23"/>
  <c r="O21" i="23"/>
  <c r="N21" i="23"/>
  <c r="M21" i="23"/>
  <c r="O20" i="23"/>
  <c r="N20" i="23"/>
  <c r="M20" i="23"/>
  <c r="O19" i="23"/>
  <c r="N19" i="23"/>
  <c r="M19" i="23"/>
  <c r="O18" i="23"/>
  <c r="N18" i="23"/>
  <c r="M18" i="23"/>
  <c r="O17" i="23"/>
  <c r="N17" i="23"/>
  <c r="M17" i="23"/>
  <c r="O16" i="23"/>
  <c r="N16" i="23"/>
  <c r="M16" i="23"/>
  <c r="O15" i="23"/>
  <c r="N15" i="23"/>
  <c r="M15" i="23"/>
  <c r="O14" i="23"/>
  <c r="N14" i="23"/>
  <c r="M14" i="23"/>
  <c r="O13" i="23"/>
  <c r="N13" i="23"/>
  <c r="M13" i="23"/>
  <c r="O12" i="23"/>
  <c r="N12" i="23"/>
  <c r="M12" i="23"/>
  <c r="O11" i="23"/>
  <c r="N11" i="23"/>
  <c r="M11" i="23"/>
  <c r="J49" i="25" l="1"/>
  <c r="O30" i="23"/>
  <c r="N30" i="23"/>
  <c r="M30" i="23"/>
  <c r="G47" i="23" l="1"/>
  <c r="F47" i="23"/>
  <c r="E47" i="23"/>
  <c r="P44" i="23"/>
  <c r="S44" i="23"/>
  <c r="Q44" i="23"/>
  <c r="R43" i="23"/>
  <c r="Q43" i="23"/>
  <c r="S43" i="23"/>
  <c r="R42" i="23"/>
  <c r="Q42" i="23"/>
  <c r="P42" i="23"/>
  <c r="Q41" i="23"/>
  <c r="P41" i="23"/>
  <c r="R41" i="23"/>
  <c r="S41" i="23"/>
  <c r="S40" i="23"/>
  <c r="R40" i="23"/>
  <c r="Q40" i="23"/>
  <c r="P40" i="23"/>
  <c r="R39" i="23"/>
  <c r="Q39" i="23"/>
  <c r="P39" i="23"/>
  <c r="Q38" i="23"/>
  <c r="P38" i="23"/>
  <c r="R38" i="23"/>
  <c r="S38" i="23"/>
  <c r="P37" i="23"/>
  <c r="S37" i="23"/>
  <c r="Q37" i="23"/>
  <c r="R36" i="23"/>
  <c r="S36" i="23"/>
  <c r="P36" i="23"/>
  <c r="R35" i="23"/>
  <c r="Q35" i="23"/>
  <c r="P35" i="23"/>
  <c r="Q34" i="23"/>
  <c r="P34" i="23"/>
  <c r="R34" i="23"/>
  <c r="S34" i="23"/>
  <c r="P33" i="23"/>
  <c r="R33" i="23"/>
  <c r="Q33" i="23"/>
  <c r="R32" i="23"/>
  <c r="S32" i="23"/>
  <c r="P32" i="23"/>
  <c r="R31" i="23"/>
  <c r="Q31" i="23"/>
  <c r="P31" i="23"/>
  <c r="Q30" i="23"/>
  <c r="P30" i="23"/>
  <c r="R30" i="23"/>
  <c r="S30" i="23"/>
  <c r="P29" i="23"/>
  <c r="R29" i="23"/>
  <c r="Q29" i="23"/>
  <c r="R28" i="23"/>
  <c r="Q28" i="23"/>
  <c r="S28" i="23"/>
  <c r="R27" i="23"/>
  <c r="Q27" i="23"/>
  <c r="P27" i="23"/>
  <c r="Q26" i="23"/>
  <c r="P26" i="23"/>
  <c r="R26" i="23"/>
  <c r="S26" i="23"/>
  <c r="S25" i="23"/>
  <c r="P25" i="23"/>
  <c r="R25" i="23"/>
  <c r="Q25" i="23"/>
  <c r="R24" i="23"/>
  <c r="S24" i="23"/>
  <c r="P24" i="23"/>
  <c r="R23" i="23"/>
  <c r="Q23" i="23"/>
  <c r="P23" i="23"/>
  <c r="Q22" i="23"/>
  <c r="P22" i="23"/>
  <c r="R22" i="23"/>
  <c r="S22" i="23"/>
  <c r="P21" i="23"/>
  <c r="R21" i="23"/>
  <c r="Q21" i="23"/>
  <c r="R20" i="23"/>
  <c r="S20" i="23"/>
  <c r="P20" i="23"/>
  <c r="R19" i="23"/>
  <c r="Q19" i="23"/>
  <c r="P19" i="23"/>
  <c r="Q18" i="23"/>
  <c r="P18" i="23"/>
  <c r="R18" i="23"/>
  <c r="S18" i="23"/>
  <c r="P17" i="23"/>
  <c r="R17" i="23"/>
  <c r="Q17" i="23"/>
  <c r="R16" i="23"/>
  <c r="S16" i="23"/>
  <c r="P16" i="23"/>
  <c r="R15" i="23"/>
  <c r="Q15" i="23"/>
  <c r="P15" i="23"/>
  <c r="Q14" i="23"/>
  <c r="P14" i="23"/>
  <c r="R14" i="23"/>
  <c r="S14" i="23"/>
  <c r="P13" i="23"/>
  <c r="R13" i="23"/>
  <c r="Q13" i="23"/>
  <c r="R12" i="23"/>
  <c r="S12" i="23"/>
  <c r="P12" i="23"/>
  <c r="R11" i="23"/>
  <c r="Q11" i="23"/>
  <c r="O46" i="23"/>
  <c r="N46" i="23"/>
  <c r="M46" i="23"/>
  <c r="T40" i="23" l="1"/>
  <c r="U40" i="23"/>
  <c r="I40" i="23" s="1"/>
  <c r="J41" i="24" s="1"/>
  <c r="T27" i="23"/>
  <c r="S46" i="23"/>
  <c r="T42" i="23"/>
  <c r="T41" i="23"/>
  <c r="U41" i="23" s="1"/>
  <c r="I41" i="23" s="1"/>
  <c r="T15" i="23"/>
  <c r="T34" i="23"/>
  <c r="U34" i="23" s="1"/>
  <c r="I34" i="23" s="1"/>
  <c r="T19" i="23"/>
  <c r="T31" i="23"/>
  <c r="T18" i="23"/>
  <c r="U18" i="23" s="1"/>
  <c r="I18" i="23" s="1"/>
  <c r="T39" i="23"/>
  <c r="T33" i="23"/>
  <c r="T23" i="23"/>
  <c r="T26" i="23"/>
  <c r="U26" i="23" s="1"/>
  <c r="I26" i="23" s="1"/>
  <c r="T35" i="23"/>
  <c r="T13" i="23"/>
  <c r="T22" i="23"/>
  <c r="U22" i="23" s="1"/>
  <c r="I22" i="23" s="1"/>
  <c r="T29" i="23"/>
  <c r="T30" i="23"/>
  <c r="U30" i="23" s="1"/>
  <c r="I30" i="23" s="1"/>
  <c r="T38" i="23"/>
  <c r="U38" i="23" s="1"/>
  <c r="I38" i="23" s="1"/>
  <c r="T14" i="23"/>
  <c r="U14" i="23" s="1"/>
  <c r="I14" i="23" s="1"/>
  <c r="T17" i="23"/>
  <c r="T25" i="23"/>
  <c r="U25" i="23" s="1"/>
  <c r="I25" i="23" s="1"/>
  <c r="T21" i="23"/>
  <c r="S17" i="23"/>
  <c r="S11" i="23"/>
  <c r="S15" i="23"/>
  <c r="S19" i="23"/>
  <c r="S23" i="23"/>
  <c r="S27" i="23"/>
  <c r="P28" i="23"/>
  <c r="T28" i="23" s="1"/>
  <c r="U28" i="23" s="1"/>
  <c r="I28" i="23" s="1"/>
  <c r="S31" i="23"/>
  <c r="S35" i="23"/>
  <c r="S39" i="23"/>
  <c r="S42" i="23"/>
  <c r="P43" i="23"/>
  <c r="T43" i="23" s="1"/>
  <c r="U43" i="23" s="1"/>
  <c r="I43" i="23" s="1"/>
  <c r="S13" i="23"/>
  <c r="S21" i="23"/>
  <c r="S29" i="23"/>
  <c r="S33" i="23"/>
  <c r="P11" i="23"/>
  <c r="Q12" i="23"/>
  <c r="T12" i="23" s="1"/>
  <c r="U12" i="23" s="1"/>
  <c r="I12" i="23" s="1"/>
  <c r="Q16" i="23"/>
  <c r="Q20" i="23"/>
  <c r="T20" i="23" s="1"/>
  <c r="U20" i="23" s="1"/>
  <c r="I20" i="23" s="1"/>
  <c r="Q24" i="23"/>
  <c r="T24" i="23" s="1"/>
  <c r="U24" i="23" s="1"/>
  <c r="I24" i="23" s="1"/>
  <c r="Q32" i="23"/>
  <c r="T32" i="23" s="1"/>
  <c r="U32" i="23" s="1"/>
  <c r="I32" i="23" s="1"/>
  <c r="Q36" i="23"/>
  <c r="T36" i="23" s="1"/>
  <c r="U36" i="23" s="1"/>
  <c r="I36" i="23" s="1"/>
  <c r="R37" i="23"/>
  <c r="R44" i="23"/>
  <c r="T44" i="23" s="1"/>
  <c r="U44" i="23" s="1"/>
  <c r="I44" i="23" s="1"/>
  <c r="O34" i="22"/>
  <c r="N34" i="22"/>
  <c r="M34" i="22"/>
  <c r="O33" i="22"/>
  <c r="N33" i="22"/>
  <c r="M33" i="22"/>
  <c r="O32" i="22"/>
  <c r="N32" i="22"/>
  <c r="M32" i="22"/>
  <c r="O31" i="22"/>
  <c r="N31" i="22"/>
  <c r="M31" i="22"/>
  <c r="O30" i="22"/>
  <c r="N30" i="22"/>
  <c r="M30" i="22"/>
  <c r="O23" i="22"/>
  <c r="O29" i="22"/>
  <c r="N29" i="22"/>
  <c r="M29" i="22"/>
  <c r="O28" i="22"/>
  <c r="N28" i="22"/>
  <c r="M28" i="22"/>
  <c r="O27" i="22"/>
  <c r="N27" i="22"/>
  <c r="M27" i="22"/>
  <c r="O26" i="22"/>
  <c r="N26" i="22"/>
  <c r="M26" i="22"/>
  <c r="O25" i="22"/>
  <c r="N25" i="22"/>
  <c r="M25" i="22"/>
  <c r="O24" i="22"/>
  <c r="N24" i="22"/>
  <c r="M24" i="22"/>
  <c r="O22" i="22"/>
  <c r="N22" i="22"/>
  <c r="M22" i="22"/>
  <c r="O21" i="22"/>
  <c r="N21" i="22"/>
  <c r="M21" i="22"/>
  <c r="O20" i="22"/>
  <c r="N20" i="22"/>
  <c r="M20" i="22"/>
  <c r="O19" i="22"/>
  <c r="N19" i="22"/>
  <c r="M19" i="22"/>
  <c r="U21" i="23" l="1"/>
  <c r="I21" i="23" s="1"/>
  <c r="J22" i="24" s="1"/>
  <c r="J12" i="24"/>
  <c r="J37" i="24"/>
  <c r="J26" i="24"/>
  <c r="J23" i="24"/>
  <c r="J46" i="24"/>
  <c r="J31" i="24"/>
  <c r="J45" i="24"/>
  <c r="J33" i="24"/>
  <c r="U33" i="23"/>
  <c r="I33" i="23" s="1"/>
  <c r="U13" i="23"/>
  <c r="I13" i="23" s="1"/>
  <c r="J19" i="24"/>
  <c r="J29" i="24"/>
  <c r="J35" i="24"/>
  <c r="J25" i="24"/>
  <c r="U15" i="23"/>
  <c r="I15" i="23" s="1"/>
  <c r="J14" i="24"/>
  <c r="J21" i="24"/>
  <c r="J39" i="24"/>
  <c r="J27" i="24"/>
  <c r="U42" i="23"/>
  <c r="I42" i="23" s="1"/>
  <c r="U31" i="23"/>
  <c r="I31" i="23" s="1"/>
  <c r="U39" i="23"/>
  <c r="I39" i="23" s="1"/>
  <c r="U27" i="23"/>
  <c r="I27" i="23" s="1"/>
  <c r="U19" i="23"/>
  <c r="I19" i="23" s="1"/>
  <c r="U17" i="23"/>
  <c r="I17" i="23" s="1"/>
  <c r="R46" i="23"/>
  <c r="G46" i="23" s="1"/>
  <c r="U23" i="23"/>
  <c r="I23" i="23" s="1"/>
  <c r="Q46" i="23"/>
  <c r="F46" i="23" s="1"/>
  <c r="U35" i="23"/>
  <c r="I35" i="23" s="1"/>
  <c r="T37" i="23"/>
  <c r="U37" i="23" s="1"/>
  <c r="I37" i="23" s="1"/>
  <c r="P46" i="23"/>
  <c r="T11" i="23"/>
  <c r="U11" i="23" s="1"/>
  <c r="I11" i="23" s="1"/>
  <c r="U29" i="23"/>
  <c r="I29" i="23" s="1"/>
  <c r="T16" i="23"/>
  <c r="U16" i="23" s="1"/>
  <c r="I16" i="23" s="1"/>
  <c r="O18" i="22"/>
  <c r="N18" i="22"/>
  <c r="M18" i="22"/>
  <c r="O16" i="22"/>
  <c r="N16" i="22"/>
  <c r="M16" i="22"/>
  <c r="O17" i="22"/>
  <c r="N17" i="22"/>
  <c r="M17" i="22"/>
  <c r="O15" i="22"/>
  <c r="N15" i="22"/>
  <c r="M15" i="22"/>
  <c r="O14" i="22"/>
  <c r="N14" i="22"/>
  <c r="M14" i="22"/>
  <c r="O13" i="22"/>
  <c r="N13" i="22"/>
  <c r="M13" i="22"/>
  <c r="O12" i="22"/>
  <c r="N12" i="22"/>
  <c r="M12" i="22"/>
  <c r="J36" i="24" l="1"/>
  <c r="J28" i="24"/>
  <c r="J15" i="24"/>
  <c r="J16" i="24"/>
  <c r="J40" i="24"/>
  <c r="J30" i="24"/>
  <c r="J24" i="24"/>
  <c r="J32" i="24"/>
  <c r="J11" i="24"/>
  <c r="J44" i="24"/>
  <c r="J17" i="24"/>
  <c r="J34" i="24"/>
  <c r="J13" i="24"/>
  <c r="J38" i="24"/>
  <c r="J20" i="24"/>
  <c r="I47" i="23"/>
  <c r="J49" i="24" s="1"/>
  <c r="T46" i="23"/>
  <c r="U46" i="23" s="1"/>
  <c r="I46" i="23" s="1"/>
  <c r="E46" i="23"/>
  <c r="O11" i="22"/>
  <c r="N11" i="22"/>
  <c r="M11" i="22"/>
  <c r="N23" i="22"/>
  <c r="M23" i="22"/>
  <c r="G42" i="21"/>
  <c r="O39" i="21"/>
  <c r="N39" i="21"/>
  <c r="M39" i="21"/>
  <c r="O38" i="21"/>
  <c r="N38" i="21"/>
  <c r="M38" i="21"/>
  <c r="O37" i="21"/>
  <c r="N37" i="21"/>
  <c r="M37" i="21"/>
  <c r="O36" i="21"/>
  <c r="N36" i="21"/>
  <c r="M36" i="21"/>
  <c r="O35" i="21"/>
  <c r="N35" i="21"/>
  <c r="M35" i="21"/>
  <c r="O34" i="21"/>
  <c r="N34" i="21"/>
  <c r="M34" i="21"/>
  <c r="O33" i="21"/>
  <c r="N33" i="21"/>
  <c r="M33" i="21"/>
  <c r="O32" i="21"/>
  <c r="N32" i="21"/>
  <c r="M32" i="21"/>
  <c r="O31" i="21"/>
  <c r="N31" i="21"/>
  <c r="M31" i="21"/>
  <c r="O30" i="21"/>
  <c r="N30" i="21"/>
  <c r="M30" i="21"/>
  <c r="O29" i="21"/>
  <c r="N29" i="21"/>
  <c r="M29" i="21"/>
  <c r="O28" i="21"/>
  <c r="N28" i="21"/>
  <c r="M28" i="21"/>
  <c r="O27" i="21"/>
  <c r="N27" i="21"/>
  <c r="M27" i="21"/>
  <c r="O25" i="21"/>
  <c r="N25" i="21"/>
  <c r="M25" i="21"/>
  <c r="O24" i="21"/>
  <c r="N24" i="21"/>
  <c r="M24" i="21"/>
  <c r="O23" i="21"/>
  <c r="N23" i="21"/>
  <c r="M23" i="21"/>
  <c r="O22" i="21"/>
  <c r="N22" i="21"/>
  <c r="M22" i="21"/>
  <c r="O21" i="21"/>
  <c r="N21" i="21"/>
  <c r="M21" i="21"/>
  <c r="O20" i="21"/>
  <c r="N20" i="21"/>
  <c r="M20" i="21"/>
  <c r="O19" i="21"/>
  <c r="N19" i="21"/>
  <c r="M19" i="21"/>
  <c r="M36" i="22" l="1"/>
  <c r="J48" i="24"/>
  <c r="O26" i="21"/>
  <c r="N26" i="21"/>
  <c r="M26" i="21"/>
  <c r="O18" i="21"/>
  <c r="R18" i="21" s="1"/>
  <c r="N18" i="21"/>
  <c r="Q18" i="21" s="1"/>
  <c r="M18" i="21"/>
  <c r="E42" i="21"/>
  <c r="O17" i="21"/>
  <c r="N17" i="21"/>
  <c r="Q17" i="21" s="1"/>
  <c r="M17" i="21"/>
  <c r="P17" i="21" s="1"/>
  <c r="O16" i="21"/>
  <c r="R16" i="21" s="1"/>
  <c r="N16" i="21"/>
  <c r="Q16" i="21" s="1"/>
  <c r="M16" i="21"/>
  <c r="P16" i="21" s="1"/>
  <c r="O15" i="21"/>
  <c r="R15" i="21" s="1"/>
  <c r="N15" i="21"/>
  <c r="Q15" i="21" s="1"/>
  <c r="M15" i="21"/>
  <c r="P15" i="21" s="1"/>
  <c r="O14" i="21"/>
  <c r="R14" i="21" s="1"/>
  <c r="N14" i="21"/>
  <c r="Q14" i="21" s="1"/>
  <c r="M14" i="21"/>
  <c r="O13" i="21"/>
  <c r="R13" i="21" s="1"/>
  <c r="N13" i="21"/>
  <c r="Q13" i="21" s="1"/>
  <c r="M13" i="21"/>
  <c r="P13" i="21" s="1"/>
  <c r="O12" i="21"/>
  <c r="N12" i="21"/>
  <c r="M12" i="21"/>
  <c r="O11" i="21"/>
  <c r="N11" i="21"/>
  <c r="Q11" i="21" s="1"/>
  <c r="M11" i="21"/>
  <c r="O36" i="22"/>
  <c r="G37" i="22"/>
  <c r="F37" i="22"/>
  <c r="E37" i="22"/>
  <c r="N36" i="22"/>
  <c r="S34" i="22"/>
  <c r="R34" i="22"/>
  <c r="Q34" i="22"/>
  <c r="P34" i="22"/>
  <c r="S33" i="22"/>
  <c r="R33" i="22"/>
  <c r="Q33" i="22"/>
  <c r="P33" i="22"/>
  <c r="S32" i="22"/>
  <c r="R32" i="22"/>
  <c r="Q32" i="22"/>
  <c r="P32" i="22"/>
  <c r="S31" i="22"/>
  <c r="R31" i="22"/>
  <c r="Q31" i="22"/>
  <c r="P31" i="22"/>
  <c r="S30" i="22"/>
  <c r="R30" i="22"/>
  <c r="Q30" i="22"/>
  <c r="P30" i="22"/>
  <c r="S29" i="22"/>
  <c r="R29" i="22"/>
  <c r="Q29" i="22"/>
  <c r="P29" i="22"/>
  <c r="S28" i="22"/>
  <c r="R28" i="22"/>
  <c r="Q28" i="22"/>
  <c r="P28" i="22"/>
  <c r="S27" i="22"/>
  <c r="R27" i="22"/>
  <c r="Q27" i="22"/>
  <c r="P27" i="22"/>
  <c r="S26" i="22"/>
  <c r="R26" i="22"/>
  <c r="Q26" i="22"/>
  <c r="P26" i="22"/>
  <c r="S25" i="22"/>
  <c r="R25" i="22"/>
  <c r="Q25" i="22"/>
  <c r="P25" i="22"/>
  <c r="S24" i="22"/>
  <c r="R24" i="22"/>
  <c r="Q24" i="22"/>
  <c r="P24" i="22"/>
  <c r="S23" i="22"/>
  <c r="R23" i="22"/>
  <c r="Q23" i="22"/>
  <c r="P23" i="22"/>
  <c r="S22" i="22"/>
  <c r="R22" i="22"/>
  <c r="Q22" i="22"/>
  <c r="P22" i="22"/>
  <c r="S21" i="22"/>
  <c r="R21" i="22"/>
  <c r="Q21" i="22"/>
  <c r="P21" i="22"/>
  <c r="S20" i="22"/>
  <c r="R20" i="22"/>
  <c r="Q20" i="22"/>
  <c r="P20" i="22"/>
  <c r="S19" i="22"/>
  <c r="R19" i="22"/>
  <c r="Q19" i="22"/>
  <c r="P19" i="22"/>
  <c r="S18" i="22"/>
  <c r="R18" i="22"/>
  <c r="Q18" i="22"/>
  <c r="P18" i="22"/>
  <c r="S17" i="22"/>
  <c r="R17" i="22"/>
  <c r="Q17" i="22"/>
  <c r="P17" i="22"/>
  <c r="S16" i="22"/>
  <c r="R16" i="22"/>
  <c r="Q16" i="22"/>
  <c r="P16" i="22"/>
  <c r="S15" i="22"/>
  <c r="R15" i="22"/>
  <c r="Q15" i="22"/>
  <c r="P15" i="22"/>
  <c r="S14" i="22"/>
  <c r="R14" i="22"/>
  <c r="Q14" i="22"/>
  <c r="P14" i="22"/>
  <c r="S13" i="22"/>
  <c r="R13" i="22"/>
  <c r="Q13" i="22"/>
  <c r="P13" i="22"/>
  <c r="S12" i="22"/>
  <c r="R12" i="22"/>
  <c r="Q12" i="22"/>
  <c r="P12" i="22"/>
  <c r="S11" i="22"/>
  <c r="R11" i="22"/>
  <c r="Q11" i="22"/>
  <c r="P11" i="22"/>
  <c r="F42" i="21"/>
  <c r="R39" i="21"/>
  <c r="Q39" i="21"/>
  <c r="P39" i="21"/>
  <c r="R38" i="21"/>
  <c r="Q38" i="21"/>
  <c r="P38" i="21"/>
  <c r="R37" i="21"/>
  <c r="Q37" i="21"/>
  <c r="P37" i="21"/>
  <c r="R36" i="21"/>
  <c r="Q36" i="21"/>
  <c r="R35" i="21"/>
  <c r="Q35" i="21"/>
  <c r="R34" i="21"/>
  <c r="Q34" i="21"/>
  <c r="P34" i="21"/>
  <c r="R33" i="21"/>
  <c r="Q33" i="21"/>
  <c r="P33" i="21"/>
  <c r="R32" i="21"/>
  <c r="Q32" i="21"/>
  <c r="Q31" i="21"/>
  <c r="P31" i="21"/>
  <c r="R31" i="21"/>
  <c r="R30" i="21"/>
  <c r="Q30" i="21"/>
  <c r="P30" i="21"/>
  <c r="R29" i="21"/>
  <c r="Q29" i="21"/>
  <c r="P29" i="21"/>
  <c r="R28" i="21"/>
  <c r="Q28" i="21"/>
  <c r="P28" i="21"/>
  <c r="R27" i="21"/>
  <c r="Q27" i="21"/>
  <c r="P27" i="21"/>
  <c r="R26" i="21"/>
  <c r="Q26" i="21"/>
  <c r="R25" i="21"/>
  <c r="Q25" i="21"/>
  <c r="P25" i="21"/>
  <c r="R24" i="21"/>
  <c r="Q24" i="21"/>
  <c r="P24" i="21"/>
  <c r="R23" i="21"/>
  <c r="Q23" i="21"/>
  <c r="P23" i="21"/>
  <c r="R22" i="21"/>
  <c r="Q22" i="21"/>
  <c r="P21" i="21"/>
  <c r="R21" i="21"/>
  <c r="Q21" i="21"/>
  <c r="R20" i="21"/>
  <c r="Q20" i="21"/>
  <c r="P20" i="21"/>
  <c r="R19" i="21"/>
  <c r="Q19" i="21"/>
  <c r="P19" i="21"/>
  <c r="R17" i="21"/>
  <c r="P14" i="21"/>
  <c r="P12" i="21"/>
  <c r="R12" i="21"/>
  <c r="Q12" i="21"/>
  <c r="M41" i="21" l="1"/>
  <c r="R36" i="22"/>
  <c r="G36" i="22" s="1"/>
  <c r="P36" i="22"/>
  <c r="E36" i="22" s="1"/>
  <c r="Q36" i="22"/>
  <c r="F36" i="22" s="1"/>
  <c r="T11" i="22"/>
  <c r="U11" i="22" s="1"/>
  <c r="I11" i="22" s="1"/>
  <c r="T13" i="22"/>
  <c r="U13" i="22" s="1"/>
  <c r="I13" i="22" s="1"/>
  <c r="T14" i="22"/>
  <c r="U14" i="22" s="1"/>
  <c r="I14" i="22" s="1"/>
  <c r="T15" i="22"/>
  <c r="U15" i="22" s="1"/>
  <c r="I15" i="22" s="1"/>
  <c r="T16" i="22"/>
  <c r="U16" i="22" s="1"/>
  <c r="I16" i="22" s="1"/>
  <c r="T17" i="22"/>
  <c r="U17" i="22" s="1"/>
  <c r="I17" i="22" s="1"/>
  <c r="T18" i="22"/>
  <c r="U18" i="22" s="1"/>
  <c r="I18" i="22" s="1"/>
  <c r="T19" i="22"/>
  <c r="U19" i="22" s="1"/>
  <c r="I19" i="22" s="1"/>
  <c r="T20" i="22"/>
  <c r="U20" i="22" s="1"/>
  <c r="I20" i="22" s="1"/>
  <c r="T21" i="22"/>
  <c r="U21" i="22" s="1"/>
  <c r="I21" i="22" s="1"/>
  <c r="T22" i="22"/>
  <c r="U22" i="22" s="1"/>
  <c r="I22" i="22" s="1"/>
  <c r="T23" i="22"/>
  <c r="U23" i="22" s="1"/>
  <c r="I23" i="22" s="1"/>
  <c r="T24" i="22"/>
  <c r="U24" i="22" s="1"/>
  <c r="I24" i="22" s="1"/>
  <c r="T25" i="22"/>
  <c r="U25" i="22" s="1"/>
  <c r="I25" i="22" s="1"/>
  <c r="T26" i="22"/>
  <c r="U26" i="22" s="1"/>
  <c r="I26" i="22" s="1"/>
  <c r="T27" i="22"/>
  <c r="U27" i="22" s="1"/>
  <c r="I27" i="22" s="1"/>
  <c r="T28" i="22"/>
  <c r="U28" i="22" s="1"/>
  <c r="I28" i="22" s="1"/>
  <c r="T29" i="22"/>
  <c r="U29" i="22" s="1"/>
  <c r="I29" i="22" s="1"/>
  <c r="T30" i="22"/>
  <c r="U30" i="22" s="1"/>
  <c r="I30" i="22" s="1"/>
  <c r="T31" i="22"/>
  <c r="U31" i="22" s="1"/>
  <c r="I31" i="22" s="1"/>
  <c r="T32" i="22"/>
  <c r="U32" i="22" s="1"/>
  <c r="I32" i="22" s="1"/>
  <c r="T33" i="22"/>
  <c r="U33" i="22" s="1"/>
  <c r="I33" i="22" s="1"/>
  <c r="T34" i="22"/>
  <c r="U34" i="22" s="1"/>
  <c r="I34" i="22" s="1"/>
  <c r="T12" i="22"/>
  <c r="U12" i="22" s="1"/>
  <c r="I12" i="22" s="1"/>
  <c r="S36" i="22"/>
  <c r="T38" i="21"/>
  <c r="S31" i="21"/>
  <c r="T14" i="21"/>
  <c r="T30" i="21"/>
  <c r="T15" i="21"/>
  <c r="S18" i="21"/>
  <c r="S22" i="21"/>
  <c r="S35" i="21"/>
  <c r="S38" i="21"/>
  <c r="T31" i="21"/>
  <c r="U31" i="21" s="1"/>
  <c r="I31" i="21" s="1"/>
  <c r="T39" i="21"/>
  <c r="S26" i="21"/>
  <c r="S30" i="21"/>
  <c r="T25" i="21"/>
  <c r="T27" i="21"/>
  <c r="T34" i="21"/>
  <c r="T37" i="21"/>
  <c r="S39" i="21"/>
  <c r="T12" i="21"/>
  <c r="T17" i="21"/>
  <c r="T19" i="21"/>
  <c r="N41" i="21"/>
  <c r="S12" i="21"/>
  <c r="T21" i="21"/>
  <c r="T23" i="21"/>
  <c r="O41" i="21"/>
  <c r="R11" i="21"/>
  <c r="R41" i="21" s="1"/>
  <c r="P11" i="21"/>
  <c r="T13" i="21"/>
  <c r="T16" i="21"/>
  <c r="T20" i="21"/>
  <c r="T24" i="21"/>
  <c r="T28" i="21"/>
  <c r="T29" i="21"/>
  <c r="P36" i="21"/>
  <c r="T36" i="21" s="1"/>
  <c r="S36" i="21"/>
  <c r="S37" i="21"/>
  <c r="S11" i="21"/>
  <c r="S13" i="21"/>
  <c r="S16" i="21"/>
  <c r="P18" i="21"/>
  <c r="T18" i="21" s="1"/>
  <c r="S20" i="21"/>
  <c r="P22" i="21"/>
  <c r="T22" i="21" s="1"/>
  <c r="S24" i="21"/>
  <c r="P26" i="21"/>
  <c r="T26" i="21" s="1"/>
  <c r="S28" i="21"/>
  <c r="P32" i="21"/>
  <c r="T32" i="21" s="1"/>
  <c r="S32" i="21"/>
  <c r="S33" i="21"/>
  <c r="S34" i="21"/>
  <c r="S14" i="21"/>
  <c r="S17" i="21"/>
  <c r="S21" i="21"/>
  <c r="S25" i="21"/>
  <c r="S29" i="21"/>
  <c r="Q41" i="21"/>
  <c r="S15" i="21"/>
  <c r="S19" i="21"/>
  <c r="S23" i="21"/>
  <c r="S27" i="21"/>
  <c r="T33" i="21"/>
  <c r="P35" i="21"/>
  <c r="T35" i="21" s="1"/>
  <c r="N39" i="20"/>
  <c r="U26" i="21" l="1"/>
  <c r="I26" i="21" s="1"/>
  <c r="T36" i="22"/>
  <c r="U36" i="22" s="1"/>
  <c r="I36" i="22" s="1"/>
  <c r="U38" i="21"/>
  <c r="I38" i="21" s="1"/>
  <c r="U33" i="21"/>
  <c r="I33" i="21" s="1"/>
  <c r="U30" i="21"/>
  <c r="I30" i="21" s="1"/>
  <c r="U15" i="21"/>
  <c r="I15" i="21" s="1"/>
  <c r="F41" i="21"/>
  <c r="I37" i="22"/>
  <c r="U35" i="21"/>
  <c r="I35" i="21" s="1"/>
  <c r="U25" i="21"/>
  <c r="I25" i="21" s="1"/>
  <c r="U34" i="21"/>
  <c r="I34" i="21" s="1"/>
  <c r="U37" i="21"/>
  <c r="I37" i="21" s="1"/>
  <c r="U27" i="21"/>
  <c r="I27" i="21" s="1"/>
  <c r="U24" i="21"/>
  <c r="I24" i="21" s="1"/>
  <c r="U14" i="21"/>
  <c r="I14" i="21" s="1"/>
  <c r="U32" i="21"/>
  <c r="I32" i="21" s="1"/>
  <c r="U22" i="21"/>
  <c r="I22" i="21" s="1"/>
  <c r="S41" i="21"/>
  <c r="U36" i="21"/>
  <c r="I36" i="21" s="1"/>
  <c r="U18" i="21"/>
  <c r="I18" i="21" s="1"/>
  <c r="U39" i="21"/>
  <c r="I39" i="21" s="1"/>
  <c r="U16" i="21"/>
  <c r="I16" i="21" s="1"/>
  <c r="U20" i="21"/>
  <c r="I20" i="21" s="1"/>
  <c r="U28" i="21"/>
  <c r="I28" i="21" s="1"/>
  <c r="U13" i="21"/>
  <c r="I13" i="21" s="1"/>
  <c r="U23" i="21"/>
  <c r="I23" i="21" s="1"/>
  <c r="U19" i="21"/>
  <c r="I19" i="21" s="1"/>
  <c r="T11" i="21"/>
  <c r="U11" i="21" s="1"/>
  <c r="I11" i="21" s="1"/>
  <c r="P41" i="21"/>
  <c r="G41" i="21"/>
  <c r="U21" i="21"/>
  <c r="I21" i="21" s="1"/>
  <c r="U17" i="21"/>
  <c r="I17" i="21" s="1"/>
  <c r="U12" i="21"/>
  <c r="I12" i="21" s="1"/>
  <c r="U29" i="21"/>
  <c r="I29" i="21" s="1"/>
  <c r="P40" i="20"/>
  <c r="Q40" i="20"/>
  <c r="R40" i="20"/>
  <c r="S40" i="20"/>
  <c r="O44" i="20"/>
  <c r="N44" i="20"/>
  <c r="M44" i="20"/>
  <c r="O43" i="20"/>
  <c r="N43" i="20"/>
  <c r="M43" i="20"/>
  <c r="O42" i="20"/>
  <c r="N42" i="20"/>
  <c r="M42" i="20"/>
  <c r="O41" i="20"/>
  <c r="N41" i="20"/>
  <c r="M41" i="20"/>
  <c r="O39" i="20"/>
  <c r="M39" i="20"/>
  <c r="O38" i="20"/>
  <c r="N38" i="20"/>
  <c r="M38" i="20"/>
  <c r="O35" i="20"/>
  <c r="N35" i="20"/>
  <c r="M35" i="20"/>
  <c r="O34" i="20"/>
  <c r="N34" i="20"/>
  <c r="M34" i="20"/>
  <c r="T40" i="20" l="1"/>
  <c r="U40" i="20"/>
  <c r="T41" i="21"/>
  <c r="U41" i="21" s="1"/>
  <c r="I41" i="21" s="1"/>
  <c r="E41" i="21"/>
  <c r="I42" i="21"/>
  <c r="O33" i="20"/>
  <c r="N33" i="20"/>
  <c r="M33" i="20"/>
  <c r="O32" i="20"/>
  <c r="N32" i="20"/>
  <c r="M32" i="20"/>
  <c r="O31" i="20"/>
  <c r="N31" i="20"/>
  <c r="M31" i="20"/>
  <c r="O37" i="20"/>
  <c r="N37" i="20"/>
  <c r="M37" i="20"/>
  <c r="O36" i="20"/>
  <c r="N36" i="20"/>
  <c r="M36" i="20"/>
  <c r="M29" i="20" l="1"/>
  <c r="O29" i="20"/>
  <c r="N29" i="20"/>
  <c r="O28" i="20"/>
  <c r="N28" i="20"/>
  <c r="M28" i="20"/>
  <c r="O27" i="20"/>
  <c r="N27" i="20"/>
  <c r="M27" i="20"/>
  <c r="O26" i="20"/>
  <c r="N26" i="20"/>
  <c r="M26" i="20"/>
  <c r="O30" i="20" l="1"/>
  <c r="N30" i="20"/>
  <c r="M30" i="20"/>
  <c r="E47" i="20"/>
  <c r="O25" i="20"/>
  <c r="N25" i="20"/>
  <c r="M25" i="20"/>
  <c r="O24" i="20"/>
  <c r="N24" i="20"/>
  <c r="M24" i="20"/>
  <c r="O23" i="20"/>
  <c r="N23" i="20"/>
  <c r="M23" i="20"/>
  <c r="O22" i="20"/>
  <c r="N22" i="20"/>
  <c r="M22" i="20"/>
  <c r="O21" i="20"/>
  <c r="N21" i="20"/>
  <c r="M21" i="20"/>
  <c r="O20" i="20"/>
  <c r="N20" i="20"/>
  <c r="M20" i="20"/>
  <c r="O19" i="20"/>
  <c r="N19" i="20"/>
  <c r="M19" i="20"/>
  <c r="O18" i="20" l="1"/>
  <c r="N18" i="20"/>
  <c r="M18" i="20"/>
  <c r="O17" i="20"/>
  <c r="N17" i="20"/>
  <c r="M17" i="20"/>
  <c r="O16" i="20"/>
  <c r="N16" i="20"/>
  <c r="M16" i="20"/>
  <c r="O15" i="20"/>
  <c r="N15" i="20"/>
  <c r="M15" i="20"/>
  <c r="O14" i="20"/>
  <c r="N14" i="20"/>
  <c r="M14" i="20"/>
  <c r="O13" i="20"/>
  <c r="N13" i="20"/>
  <c r="M13" i="20"/>
  <c r="O12" i="20"/>
  <c r="N12" i="20"/>
  <c r="M12" i="20"/>
  <c r="O11" i="20" l="1"/>
  <c r="N11" i="20"/>
  <c r="M11" i="20"/>
  <c r="P11" i="20" s="1"/>
  <c r="G47" i="20"/>
  <c r="F47" i="20"/>
  <c r="Q44" i="20"/>
  <c r="R44" i="20"/>
  <c r="P44" i="20"/>
  <c r="R43" i="20"/>
  <c r="P43" i="20"/>
  <c r="Q43" i="20"/>
  <c r="S43" i="20"/>
  <c r="Q42" i="20"/>
  <c r="R42" i="20"/>
  <c r="P42" i="20"/>
  <c r="R41" i="20"/>
  <c r="P41" i="20"/>
  <c r="Q41" i="20"/>
  <c r="R39" i="20"/>
  <c r="P39" i="20"/>
  <c r="Q39" i="20"/>
  <c r="S39" i="20"/>
  <c r="Q38" i="20"/>
  <c r="R38" i="20"/>
  <c r="P38" i="20"/>
  <c r="R37" i="20"/>
  <c r="P37" i="20"/>
  <c r="Q37" i="20"/>
  <c r="Q36" i="20"/>
  <c r="R36" i="20"/>
  <c r="P36" i="20"/>
  <c r="R35" i="20"/>
  <c r="P35" i="20"/>
  <c r="Q35" i="20"/>
  <c r="S35" i="20"/>
  <c r="Q34" i="20"/>
  <c r="R34" i="20"/>
  <c r="P34" i="20"/>
  <c r="R33" i="20"/>
  <c r="P33" i="20"/>
  <c r="Q33" i="20"/>
  <c r="S32" i="20"/>
  <c r="Q32" i="20"/>
  <c r="R32" i="20"/>
  <c r="P32" i="20"/>
  <c r="R31" i="20"/>
  <c r="P31" i="20"/>
  <c r="Q31" i="20"/>
  <c r="S31" i="20"/>
  <c r="Q30" i="20"/>
  <c r="R30" i="20"/>
  <c r="P30" i="20"/>
  <c r="R29" i="20"/>
  <c r="P29" i="20"/>
  <c r="Q29" i="20"/>
  <c r="Q28" i="20"/>
  <c r="R28" i="20"/>
  <c r="P28" i="20"/>
  <c r="R27" i="20"/>
  <c r="P27" i="20"/>
  <c r="Q27" i="20"/>
  <c r="S27" i="20"/>
  <c r="Q26" i="20"/>
  <c r="R26" i="20"/>
  <c r="P26" i="20"/>
  <c r="R25" i="20"/>
  <c r="P25" i="20"/>
  <c r="Q25" i="20"/>
  <c r="Q24" i="20"/>
  <c r="R24" i="20"/>
  <c r="P24" i="20"/>
  <c r="R23" i="20"/>
  <c r="P23" i="20"/>
  <c r="Q23" i="20"/>
  <c r="S23" i="20"/>
  <c r="Q22" i="20"/>
  <c r="R22" i="20"/>
  <c r="P22" i="20"/>
  <c r="R21" i="20"/>
  <c r="P21" i="20"/>
  <c r="Q21" i="20"/>
  <c r="Q20" i="20"/>
  <c r="P20" i="20"/>
  <c r="R19" i="20"/>
  <c r="P19" i="20"/>
  <c r="Q19" i="20"/>
  <c r="S19" i="20"/>
  <c r="Q18" i="20"/>
  <c r="R18" i="20"/>
  <c r="R17" i="20"/>
  <c r="P17" i="20"/>
  <c r="Q17" i="20"/>
  <c r="S16" i="20"/>
  <c r="Q16" i="20"/>
  <c r="R16" i="20"/>
  <c r="P16" i="20"/>
  <c r="R15" i="20"/>
  <c r="P15" i="20"/>
  <c r="Q15" i="20"/>
  <c r="S15" i="20"/>
  <c r="Q14" i="20"/>
  <c r="R14" i="20"/>
  <c r="R13" i="20"/>
  <c r="P13" i="20"/>
  <c r="Q13" i="20"/>
  <c r="S12" i="20"/>
  <c r="Q12" i="20"/>
  <c r="P12" i="20"/>
  <c r="R11" i="20"/>
  <c r="T13" i="20" l="1"/>
  <c r="T16" i="20"/>
  <c r="U16" i="20" s="1"/>
  <c r="I16" i="20" s="1"/>
  <c r="T17" i="20"/>
  <c r="T22" i="20"/>
  <c r="T25" i="20"/>
  <c r="T30" i="20"/>
  <c r="T36" i="20"/>
  <c r="T39" i="20"/>
  <c r="U39" i="20" s="1"/>
  <c r="I39" i="20" s="1"/>
  <c r="T44" i="20"/>
  <c r="T24" i="20"/>
  <c r="T27" i="20"/>
  <c r="U27" i="20" s="1"/>
  <c r="I27" i="20" s="1"/>
  <c r="T32" i="20"/>
  <c r="U32" i="20" s="1"/>
  <c r="I32" i="20" s="1"/>
  <c r="T33" i="20"/>
  <c r="T38" i="20"/>
  <c r="T41" i="20"/>
  <c r="T19" i="20"/>
  <c r="U19" i="20" s="1"/>
  <c r="I19" i="20" s="1"/>
  <c r="T15" i="20"/>
  <c r="U15" i="20" s="1"/>
  <c r="I15" i="20" s="1"/>
  <c r="R20" i="20"/>
  <c r="T20" i="20" s="1"/>
  <c r="S20" i="20"/>
  <c r="T26" i="20"/>
  <c r="T29" i="20"/>
  <c r="S11" i="20"/>
  <c r="R12" i="20"/>
  <c r="T12" i="20" s="1"/>
  <c r="U12" i="20" s="1"/>
  <c r="I12" i="20" s="1"/>
  <c r="O46" i="20"/>
  <c r="T23" i="20"/>
  <c r="U23" i="20" s="1"/>
  <c r="I23" i="20" s="1"/>
  <c r="T28" i="20"/>
  <c r="T31" i="20"/>
  <c r="U31" i="20" s="1"/>
  <c r="I31" i="20" s="1"/>
  <c r="T34" i="20"/>
  <c r="T37" i="20"/>
  <c r="T42" i="20"/>
  <c r="N46" i="20"/>
  <c r="Q11" i="20"/>
  <c r="Q46" i="20" s="1"/>
  <c r="P18" i="20"/>
  <c r="T18" i="20" s="1"/>
  <c r="S18" i="20"/>
  <c r="P14" i="20"/>
  <c r="T14" i="20" s="1"/>
  <c r="S14" i="20"/>
  <c r="M46" i="20"/>
  <c r="T21" i="20"/>
  <c r="T35" i="20"/>
  <c r="U35" i="20" s="1"/>
  <c r="I35" i="20" s="1"/>
  <c r="T43" i="20"/>
  <c r="U43" i="20" s="1"/>
  <c r="I43" i="20" s="1"/>
  <c r="S36" i="20"/>
  <c r="S44" i="20"/>
  <c r="S22" i="20"/>
  <c r="S26" i="20"/>
  <c r="S30" i="20"/>
  <c r="S34" i="20"/>
  <c r="S38" i="20"/>
  <c r="S42" i="20"/>
  <c r="S24" i="20"/>
  <c r="S28" i="20"/>
  <c r="S13" i="20"/>
  <c r="S17" i="20"/>
  <c r="S21" i="20"/>
  <c r="S25" i="20"/>
  <c r="S29" i="20"/>
  <c r="S33" i="20"/>
  <c r="S37" i="20"/>
  <c r="S41" i="20"/>
  <c r="O35" i="19"/>
  <c r="N35" i="19"/>
  <c r="M35" i="19"/>
  <c r="O26" i="19"/>
  <c r="N26" i="19"/>
  <c r="M26" i="19"/>
  <c r="U36" i="20" l="1"/>
  <c r="I36" i="20" s="1"/>
  <c r="J32" i="23"/>
  <c r="J43" i="23"/>
  <c r="J15" i="23"/>
  <c r="J27" i="23"/>
  <c r="J12" i="23"/>
  <c r="J35" i="23"/>
  <c r="J19" i="23"/>
  <c r="J31" i="23"/>
  <c r="J36" i="23"/>
  <c r="J16" i="23"/>
  <c r="J39" i="23"/>
  <c r="J23" i="23"/>
  <c r="U38" i="20"/>
  <c r="I38" i="20" s="1"/>
  <c r="U33" i="20"/>
  <c r="I33" i="20" s="1"/>
  <c r="U25" i="20"/>
  <c r="I25" i="20" s="1"/>
  <c r="U22" i="20"/>
  <c r="I22" i="20" s="1"/>
  <c r="U17" i="20"/>
  <c r="I17" i="20" s="1"/>
  <c r="U13" i="20"/>
  <c r="I13" i="20" s="1"/>
  <c r="F46" i="20"/>
  <c r="U34" i="20"/>
  <c r="I34" i="20" s="1"/>
  <c r="U41" i="20"/>
  <c r="I41" i="20" s="1"/>
  <c r="U44" i="20"/>
  <c r="I44" i="20" s="1"/>
  <c r="U28" i="20"/>
  <c r="I28" i="20" s="1"/>
  <c r="U20" i="20"/>
  <c r="I20" i="20" s="1"/>
  <c r="U24" i="20"/>
  <c r="I24" i="20" s="1"/>
  <c r="U30" i="20"/>
  <c r="I30" i="20" s="1"/>
  <c r="R46" i="20"/>
  <c r="G46" i="20" s="1"/>
  <c r="U26" i="20"/>
  <c r="I26" i="20" s="1"/>
  <c r="T11" i="20"/>
  <c r="U11" i="20" s="1"/>
  <c r="I11" i="20" s="1"/>
  <c r="S46" i="20"/>
  <c r="U18" i="20"/>
  <c r="I18" i="20" s="1"/>
  <c r="U37" i="20"/>
  <c r="I37" i="20" s="1"/>
  <c r="P46" i="20"/>
  <c r="E46" i="20" s="1"/>
  <c r="U14" i="20"/>
  <c r="I14" i="20" s="1"/>
  <c r="U29" i="20"/>
  <c r="I29" i="20" s="1"/>
  <c r="U21" i="20"/>
  <c r="I21" i="20" s="1"/>
  <c r="U42" i="20"/>
  <c r="I42" i="20" s="1"/>
  <c r="O44" i="19"/>
  <c r="N44" i="19"/>
  <c r="M44" i="19"/>
  <c r="O43" i="19"/>
  <c r="N43" i="19"/>
  <c r="M43" i="19"/>
  <c r="O42" i="19"/>
  <c r="N42" i="19"/>
  <c r="M42" i="19"/>
  <c r="O40" i="19"/>
  <c r="N40" i="19"/>
  <c r="M40" i="19"/>
  <c r="O41" i="19"/>
  <c r="N41" i="19"/>
  <c r="M41" i="19"/>
  <c r="O36" i="19"/>
  <c r="N36" i="19"/>
  <c r="M36" i="19"/>
  <c r="O34" i="19"/>
  <c r="N34" i="19"/>
  <c r="M34" i="19"/>
  <c r="O33" i="19"/>
  <c r="N33" i="19"/>
  <c r="M33" i="19"/>
  <c r="O32" i="19"/>
  <c r="N32" i="19"/>
  <c r="M32" i="19"/>
  <c r="O31" i="19"/>
  <c r="N31" i="19"/>
  <c r="M31" i="19"/>
  <c r="J21" i="23" l="1"/>
  <c r="J20" i="23"/>
  <c r="J13" i="23"/>
  <c r="J11" i="23"/>
  <c r="J28" i="23"/>
  <c r="J17" i="23"/>
  <c r="J14" i="23"/>
  <c r="J26" i="23"/>
  <c r="J44" i="23"/>
  <c r="J22" i="23"/>
  <c r="J41" i="23"/>
  <c r="J25" i="23"/>
  <c r="J29" i="23"/>
  <c r="J37" i="23"/>
  <c r="J30" i="23"/>
  <c r="J34" i="23"/>
  <c r="J33" i="23"/>
  <c r="J42" i="23"/>
  <c r="J18" i="23"/>
  <c r="J24" i="23"/>
  <c r="J38" i="23"/>
  <c r="T46" i="20"/>
  <c r="U46" i="20" s="1"/>
  <c r="I46" i="20" s="1"/>
  <c r="I47" i="20"/>
  <c r="O38" i="19"/>
  <c r="N38" i="19"/>
  <c r="M38" i="19"/>
  <c r="O39" i="19"/>
  <c r="N39" i="19"/>
  <c r="M39" i="19"/>
  <c r="O37" i="19"/>
  <c r="N37" i="19"/>
  <c r="M37" i="19"/>
  <c r="J47" i="23" l="1"/>
  <c r="J46" i="23"/>
  <c r="O29" i="19"/>
  <c r="N29" i="19"/>
  <c r="M29" i="19"/>
  <c r="O28" i="19"/>
  <c r="N28" i="19"/>
  <c r="M28" i="19"/>
  <c r="O27" i="19"/>
  <c r="N27" i="19"/>
  <c r="M27" i="19"/>
  <c r="O25" i="19"/>
  <c r="N25" i="19"/>
  <c r="M25" i="19"/>
  <c r="O24" i="19"/>
  <c r="N24" i="19"/>
  <c r="M24" i="19"/>
  <c r="O23" i="19"/>
  <c r="N23" i="19"/>
  <c r="M23" i="19"/>
  <c r="O22" i="19" l="1"/>
  <c r="N22" i="19"/>
  <c r="M22" i="19"/>
  <c r="O21" i="19"/>
  <c r="N21" i="19"/>
  <c r="M21" i="19"/>
  <c r="O20" i="19"/>
  <c r="N20" i="19"/>
  <c r="M20" i="19"/>
  <c r="O19" i="19"/>
  <c r="N19" i="19"/>
  <c r="M19" i="19"/>
  <c r="O18" i="19"/>
  <c r="N18" i="19"/>
  <c r="M18" i="19"/>
  <c r="O17" i="19"/>
  <c r="N17" i="19"/>
  <c r="M17" i="19"/>
  <c r="O16" i="19"/>
  <c r="N16" i="19"/>
  <c r="M16" i="19"/>
  <c r="O15" i="19"/>
  <c r="N15" i="19"/>
  <c r="M15" i="19"/>
  <c r="O14" i="19"/>
  <c r="N14" i="19"/>
  <c r="M14" i="19"/>
  <c r="O13" i="19"/>
  <c r="N13" i="19"/>
  <c r="M13" i="19"/>
  <c r="E47" i="19" l="1"/>
  <c r="O12" i="19"/>
  <c r="N12" i="19"/>
  <c r="M12" i="19"/>
  <c r="O11" i="19"/>
  <c r="N11" i="19"/>
  <c r="M11" i="19"/>
  <c r="O30" i="19"/>
  <c r="N30" i="19" l="1"/>
  <c r="M30" i="19"/>
  <c r="G47" i="19" l="1"/>
  <c r="F47" i="19"/>
  <c r="R44" i="19"/>
  <c r="S44" i="19"/>
  <c r="P44" i="19"/>
  <c r="R43" i="19"/>
  <c r="Q43" i="19"/>
  <c r="S43" i="19"/>
  <c r="Q42" i="19"/>
  <c r="P42" i="19"/>
  <c r="R42" i="19"/>
  <c r="S42" i="19"/>
  <c r="S41" i="19"/>
  <c r="P41" i="19"/>
  <c r="R41" i="19"/>
  <c r="Q41" i="19"/>
  <c r="R40" i="19"/>
  <c r="P40" i="19"/>
  <c r="R39" i="19"/>
  <c r="Q39" i="19"/>
  <c r="Q38" i="19"/>
  <c r="P38" i="19"/>
  <c r="R38" i="19"/>
  <c r="S38" i="19"/>
  <c r="S37" i="19"/>
  <c r="P37" i="19"/>
  <c r="R37" i="19"/>
  <c r="Q37" i="19"/>
  <c r="R36" i="19"/>
  <c r="Q36" i="19"/>
  <c r="P36" i="19"/>
  <c r="R35" i="19"/>
  <c r="Q35" i="19"/>
  <c r="Q34" i="19"/>
  <c r="P34" i="19"/>
  <c r="R34" i="19"/>
  <c r="S34" i="19"/>
  <c r="S33" i="19"/>
  <c r="P33" i="19"/>
  <c r="R33" i="19"/>
  <c r="Q33" i="19"/>
  <c r="R32" i="19"/>
  <c r="Q32" i="19"/>
  <c r="P32" i="19"/>
  <c r="R31" i="19"/>
  <c r="Q31" i="19"/>
  <c r="Q30" i="19"/>
  <c r="P30" i="19"/>
  <c r="R30" i="19"/>
  <c r="S30" i="19"/>
  <c r="S29" i="19"/>
  <c r="P29" i="19"/>
  <c r="R29" i="19"/>
  <c r="Q29" i="19"/>
  <c r="R28" i="19"/>
  <c r="Q28" i="19"/>
  <c r="P28" i="19"/>
  <c r="R27" i="19"/>
  <c r="Q27" i="19"/>
  <c r="Q26" i="19"/>
  <c r="P26" i="19"/>
  <c r="R26" i="19"/>
  <c r="S26" i="19"/>
  <c r="S25" i="19"/>
  <c r="P25" i="19"/>
  <c r="R25" i="19"/>
  <c r="Q25" i="19"/>
  <c r="R24" i="19"/>
  <c r="Q24" i="19"/>
  <c r="P24" i="19"/>
  <c r="R23" i="19"/>
  <c r="Q23" i="19"/>
  <c r="Q22" i="19"/>
  <c r="P22" i="19"/>
  <c r="R22" i="19"/>
  <c r="S22" i="19"/>
  <c r="S21" i="19"/>
  <c r="P21" i="19"/>
  <c r="R21" i="19"/>
  <c r="Q21" i="19"/>
  <c r="R20" i="19"/>
  <c r="Q20" i="19"/>
  <c r="P20" i="19"/>
  <c r="R19" i="19"/>
  <c r="Q19" i="19"/>
  <c r="Q18" i="19"/>
  <c r="P18" i="19"/>
  <c r="R18" i="19"/>
  <c r="S18" i="19"/>
  <c r="S17" i="19"/>
  <c r="P17" i="19"/>
  <c r="R17" i="19"/>
  <c r="Q17" i="19"/>
  <c r="R16" i="19"/>
  <c r="Q16" i="19"/>
  <c r="P16" i="19"/>
  <c r="R15" i="19"/>
  <c r="Q15" i="19"/>
  <c r="Q14" i="19"/>
  <c r="P14" i="19"/>
  <c r="R14" i="19"/>
  <c r="S14" i="19"/>
  <c r="P13" i="19"/>
  <c r="R13" i="19"/>
  <c r="Q13" i="19"/>
  <c r="R12" i="19"/>
  <c r="Q12" i="19"/>
  <c r="P12" i="19"/>
  <c r="R11" i="19"/>
  <c r="Q11" i="19"/>
  <c r="O46" i="19"/>
  <c r="T26" i="19" l="1"/>
  <c r="U26" i="19" s="1"/>
  <c r="I26" i="19" s="1"/>
  <c r="T34" i="19"/>
  <c r="U34" i="19" s="1"/>
  <c r="I34" i="19" s="1"/>
  <c r="T38" i="19"/>
  <c r="U38" i="19" s="1"/>
  <c r="I38" i="19" s="1"/>
  <c r="T22" i="19"/>
  <c r="U22" i="19" s="1"/>
  <c r="I22" i="19" s="1"/>
  <c r="T18" i="19"/>
  <c r="U18" i="19" s="1"/>
  <c r="I18" i="19" s="1"/>
  <c r="T30" i="19"/>
  <c r="U30" i="19" s="1"/>
  <c r="I30" i="19" s="1"/>
  <c r="T13" i="19"/>
  <c r="R46" i="19"/>
  <c r="G46" i="19" s="1"/>
  <c r="T14" i="19"/>
  <c r="U14" i="19" s="1"/>
  <c r="I14" i="19" s="1"/>
  <c r="T17" i="19"/>
  <c r="U17" i="19" s="1"/>
  <c r="I17" i="19" s="1"/>
  <c r="T21" i="19"/>
  <c r="U21" i="19" s="1"/>
  <c r="I21" i="19" s="1"/>
  <c r="T25" i="19"/>
  <c r="U25" i="19" s="1"/>
  <c r="I25" i="19" s="1"/>
  <c r="T29" i="19"/>
  <c r="U29" i="19" s="1"/>
  <c r="I29" i="19" s="1"/>
  <c r="T33" i="19"/>
  <c r="U33" i="19" s="1"/>
  <c r="I33" i="19" s="1"/>
  <c r="T37" i="19"/>
  <c r="U37" i="19" s="1"/>
  <c r="I37" i="19" s="1"/>
  <c r="S15" i="19"/>
  <c r="P15" i="19"/>
  <c r="T15" i="19" s="1"/>
  <c r="S19" i="19"/>
  <c r="P19" i="19"/>
  <c r="T19" i="19" s="1"/>
  <c r="S23" i="19"/>
  <c r="P23" i="19"/>
  <c r="T23" i="19" s="1"/>
  <c r="S27" i="19"/>
  <c r="P27" i="19"/>
  <c r="T27" i="19" s="1"/>
  <c r="S31" i="19"/>
  <c r="P31" i="19"/>
  <c r="T31" i="19" s="1"/>
  <c r="S35" i="19"/>
  <c r="P35" i="19"/>
  <c r="T35" i="19" s="1"/>
  <c r="N46" i="19"/>
  <c r="T41" i="19"/>
  <c r="U41" i="19" s="1"/>
  <c r="I41" i="19" s="1"/>
  <c r="S11" i="19"/>
  <c r="M46" i="19"/>
  <c r="P11" i="19"/>
  <c r="S13" i="19"/>
  <c r="S40" i="19"/>
  <c r="Q40" i="19"/>
  <c r="T12" i="19"/>
  <c r="S12" i="19"/>
  <c r="T16" i="19"/>
  <c r="S16" i="19"/>
  <c r="T20" i="19"/>
  <c r="S20" i="19"/>
  <c r="T24" i="19"/>
  <c r="S24" i="19"/>
  <c r="T28" i="19"/>
  <c r="S28" i="19"/>
  <c r="T32" i="19"/>
  <c r="S32" i="19"/>
  <c r="T36" i="19"/>
  <c r="S36" i="19"/>
  <c r="S39" i="19"/>
  <c r="P39" i="19"/>
  <c r="T39" i="19" s="1"/>
  <c r="T42" i="19"/>
  <c r="U42" i="19" s="1"/>
  <c r="I42" i="19" s="1"/>
  <c r="P43" i="19"/>
  <c r="T43" i="19" s="1"/>
  <c r="U43" i="19" s="1"/>
  <c r="I43" i="19" s="1"/>
  <c r="Q44" i="19"/>
  <c r="T44" i="19" s="1"/>
  <c r="U44" i="19" s="1"/>
  <c r="I44" i="19" s="1"/>
  <c r="O31" i="18"/>
  <c r="N31" i="18"/>
  <c r="M31" i="18"/>
  <c r="O37" i="18"/>
  <c r="N37" i="18"/>
  <c r="M37" i="18"/>
  <c r="U23" i="19" l="1"/>
  <c r="I23" i="19" s="1"/>
  <c r="J25" i="20"/>
  <c r="J30" i="20"/>
  <c r="J21" i="20"/>
  <c r="J18" i="20"/>
  <c r="J41" i="20"/>
  <c r="J17" i="20"/>
  <c r="J22" i="20"/>
  <c r="J44" i="20"/>
  <c r="J23" i="20"/>
  <c r="J37" i="20"/>
  <c r="J14" i="20"/>
  <c r="J38" i="20"/>
  <c r="J43" i="20"/>
  <c r="J33" i="20"/>
  <c r="J34" i="20"/>
  <c r="J42" i="20"/>
  <c r="J29" i="20"/>
  <c r="J26" i="20"/>
  <c r="U35" i="19"/>
  <c r="I35" i="19" s="1"/>
  <c r="Q46" i="19"/>
  <c r="F46" i="19" s="1"/>
  <c r="U31" i="19"/>
  <c r="I31" i="19" s="1"/>
  <c r="U27" i="19"/>
  <c r="I27" i="19" s="1"/>
  <c r="U19" i="19"/>
  <c r="I19" i="19" s="1"/>
  <c r="U15" i="19"/>
  <c r="I15" i="19" s="1"/>
  <c r="U13" i="19"/>
  <c r="I13" i="19" s="1"/>
  <c r="J13" i="20" s="1"/>
  <c r="S46" i="19"/>
  <c r="U32" i="19"/>
  <c r="I32" i="19" s="1"/>
  <c r="U24" i="19"/>
  <c r="I24" i="19" s="1"/>
  <c r="U16" i="19"/>
  <c r="I16" i="19" s="1"/>
  <c r="T40" i="19"/>
  <c r="U40" i="19" s="1"/>
  <c r="I40" i="19" s="1"/>
  <c r="U28" i="19"/>
  <c r="I28" i="19" s="1"/>
  <c r="U20" i="19"/>
  <c r="I20" i="19" s="1"/>
  <c r="U12" i="19"/>
  <c r="I12" i="19" s="1"/>
  <c r="U39" i="19"/>
  <c r="I39" i="19" s="1"/>
  <c r="P46" i="19"/>
  <c r="T11" i="19"/>
  <c r="U11" i="19" s="1"/>
  <c r="I11" i="19" s="1"/>
  <c r="U36" i="19"/>
  <c r="I36" i="19" s="1"/>
  <c r="AC42" i="17"/>
  <c r="AB42" i="17"/>
  <c r="AA42" i="17"/>
  <c r="AC41" i="17"/>
  <c r="AB41" i="17"/>
  <c r="AA41" i="17"/>
  <c r="AC40" i="17"/>
  <c r="AB40" i="17"/>
  <c r="AA40" i="17"/>
  <c r="AC39" i="17"/>
  <c r="AB39" i="17"/>
  <c r="AA39" i="17"/>
  <c r="AC35" i="17"/>
  <c r="AB35" i="17"/>
  <c r="AA35" i="17"/>
  <c r="AC34" i="17"/>
  <c r="AB34" i="17"/>
  <c r="AA34" i="17"/>
  <c r="AC37" i="17"/>
  <c r="AB37" i="17"/>
  <c r="AA37" i="17"/>
  <c r="AC33" i="17"/>
  <c r="AB33" i="17"/>
  <c r="AA33" i="17"/>
  <c r="AC32" i="17"/>
  <c r="AB32" i="17"/>
  <c r="AA32" i="17"/>
  <c r="AC31" i="17"/>
  <c r="AB31" i="17"/>
  <c r="AA31" i="17"/>
  <c r="AC38" i="17"/>
  <c r="AB38" i="17"/>
  <c r="AA38" i="17"/>
  <c r="AC30" i="17"/>
  <c r="AB30" i="17"/>
  <c r="AA30" i="17"/>
  <c r="AC29" i="17"/>
  <c r="AB29" i="17"/>
  <c r="AA29" i="17"/>
  <c r="AC28" i="17"/>
  <c r="AB28" i="17"/>
  <c r="AA28" i="17"/>
  <c r="AC26" i="17"/>
  <c r="AB26" i="17"/>
  <c r="AA26" i="17"/>
  <c r="AC27" i="17"/>
  <c r="AB27" i="17"/>
  <c r="AA27" i="17"/>
  <c r="AC25" i="17"/>
  <c r="AB25" i="17"/>
  <c r="AA25" i="17"/>
  <c r="AC24" i="17"/>
  <c r="AB24" i="17"/>
  <c r="AA24" i="17"/>
  <c r="AC22" i="17"/>
  <c r="AB22" i="17"/>
  <c r="AA22" i="17"/>
  <c r="AC23" i="17"/>
  <c r="AB23" i="17"/>
  <c r="AA23" i="17"/>
  <c r="AC36" i="17"/>
  <c r="AB36" i="17"/>
  <c r="AA36" i="17"/>
  <c r="AC21" i="17"/>
  <c r="AB21" i="17"/>
  <c r="AA21" i="17"/>
  <c r="AC20" i="17"/>
  <c r="AB20" i="17"/>
  <c r="AA20" i="17"/>
  <c r="AC19" i="17"/>
  <c r="AB19" i="17"/>
  <c r="AA19" i="17"/>
  <c r="AC18" i="17"/>
  <c r="AB18" i="17"/>
  <c r="AA18" i="17"/>
  <c r="AC17" i="17"/>
  <c r="AB17" i="17"/>
  <c r="AA17" i="17"/>
  <c r="AC16" i="17"/>
  <c r="AB16" i="17"/>
  <c r="AA16" i="17"/>
  <c r="AC15" i="17"/>
  <c r="AB15" i="17"/>
  <c r="AA15" i="17"/>
  <c r="AC14" i="17"/>
  <c r="AB14" i="17"/>
  <c r="AA14" i="17"/>
  <c r="AC13" i="17"/>
  <c r="AB13" i="17"/>
  <c r="AA13" i="17"/>
  <c r="AC12" i="17"/>
  <c r="AB12" i="17"/>
  <c r="AA12" i="17"/>
  <c r="AC11" i="17"/>
  <c r="AB11" i="17"/>
  <c r="AA11" i="17"/>
  <c r="J11" i="20" l="1"/>
  <c r="J15" i="20"/>
  <c r="J16" i="20"/>
  <c r="J19" i="20"/>
  <c r="J39" i="20"/>
  <c r="J24" i="20"/>
  <c r="J27" i="20"/>
  <c r="J12" i="20"/>
  <c r="J32" i="20"/>
  <c r="J31" i="20"/>
  <c r="J20" i="20"/>
  <c r="J36" i="20"/>
  <c r="J28" i="20"/>
  <c r="J35" i="20"/>
  <c r="I47" i="19"/>
  <c r="T46" i="19"/>
  <c r="U46" i="19" s="1"/>
  <c r="E46" i="19"/>
  <c r="Z45" i="17"/>
  <c r="Y45" i="17"/>
  <c r="X45" i="17"/>
  <c r="AG42" i="17"/>
  <c r="AF42" i="17"/>
  <c r="AE42" i="17"/>
  <c r="AD42" i="17"/>
  <c r="AG41" i="17"/>
  <c r="AF41" i="17"/>
  <c r="AE41" i="17"/>
  <c r="AD41" i="17"/>
  <c r="AG40" i="17"/>
  <c r="AF40" i="17"/>
  <c r="AE40" i="17"/>
  <c r="AD40" i="17"/>
  <c r="AG39" i="17"/>
  <c r="AF39" i="17"/>
  <c r="AE39" i="17"/>
  <c r="AD39" i="17"/>
  <c r="AG38" i="17"/>
  <c r="AF38" i="17"/>
  <c r="AE38" i="17"/>
  <c r="AD38" i="17"/>
  <c r="AG37" i="17"/>
  <c r="AF37" i="17"/>
  <c r="AE37" i="17"/>
  <c r="AD37" i="17"/>
  <c r="AG36" i="17"/>
  <c r="AF36" i="17"/>
  <c r="AE36" i="17"/>
  <c r="AD36" i="17"/>
  <c r="AG35" i="17"/>
  <c r="AF35" i="17"/>
  <c r="AE35" i="17"/>
  <c r="AD35" i="17"/>
  <c r="AG34" i="17"/>
  <c r="AF34" i="17"/>
  <c r="AE34" i="17"/>
  <c r="AD34" i="17"/>
  <c r="AG33" i="17"/>
  <c r="AF33" i="17"/>
  <c r="AE33" i="17"/>
  <c r="AD33" i="17"/>
  <c r="AG32" i="17"/>
  <c r="AF32" i="17"/>
  <c r="AE32" i="17"/>
  <c r="AD32" i="17"/>
  <c r="AG31" i="17"/>
  <c r="AF31" i="17"/>
  <c r="AE31" i="17"/>
  <c r="AD31" i="17"/>
  <c r="AG30" i="17"/>
  <c r="AF30" i="17"/>
  <c r="AE30" i="17"/>
  <c r="AD30" i="17"/>
  <c r="AG29" i="17"/>
  <c r="AF29" i="17"/>
  <c r="AE29" i="17"/>
  <c r="AD29" i="17"/>
  <c r="AG28" i="17"/>
  <c r="AF28" i="17"/>
  <c r="AE28" i="17"/>
  <c r="AD28" i="17"/>
  <c r="AG27" i="17"/>
  <c r="AF27" i="17"/>
  <c r="AE27" i="17"/>
  <c r="AD27" i="17"/>
  <c r="AG26" i="17"/>
  <c r="AF26" i="17"/>
  <c r="AE26" i="17"/>
  <c r="AD26" i="17"/>
  <c r="AG25" i="17"/>
  <c r="AF25" i="17"/>
  <c r="AE25" i="17"/>
  <c r="AD25" i="17"/>
  <c r="AG24" i="17"/>
  <c r="AF24" i="17"/>
  <c r="AE24" i="17"/>
  <c r="AD24" i="17"/>
  <c r="AG23" i="17"/>
  <c r="AF23" i="17"/>
  <c r="AE23" i="17"/>
  <c r="AD23" i="17"/>
  <c r="AG22" i="17"/>
  <c r="AF22" i="17"/>
  <c r="AE22" i="17"/>
  <c r="AD22" i="17"/>
  <c r="AG21" i="17"/>
  <c r="AF21" i="17"/>
  <c r="AE21" i="17"/>
  <c r="AD21" i="17"/>
  <c r="AG20" i="17"/>
  <c r="AF20" i="17"/>
  <c r="AE20" i="17"/>
  <c r="AD20" i="17"/>
  <c r="AG19" i="17"/>
  <c r="AF19" i="17"/>
  <c r="AE19" i="17"/>
  <c r="AD19" i="17"/>
  <c r="AG18" i="17"/>
  <c r="AF18" i="17"/>
  <c r="AE18" i="17"/>
  <c r="AD18" i="17"/>
  <c r="AG17" i="17"/>
  <c r="AF17" i="17"/>
  <c r="AE17" i="17"/>
  <c r="AD17" i="17"/>
  <c r="AG16" i="17"/>
  <c r="AF16" i="17"/>
  <c r="AE16" i="17"/>
  <c r="AD16" i="17"/>
  <c r="AG15" i="17"/>
  <c r="AF15" i="17"/>
  <c r="AE15" i="17"/>
  <c r="AD15" i="17"/>
  <c r="AG14" i="17"/>
  <c r="AF14" i="17"/>
  <c r="AE14" i="17"/>
  <c r="AD14" i="17"/>
  <c r="AG13" i="17"/>
  <c r="AF13" i="17"/>
  <c r="AE13" i="17"/>
  <c r="AD13" i="17"/>
  <c r="AG12" i="17"/>
  <c r="AF12" i="17"/>
  <c r="AE12" i="17"/>
  <c r="AD12" i="17"/>
  <c r="AG11" i="17"/>
  <c r="AF11" i="17"/>
  <c r="AE11" i="17"/>
  <c r="AD11" i="17"/>
  <c r="AC44" i="17"/>
  <c r="AB44" i="17"/>
  <c r="AA44" i="17"/>
  <c r="J47" i="20" l="1"/>
  <c r="AE44" i="17"/>
  <c r="I46" i="19"/>
  <c r="Y44" i="17"/>
  <c r="AH11" i="17"/>
  <c r="AI11" i="17" s="1"/>
  <c r="AG44" i="17"/>
  <c r="AH12" i="17"/>
  <c r="AI12" i="17" s="1"/>
  <c r="AH13" i="17"/>
  <c r="AI13" i="17" s="1"/>
  <c r="AH14" i="17"/>
  <c r="AI14" i="17" s="1"/>
  <c r="AH15" i="17"/>
  <c r="AI15" i="17" s="1"/>
  <c r="AH16" i="17"/>
  <c r="AI16" i="17" s="1"/>
  <c r="AH17" i="17"/>
  <c r="AI17" i="17" s="1"/>
  <c r="AH18" i="17"/>
  <c r="AI18" i="17" s="1"/>
  <c r="AH19" i="17"/>
  <c r="AI19" i="17" s="1"/>
  <c r="AH20" i="17"/>
  <c r="AI20" i="17" s="1"/>
  <c r="AH21" i="17"/>
  <c r="AI21" i="17" s="1"/>
  <c r="AH22" i="17"/>
  <c r="AI22" i="17" s="1"/>
  <c r="AH23" i="17"/>
  <c r="AI23" i="17" s="1"/>
  <c r="AH24" i="17"/>
  <c r="AI24" i="17" s="1"/>
  <c r="AH25" i="17"/>
  <c r="AI25" i="17" s="1"/>
  <c r="AH26" i="17"/>
  <c r="AI26" i="17" s="1"/>
  <c r="AH27" i="17"/>
  <c r="AI27" i="17" s="1"/>
  <c r="AH28" i="17"/>
  <c r="AI28" i="17" s="1"/>
  <c r="AH29" i="17"/>
  <c r="AI29" i="17" s="1"/>
  <c r="AH30" i="17"/>
  <c r="AI30" i="17" s="1"/>
  <c r="AH31" i="17"/>
  <c r="AI31" i="17" s="1"/>
  <c r="AH32" i="17"/>
  <c r="AI32" i="17" s="1"/>
  <c r="AH33" i="17"/>
  <c r="AI33" i="17" s="1"/>
  <c r="AH34" i="17"/>
  <c r="AI34" i="17" s="1"/>
  <c r="AH35" i="17"/>
  <c r="AI35" i="17" s="1"/>
  <c r="AH36" i="17"/>
  <c r="AI36" i="17" s="1"/>
  <c r="AH37" i="17"/>
  <c r="AI37" i="17" s="1"/>
  <c r="AH38" i="17"/>
  <c r="AI38" i="17" s="1"/>
  <c r="AH39" i="17"/>
  <c r="AI39" i="17" s="1"/>
  <c r="AH40" i="17"/>
  <c r="AI40" i="17" s="1"/>
  <c r="AH41" i="17"/>
  <c r="AI41" i="17" s="1"/>
  <c r="AH42" i="17"/>
  <c r="AI42" i="17" s="1"/>
  <c r="AF44" i="17"/>
  <c r="Z44" i="17" s="1"/>
  <c r="O44" i="18"/>
  <c r="N44" i="18"/>
  <c r="M44" i="18"/>
  <c r="O43" i="18"/>
  <c r="N43" i="18"/>
  <c r="M43" i="18"/>
  <c r="O42" i="18"/>
  <c r="N42" i="18"/>
  <c r="M42" i="18"/>
  <c r="O41" i="18"/>
  <c r="N41" i="18"/>
  <c r="M41" i="18"/>
  <c r="O40" i="18"/>
  <c r="N40" i="18"/>
  <c r="M40" i="18"/>
  <c r="O39" i="18"/>
  <c r="N39" i="18"/>
  <c r="M39" i="18"/>
  <c r="O38" i="18"/>
  <c r="N38" i="18"/>
  <c r="M38" i="18"/>
  <c r="O36" i="18"/>
  <c r="N36" i="18"/>
  <c r="M36" i="18"/>
  <c r="O35" i="18"/>
  <c r="N35" i="18"/>
  <c r="M35" i="18"/>
  <c r="N13" i="18"/>
  <c r="O34" i="18"/>
  <c r="N34" i="18"/>
  <c r="M34" i="18"/>
  <c r="O33" i="18"/>
  <c r="N33" i="18"/>
  <c r="M33" i="18"/>
  <c r="O32" i="18"/>
  <c r="N32" i="18"/>
  <c r="M32" i="18"/>
  <c r="O29" i="18"/>
  <c r="N29" i="18"/>
  <c r="M29" i="18"/>
  <c r="O28" i="18"/>
  <c r="N28" i="18"/>
  <c r="M28" i="18"/>
  <c r="O27" i="18"/>
  <c r="N27" i="18"/>
  <c r="M27" i="18"/>
  <c r="O26" i="18"/>
  <c r="N26" i="18"/>
  <c r="M26" i="18"/>
  <c r="O25" i="18"/>
  <c r="N25" i="18"/>
  <c r="M25" i="18"/>
  <c r="O24" i="18"/>
  <c r="N24" i="18"/>
  <c r="M24" i="18"/>
  <c r="N23" i="18"/>
  <c r="O23" i="18"/>
  <c r="M23" i="18"/>
  <c r="O22" i="18"/>
  <c r="N22" i="18"/>
  <c r="M22" i="18"/>
  <c r="O21" i="18"/>
  <c r="N21" i="18"/>
  <c r="M21" i="18"/>
  <c r="O20" i="18"/>
  <c r="N20" i="18"/>
  <c r="M20" i="18"/>
  <c r="O19" i="18"/>
  <c r="N19" i="18"/>
  <c r="M19" i="18"/>
  <c r="O18" i="18"/>
  <c r="N18" i="18"/>
  <c r="M18" i="18"/>
  <c r="O17" i="18"/>
  <c r="N17" i="18"/>
  <c r="M17" i="18"/>
  <c r="O16" i="18"/>
  <c r="N16" i="18"/>
  <c r="M16" i="18"/>
  <c r="S12" i="18"/>
  <c r="O15" i="18"/>
  <c r="N15" i="18"/>
  <c r="M15" i="18"/>
  <c r="O14" i="18"/>
  <c r="N14" i="18"/>
  <c r="M14" i="18"/>
  <c r="O13" i="18"/>
  <c r="M13" i="18"/>
  <c r="O12" i="18"/>
  <c r="R12" i="18" s="1"/>
  <c r="N12" i="18"/>
  <c r="M12" i="18"/>
  <c r="P12" i="18" s="1"/>
  <c r="O11" i="18"/>
  <c r="N11" i="18"/>
  <c r="M11" i="18"/>
  <c r="AI45" i="17" l="1"/>
  <c r="J46" i="20"/>
  <c r="AD44" i="17"/>
  <c r="O30" i="18"/>
  <c r="N30" i="18"/>
  <c r="Q30" i="18" s="1"/>
  <c r="M30" i="18"/>
  <c r="P30" i="18" s="1"/>
  <c r="G47" i="18"/>
  <c r="F47" i="18"/>
  <c r="E47" i="18"/>
  <c r="Q44" i="18"/>
  <c r="R44" i="18"/>
  <c r="P44" i="18"/>
  <c r="R43" i="18"/>
  <c r="P43" i="18"/>
  <c r="Q43" i="18"/>
  <c r="Q42" i="18"/>
  <c r="R42" i="18"/>
  <c r="P42" i="18"/>
  <c r="R41" i="18"/>
  <c r="P41" i="18"/>
  <c r="Q41" i="18"/>
  <c r="Q40" i="18"/>
  <c r="R40" i="18"/>
  <c r="P40" i="18"/>
  <c r="R39" i="18"/>
  <c r="P39" i="18"/>
  <c r="Q39" i="18"/>
  <c r="Q38" i="18"/>
  <c r="R38" i="18"/>
  <c r="P38" i="18"/>
  <c r="R37" i="18"/>
  <c r="P37" i="18"/>
  <c r="Q37" i="18"/>
  <c r="Q36" i="18"/>
  <c r="R36" i="18"/>
  <c r="P36" i="18"/>
  <c r="R35" i="18"/>
  <c r="P35" i="18"/>
  <c r="Q35" i="18"/>
  <c r="Q34" i="18"/>
  <c r="R34" i="18"/>
  <c r="P34" i="18"/>
  <c r="R33" i="18"/>
  <c r="P33" i="18"/>
  <c r="Q33" i="18"/>
  <c r="Q32" i="18"/>
  <c r="R32" i="18"/>
  <c r="P32" i="18"/>
  <c r="R31" i="18"/>
  <c r="P31" i="18"/>
  <c r="Q31" i="18"/>
  <c r="R30" i="18"/>
  <c r="R29" i="18"/>
  <c r="P29" i="18"/>
  <c r="Q29" i="18"/>
  <c r="Q28" i="18"/>
  <c r="R28" i="18"/>
  <c r="P28" i="18"/>
  <c r="R27" i="18"/>
  <c r="P27" i="18"/>
  <c r="Q27" i="18"/>
  <c r="Q26" i="18"/>
  <c r="R26" i="18"/>
  <c r="P26" i="18"/>
  <c r="R25" i="18"/>
  <c r="P25" i="18"/>
  <c r="Q25" i="18"/>
  <c r="S25" i="18"/>
  <c r="Q24" i="18"/>
  <c r="R24" i="18"/>
  <c r="P24" i="18"/>
  <c r="R23" i="18"/>
  <c r="P23" i="18"/>
  <c r="Q23" i="18"/>
  <c r="S23" i="18"/>
  <c r="Q22" i="18"/>
  <c r="R22" i="18"/>
  <c r="P22" i="18"/>
  <c r="R21" i="18"/>
  <c r="P21" i="18"/>
  <c r="Q21" i="18"/>
  <c r="S21" i="18"/>
  <c r="Q20" i="18"/>
  <c r="R20" i="18"/>
  <c r="P20" i="18"/>
  <c r="R19" i="18"/>
  <c r="P19" i="18"/>
  <c r="Q19" i="18"/>
  <c r="Q18" i="18"/>
  <c r="R18" i="18"/>
  <c r="P18" i="18"/>
  <c r="R17" i="18"/>
  <c r="P17" i="18"/>
  <c r="Q17" i="18"/>
  <c r="Q16" i="18"/>
  <c r="R16" i="18"/>
  <c r="P16" i="18"/>
  <c r="R15" i="18"/>
  <c r="P15" i="18"/>
  <c r="Q15" i="18"/>
  <c r="Q14" i="18"/>
  <c r="R14" i="18"/>
  <c r="P14" i="18"/>
  <c r="R13" i="18"/>
  <c r="P13" i="18"/>
  <c r="Q13" i="18"/>
  <c r="Q12" i="18"/>
  <c r="T12" i="18" s="1"/>
  <c r="Q11" i="18"/>
  <c r="O46" i="18"/>
  <c r="M46" i="18"/>
  <c r="AH44" i="17" l="1"/>
  <c r="AI44" i="17" s="1"/>
  <c r="X44" i="17"/>
  <c r="T23" i="18"/>
  <c r="U23" i="18" s="1"/>
  <c r="I23" i="18" s="1"/>
  <c r="T20" i="18"/>
  <c r="T19" i="18"/>
  <c r="T18" i="18"/>
  <c r="T17" i="18"/>
  <c r="T16" i="18"/>
  <c r="T13" i="18"/>
  <c r="T15" i="18"/>
  <c r="T14" i="18"/>
  <c r="T21" i="18"/>
  <c r="U21" i="18" s="1"/>
  <c r="I21" i="18" s="1"/>
  <c r="T25" i="18"/>
  <c r="U25" i="18" s="1"/>
  <c r="I25" i="18" s="1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Q46" i="18"/>
  <c r="S11" i="18"/>
  <c r="N46" i="18"/>
  <c r="S46" i="18" s="1"/>
  <c r="P11" i="18"/>
  <c r="R11" i="18"/>
  <c r="R46" i="18" s="1"/>
  <c r="G46" i="18" s="1"/>
  <c r="S13" i="18"/>
  <c r="S15" i="18"/>
  <c r="U15" i="18" s="1"/>
  <c r="I15" i="18" s="1"/>
  <c r="S17" i="18"/>
  <c r="U17" i="18" s="1"/>
  <c r="I17" i="18" s="1"/>
  <c r="S19" i="18"/>
  <c r="S26" i="18"/>
  <c r="S28" i="18"/>
  <c r="S30" i="18"/>
  <c r="S32" i="18"/>
  <c r="U12" i="18"/>
  <c r="I12" i="18" s="1"/>
  <c r="S14" i="18"/>
  <c r="S16" i="18"/>
  <c r="S18" i="18"/>
  <c r="S20" i="18"/>
  <c r="T22" i="18"/>
  <c r="S22" i="18"/>
  <c r="T24" i="18"/>
  <c r="S24" i="18"/>
  <c r="S27" i="18"/>
  <c r="S29" i="18"/>
  <c r="S31" i="18"/>
  <c r="S33" i="18"/>
  <c r="S35" i="18"/>
  <c r="S37" i="18"/>
  <c r="S39" i="18"/>
  <c r="S41" i="18"/>
  <c r="S43" i="18"/>
  <c r="S34" i="18"/>
  <c r="S36" i="18"/>
  <c r="S38" i="18"/>
  <c r="U38" i="18" s="1"/>
  <c r="I38" i="18" s="1"/>
  <c r="S40" i="18"/>
  <c r="S42" i="18"/>
  <c r="S44" i="18"/>
  <c r="O42" i="17"/>
  <c r="R42" i="17" s="1"/>
  <c r="N42" i="17"/>
  <c r="Q42" i="17" s="1"/>
  <c r="M42" i="17"/>
  <c r="P42" i="17" s="1"/>
  <c r="O41" i="17"/>
  <c r="R41" i="17" s="1"/>
  <c r="N41" i="17"/>
  <c r="Q41" i="17" s="1"/>
  <c r="M41" i="17"/>
  <c r="P41" i="17" s="1"/>
  <c r="O40" i="17"/>
  <c r="R40" i="17" s="1"/>
  <c r="N40" i="17"/>
  <c r="Q40" i="17" s="1"/>
  <c r="M40" i="17"/>
  <c r="P40" i="17" s="1"/>
  <c r="O39" i="17"/>
  <c r="R39" i="17" s="1"/>
  <c r="N39" i="17"/>
  <c r="Q39" i="17" s="1"/>
  <c r="M39" i="17"/>
  <c r="O38" i="17"/>
  <c r="R38" i="17" s="1"/>
  <c r="N38" i="17"/>
  <c r="Q38" i="17" s="1"/>
  <c r="M38" i="17"/>
  <c r="P38" i="17" s="1"/>
  <c r="O37" i="17"/>
  <c r="N37" i="17"/>
  <c r="M37" i="17"/>
  <c r="O36" i="17"/>
  <c r="R36" i="17" s="1"/>
  <c r="N36" i="17"/>
  <c r="Q36" i="17" s="1"/>
  <c r="M36" i="17"/>
  <c r="P36" i="17" s="1"/>
  <c r="O35" i="17"/>
  <c r="N35" i="17"/>
  <c r="M35" i="17"/>
  <c r="O34" i="17"/>
  <c r="R34" i="17" s="1"/>
  <c r="N34" i="17"/>
  <c r="Q34" i="17" s="1"/>
  <c r="M34" i="17"/>
  <c r="P34" i="17" s="1"/>
  <c r="O33" i="17"/>
  <c r="R33" i="17" s="1"/>
  <c r="N33" i="17"/>
  <c r="Q33" i="17" s="1"/>
  <c r="M33" i="17"/>
  <c r="P33" i="17" s="1"/>
  <c r="O32" i="17"/>
  <c r="R32" i="17" s="1"/>
  <c r="N32" i="17"/>
  <c r="Q32" i="17" s="1"/>
  <c r="M32" i="17"/>
  <c r="P32" i="17" s="1"/>
  <c r="O31" i="17"/>
  <c r="N31" i="17"/>
  <c r="M31" i="17"/>
  <c r="O30" i="17"/>
  <c r="R30" i="17" s="1"/>
  <c r="N30" i="17"/>
  <c r="Q30" i="17" s="1"/>
  <c r="M30" i="17"/>
  <c r="P30" i="17" s="1"/>
  <c r="O29" i="17"/>
  <c r="R29" i="17" s="1"/>
  <c r="N29" i="17"/>
  <c r="Q29" i="17" s="1"/>
  <c r="M29" i="17"/>
  <c r="P29" i="17" s="1"/>
  <c r="O28" i="17"/>
  <c r="R28" i="17" s="1"/>
  <c r="N28" i="17"/>
  <c r="Q28" i="17" s="1"/>
  <c r="M28" i="17"/>
  <c r="P28" i="17" s="1"/>
  <c r="O27" i="17"/>
  <c r="R27" i="17" s="1"/>
  <c r="N27" i="17"/>
  <c r="Q27" i="17" s="1"/>
  <c r="M27" i="17"/>
  <c r="P27" i="17" s="1"/>
  <c r="O26" i="17"/>
  <c r="R26" i="17" s="1"/>
  <c r="N26" i="17"/>
  <c r="Q26" i="17" s="1"/>
  <c r="M26" i="17"/>
  <c r="P26" i="17" s="1"/>
  <c r="O25" i="17"/>
  <c r="N25" i="17"/>
  <c r="M25" i="17"/>
  <c r="O24" i="17"/>
  <c r="R24" i="17" s="1"/>
  <c r="N24" i="17"/>
  <c r="Q24" i="17" s="1"/>
  <c r="M24" i="17"/>
  <c r="P24" i="17" s="1"/>
  <c r="O23" i="17"/>
  <c r="N23" i="17"/>
  <c r="M23" i="17"/>
  <c r="O22" i="17"/>
  <c r="R22" i="17" s="1"/>
  <c r="N22" i="17"/>
  <c r="Q22" i="17" s="1"/>
  <c r="M22" i="17"/>
  <c r="S22" i="17" s="1"/>
  <c r="O21" i="17"/>
  <c r="N21" i="17"/>
  <c r="Q21" i="17" s="1"/>
  <c r="M21" i="17"/>
  <c r="S21" i="17" s="1"/>
  <c r="O20" i="17"/>
  <c r="R20" i="17" s="1"/>
  <c r="N20" i="17"/>
  <c r="Q20" i="17" s="1"/>
  <c r="M20" i="17"/>
  <c r="S20" i="17" s="1"/>
  <c r="O19" i="17"/>
  <c r="R19" i="17" s="1"/>
  <c r="N19" i="17"/>
  <c r="M19" i="17"/>
  <c r="O18" i="17"/>
  <c r="R18" i="17" s="1"/>
  <c r="N18" i="17"/>
  <c r="Q18" i="17" s="1"/>
  <c r="M18" i="17"/>
  <c r="O17" i="17"/>
  <c r="N17" i="17"/>
  <c r="Q17" i="17" s="1"/>
  <c r="M17" i="17"/>
  <c r="O16" i="17"/>
  <c r="R16" i="17" s="1"/>
  <c r="N16" i="17"/>
  <c r="Q16" i="17" s="1"/>
  <c r="M16" i="17"/>
  <c r="S16" i="17" s="1"/>
  <c r="O15" i="17"/>
  <c r="R15" i="17" s="1"/>
  <c r="N15" i="17"/>
  <c r="Q15" i="17" s="1"/>
  <c r="M15" i="17"/>
  <c r="O14" i="17"/>
  <c r="R14" i="17" s="1"/>
  <c r="N14" i="17"/>
  <c r="Q14" i="17" s="1"/>
  <c r="M14" i="17"/>
  <c r="S14" i="17" s="1"/>
  <c r="O13" i="17"/>
  <c r="N13" i="17"/>
  <c r="N44" i="17" s="1"/>
  <c r="M13" i="17"/>
  <c r="S13" i="17" s="1"/>
  <c r="O12" i="17"/>
  <c r="R12" i="17" s="1"/>
  <c r="N12" i="17"/>
  <c r="Q12" i="17" s="1"/>
  <c r="M12" i="17"/>
  <c r="O11" i="17"/>
  <c r="N11" i="17"/>
  <c r="M11" i="17"/>
  <c r="P11" i="17" s="1"/>
  <c r="G45" i="17"/>
  <c r="F45" i="17"/>
  <c r="E45" i="17"/>
  <c r="P39" i="17"/>
  <c r="Q37" i="17"/>
  <c r="R37" i="17"/>
  <c r="P37" i="17"/>
  <c r="Q35" i="17"/>
  <c r="R35" i="17"/>
  <c r="P35" i="17"/>
  <c r="Q31" i="17"/>
  <c r="R31" i="17"/>
  <c r="P31" i="17"/>
  <c r="Q25" i="17"/>
  <c r="R25" i="17"/>
  <c r="P25" i="17"/>
  <c r="Q23" i="17"/>
  <c r="R23" i="17"/>
  <c r="S23" i="17"/>
  <c r="R21" i="17"/>
  <c r="R17" i="17"/>
  <c r="S15" i="17"/>
  <c r="R13" i="17"/>
  <c r="Q11" i="17"/>
  <c r="O42" i="16"/>
  <c r="N42" i="16"/>
  <c r="M42" i="16"/>
  <c r="O41" i="16"/>
  <c r="R41" i="16" s="1"/>
  <c r="N41" i="16"/>
  <c r="Q41" i="16" s="1"/>
  <c r="M41" i="16"/>
  <c r="P41" i="16" s="1"/>
  <c r="O40" i="16"/>
  <c r="R40" i="16" s="1"/>
  <c r="N40" i="16"/>
  <c r="M40" i="16"/>
  <c r="P40" i="16" s="1"/>
  <c r="O39" i="16"/>
  <c r="R39" i="16" s="1"/>
  <c r="N39" i="16"/>
  <c r="M39" i="16"/>
  <c r="P39" i="16" s="1"/>
  <c r="O38" i="16"/>
  <c r="R38" i="16" s="1"/>
  <c r="N38" i="16"/>
  <c r="Q38" i="16" s="1"/>
  <c r="M38" i="16"/>
  <c r="P38" i="16" s="1"/>
  <c r="O37" i="16"/>
  <c r="R37" i="16" s="1"/>
  <c r="N37" i="16"/>
  <c r="Q37" i="16" s="1"/>
  <c r="M37" i="16"/>
  <c r="P37" i="16" s="1"/>
  <c r="O36" i="16"/>
  <c r="R36" i="16" s="1"/>
  <c r="N36" i="16"/>
  <c r="Q36" i="16" s="1"/>
  <c r="M36" i="16"/>
  <c r="O35" i="16"/>
  <c r="N35" i="16"/>
  <c r="Q35" i="16" s="1"/>
  <c r="M35" i="16"/>
  <c r="P35" i="16" s="1"/>
  <c r="O34" i="16"/>
  <c r="N34" i="16"/>
  <c r="M34" i="16"/>
  <c r="O33" i="16"/>
  <c r="N33" i="16"/>
  <c r="Q33" i="16" s="1"/>
  <c r="M33" i="16"/>
  <c r="P33" i="16" s="1"/>
  <c r="O32" i="16"/>
  <c r="N32" i="16"/>
  <c r="M32" i="16"/>
  <c r="O31" i="16"/>
  <c r="N31" i="16"/>
  <c r="Q31" i="16" s="1"/>
  <c r="M31" i="16"/>
  <c r="P31" i="16" s="1"/>
  <c r="O30" i="16"/>
  <c r="R30" i="16" s="1"/>
  <c r="N30" i="16"/>
  <c r="Q30" i="16" s="1"/>
  <c r="M30" i="16"/>
  <c r="P30" i="16" s="1"/>
  <c r="O29" i="16"/>
  <c r="R29" i="16" s="1"/>
  <c r="N29" i="16"/>
  <c r="Q29" i="16" s="1"/>
  <c r="M29" i="16"/>
  <c r="P29" i="16" s="1"/>
  <c r="O28" i="16"/>
  <c r="R28" i="16" s="1"/>
  <c r="N28" i="16"/>
  <c r="Q28" i="16" s="1"/>
  <c r="M28" i="16"/>
  <c r="O27" i="16"/>
  <c r="N27" i="16"/>
  <c r="Q27" i="16" s="1"/>
  <c r="M27" i="16"/>
  <c r="P27" i="16" s="1"/>
  <c r="O26" i="16"/>
  <c r="N26" i="16"/>
  <c r="Q26" i="16" s="1"/>
  <c r="M26" i="16"/>
  <c r="O25" i="16"/>
  <c r="N25" i="16"/>
  <c r="Q25" i="16" s="1"/>
  <c r="M25" i="16"/>
  <c r="P25" i="16" s="1"/>
  <c r="O24" i="16"/>
  <c r="R24" i="16" s="1"/>
  <c r="N24" i="16"/>
  <c r="Q24" i="16" s="1"/>
  <c r="M24" i="16"/>
  <c r="P24" i="16" s="1"/>
  <c r="O23" i="16"/>
  <c r="R23" i="16" s="1"/>
  <c r="N23" i="16"/>
  <c r="Q23" i="16" s="1"/>
  <c r="M23" i="16"/>
  <c r="P23" i="16" s="1"/>
  <c r="O22" i="16"/>
  <c r="N22" i="16"/>
  <c r="Q22" i="16" s="1"/>
  <c r="M22" i="16"/>
  <c r="O21" i="16"/>
  <c r="R21" i="16" s="1"/>
  <c r="N21" i="16"/>
  <c r="Q21" i="16" s="1"/>
  <c r="M21" i="16"/>
  <c r="P21" i="16" s="1"/>
  <c r="O20" i="16"/>
  <c r="N20" i="16"/>
  <c r="Q20" i="16" s="1"/>
  <c r="M20" i="16"/>
  <c r="O19" i="16"/>
  <c r="R19" i="16" s="1"/>
  <c r="N19" i="16"/>
  <c r="M19" i="16"/>
  <c r="P19" i="16" s="1"/>
  <c r="O18" i="16"/>
  <c r="R18" i="16" s="1"/>
  <c r="N18" i="16"/>
  <c r="Q18" i="16" s="1"/>
  <c r="M18" i="16"/>
  <c r="O17" i="16"/>
  <c r="R17" i="16" s="1"/>
  <c r="N17" i="16"/>
  <c r="Q17" i="16" s="1"/>
  <c r="M17" i="16"/>
  <c r="O16" i="16"/>
  <c r="R16" i="16" s="1"/>
  <c r="N16" i="16"/>
  <c r="Q16" i="16" s="1"/>
  <c r="M16" i="16"/>
  <c r="O15" i="16"/>
  <c r="R15" i="16" s="1"/>
  <c r="N15" i="16"/>
  <c r="Q15" i="16" s="1"/>
  <c r="M15" i="16"/>
  <c r="P15" i="16" s="1"/>
  <c r="O14" i="16"/>
  <c r="N14" i="16"/>
  <c r="Q14" i="16" s="1"/>
  <c r="M14" i="16"/>
  <c r="O13" i="16"/>
  <c r="R13" i="16" s="1"/>
  <c r="N13" i="16"/>
  <c r="Q13" i="16" s="1"/>
  <c r="M13" i="16"/>
  <c r="P13" i="16" s="1"/>
  <c r="O12" i="16"/>
  <c r="N12" i="16"/>
  <c r="Q12" i="16" s="1"/>
  <c r="M12" i="16"/>
  <c r="O11" i="16"/>
  <c r="R11" i="16" s="1"/>
  <c r="N11" i="16"/>
  <c r="M11" i="16"/>
  <c r="G45" i="16"/>
  <c r="F45" i="16"/>
  <c r="E45" i="16"/>
  <c r="Q42" i="16"/>
  <c r="R42" i="16"/>
  <c r="P42" i="16"/>
  <c r="Q40" i="16"/>
  <c r="Q39" i="16"/>
  <c r="P36" i="16"/>
  <c r="R35" i="16"/>
  <c r="Q34" i="16"/>
  <c r="R34" i="16"/>
  <c r="P34" i="16"/>
  <c r="R33" i="16"/>
  <c r="Q32" i="16"/>
  <c r="R32" i="16"/>
  <c r="P32" i="16"/>
  <c r="R31" i="16"/>
  <c r="P28" i="16"/>
  <c r="R27" i="16"/>
  <c r="R26" i="16"/>
  <c r="P26" i="16"/>
  <c r="R25" i="16"/>
  <c r="R22" i="16"/>
  <c r="P22" i="16"/>
  <c r="S22" i="16"/>
  <c r="R20" i="16"/>
  <c r="P20" i="16"/>
  <c r="S20" i="16"/>
  <c r="R14" i="16"/>
  <c r="P14" i="16"/>
  <c r="S14" i="16"/>
  <c r="R12" i="16"/>
  <c r="P12" i="16"/>
  <c r="S12" i="16"/>
  <c r="O42" i="15"/>
  <c r="R42" i="15" s="1"/>
  <c r="N42" i="15"/>
  <c r="Q42" i="15" s="1"/>
  <c r="M42" i="15"/>
  <c r="O41" i="15"/>
  <c r="R41" i="15" s="1"/>
  <c r="N41" i="15"/>
  <c r="M41" i="15"/>
  <c r="O40" i="15"/>
  <c r="N40" i="15"/>
  <c r="M40" i="15"/>
  <c r="O39" i="15"/>
  <c r="R39" i="15" s="1"/>
  <c r="N39" i="15"/>
  <c r="Q39" i="15" s="1"/>
  <c r="M39" i="15"/>
  <c r="P39" i="15" s="1"/>
  <c r="O38" i="15"/>
  <c r="N38" i="15"/>
  <c r="Q38" i="15" s="1"/>
  <c r="M38" i="15"/>
  <c r="P38" i="15" s="1"/>
  <c r="O37" i="15"/>
  <c r="R37" i="15" s="1"/>
  <c r="N37" i="15"/>
  <c r="Q37" i="15" s="1"/>
  <c r="M37" i="15"/>
  <c r="P37" i="15" s="1"/>
  <c r="O36" i="15"/>
  <c r="R36" i="15" s="1"/>
  <c r="N36" i="15"/>
  <c r="Q36" i="15" s="1"/>
  <c r="M36" i="15"/>
  <c r="P36" i="15" s="1"/>
  <c r="O35" i="15"/>
  <c r="R35" i="15" s="1"/>
  <c r="N35" i="15"/>
  <c r="Q35" i="15" s="1"/>
  <c r="M35" i="15"/>
  <c r="O34" i="15"/>
  <c r="N34" i="15"/>
  <c r="M34" i="15"/>
  <c r="O33" i="15"/>
  <c r="R33" i="15" s="1"/>
  <c r="N33" i="15"/>
  <c r="M33" i="15"/>
  <c r="O32" i="15"/>
  <c r="N32" i="15"/>
  <c r="M32" i="15"/>
  <c r="O31" i="15"/>
  <c r="R31" i="15" s="1"/>
  <c r="N31" i="15"/>
  <c r="Q31" i="15" s="1"/>
  <c r="M31" i="15"/>
  <c r="P31" i="15" s="1"/>
  <c r="O30" i="15"/>
  <c r="R30" i="15" s="1"/>
  <c r="N30" i="15"/>
  <c r="Q30" i="15" s="1"/>
  <c r="M30" i="15"/>
  <c r="P30" i="15" s="1"/>
  <c r="O29" i="15"/>
  <c r="R29" i="15" s="1"/>
  <c r="N29" i="15"/>
  <c r="Q29" i="15" s="1"/>
  <c r="M29" i="15"/>
  <c r="P29" i="15" s="1"/>
  <c r="O28" i="15"/>
  <c r="R28" i="15" s="1"/>
  <c r="N28" i="15"/>
  <c r="Q28" i="15" s="1"/>
  <c r="M28" i="15"/>
  <c r="O27" i="15"/>
  <c r="R27" i="15" s="1"/>
  <c r="N27" i="15"/>
  <c r="M27" i="15"/>
  <c r="O26" i="15"/>
  <c r="N26" i="15"/>
  <c r="M26" i="15"/>
  <c r="O25" i="15"/>
  <c r="R25" i="15" s="1"/>
  <c r="N25" i="15"/>
  <c r="M25" i="15"/>
  <c r="O24" i="15"/>
  <c r="N24" i="15"/>
  <c r="Q24" i="15" s="1"/>
  <c r="M24" i="15"/>
  <c r="P24" i="15" s="1"/>
  <c r="O23" i="15"/>
  <c r="R23" i="15" s="1"/>
  <c r="N23" i="15"/>
  <c r="Q23" i="15" s="1"/>
  <c r="M23" i="15"/>
  <c r="P23" i="15" s="1"/>
  <c r="O22" i="15"/>
  <c r="R22" i="15" s="1"/>
  <c r="N22" i="15"/>
  <c r="Q22" i="15" s="1"/>
  <c r="M22" i="15"/>
  <c r="P22" i="15" s="1"/>
  <c r="O21" i="15"/>
  <c r="R21" i="15" s="1"/>
  <c r="N21" i="15"/>
  <c r="Q21" i="15" s="1"/>
  <c r="M21" i="15"/>
  <c r="P21" i="15" s="1"/>
  <c r="O20" i="15"/>
  <c r="N20" i="15"/>
  <c r="M20" i="15"/>
  <c r="O19" i="15"/>
  <c r="R19" i="15" s="1"/>
  <c r="N19" i="15"/>
  <c r="M19" i="15"/>
  <c r="O18" i="15"/>
  <c r="N18" i="15"/>
  <c r="M18" i="15"/>
  <c r="O17" i="15"/>
  <c r="R17" i="15" s="1"/>
  <c r="N17" i="15"/>
  <c r="M17" i="15"/>
  <c r="O16" i="15"/>
  <c r="N16" i="15"/>
  <c r="M16" i="15"/>
  <c r="O15" i="15"/>
  <c r="R15" i="15" s="1"/>
  <c r="N15" i="15"/>
  <c r="Q15" i="15" s="1"/>
  <c r="M15" i="15"/>
  <c r="P15" i="15" s="1"/>
  <c r="O14" i="15"/>
  <c r="R14" i="15" s="1"/>
  <c r="N14" i="15"/>
  <c r="Q14" i="15" s="1"/>
  <c r="M14" i="15"/>
  <c r="O13" i="15"/>
  <c r="R13" i="15" s="1"/>
  <c r="N13" i="15"/>
  <c r="M13" i="15"/>
  <c r="O12" i="15"/>
  <c r="R12" i="15" s="1"/>
  <c r="N12" i="15"/>
  <c r="Q12" i="15" s="1"/>
  <c r="M12" i="15"/>
  <c r="O11" i="15"/>
  <c r="N11" i="15"/>
  <c r="M11" i="15"/>
  <c r="G45" i="15"/>
  <c r="F45" i="15"/>
  <c r="E45" i="15"/>
  <c r="Q41" i="15"/>
  <c r="P41" i="15"/>
  <c r="R40" i="15"/>
  <c r="Q40" i="15"/>
  <c r="P40" i="15"/>
  <c r="R38" i="15"/>
  <c r="P35" i="15"/>
  <c r="R34" i="15"/>
  <c r="Q34" i="15"/>
  <c r="P34" i="15"/>
  <c r="Q33" i="15"/>
  <c r="P33" i="15"/>
  <c r="R32" i="15"/>
  <c r="Q32" i="15"/>
  <c r="P32" i="15"/>
  <c r="P28" i="15"/>
  <c r="Q27" i="15"/>
  <c r="P27" i="15"/>
  <c r="R26" i="15"/>
  <c r="Q26" i="15"/>
  <c r="P26" i="15"/>
  <c r="Q25" i="15"/>
  <c r="P25" i="15"/>
  <c r="R24" i="15"/>
  <c r="R20" i="15"/>
  <c r="Q20" i="15"/>
  <c r="P20" i="15"/>
  <c r="Q19" i="15"/>
  <c r="P19" i="15"/>
  <c r="R18" i="15"/>
  <c r="Q18" i="15"/>
  <c r="P18" i="15"/>
  <c r="Q17" i="15"/>
  <c r="P17" i="15"/>
  <c r="R16" i="15"/>
  <c r="Q16" i="15"/>
  <c r="P16" i="15"/>
  <c r="P14" i="15"/>
  <c r="Q13" i="15"/>
  <c r="P13" i="15"/>
  <c r="P12" i="15"/>
  <c r="Q11" i="15"/>
  <c r="O44" i="14"/>
  <c r="N44" i="14"/>
  <c r="Q44" i="14" s="1"/>
  <c r="M44" i="14"/>
  <c r="O43" i="14"/>
  <c r="R43" i="14" s="1"/>
  <c r="N43" i="14"/>
  <c r="M43" i="14"/>
  <c r="P43" i="14" s="1"/>
  <c r="O42" i="14"/>
  <c r="N42" i="14"/>
  <c r="Q42" i="14" s="1"/>
  <c r="M42" i="14"/>
  <c r="P42" i="14" s="1"/>
  <c r="O41" i="14"/>
  <c r="R41" i="14" s="1"/>
  <c r="N41" i="14"/>
  <c r="M41" i="14"/>
  <c r="P41" i="14" s="1"/>
  <c r="O40" i="14"/>
  <c r="N40" i="14"/>
  <c r="Q40" i="14" s="1"/>
  <c r="M40" i="14"/>
  <c r="P40" i="14" s="1"/>
  <c r="O39" i="14"/>
  <c r="R39" i="14" s="1"/>
  <c r="N39" i="14"/>
  <c r="M39" i="14"/>
  <c r="P39" i="14" s="1"/>
  <c r="O38" i="14"/>
  <c r="R38" i="14" s="1"/>
  <c r="N38" i="14"/>
  <c r="Q38" i="14" s="1"/>
  <c r="M38" i="14"/>
  <c r="P38" i="14" s="1"/>
  <c r="O37" i="14"/>
  <c r="R37" i="14" s="1"/>
  <c r="N37" i="14"/>
  <c r="Q37" i="14" s="1"/>
  <c r="M37" i="14"/>
  <c r="P37" i="14" s="1"/>
  <c r="O36" i="14"/>
  <c r="R36" i="14" s="1"/>
  <c r="N36" i="14"/>
  <c r="Q36" i="14" s="1"/>
  <c r="M36" i="14"/>
  <c r="O35" i="14"/>
  <c r="R35" i="14" s="1"/>
  <c r="N35" i="14"/>
  <c r="M35" i="14"/>
  <c r="P35" i="14" s="1"/>
  <c r="O34" i="14"/>
  <c r="N34" i="14"/>
  <c r="Q34" i="14" s="1"/>
  <c r="M34" i="14"/>
  <c r="O33" i="14"/>
  <c r="R33" i="14" s="1"/>
  <c r="N33" i="14"/>
  <c r="M33" i="14"/>
  <c r="P33" i="14" s="1"/>
  <c r="O32" i="14"/>
  <c r="N32" i="14"/>
  <c r="Q32" i="14" s="1"/>
  <c r="M32" i="14"/>
  <c r="O31" i="14"/>
  <c r="R31" i="14" s="1"/>
  <c r="N31" i="14"/>
  <c r="Q31" i="14" s="1"/>
  <c r="M31" i="14"/>
  <c r="P31" i="14" s="1"/>
  <c r="O30" i="14"/>
  <c r="N30" i="14"/>
  <c r="Q30" i="14" s="1"/>
  <c r="M30" i="14"/>
  <c r="O29" i="14"/>
  <c r="R29" i="14" s="1"/>
  <c r="N29" i="14"/>
  <c r="Q29" i="14" s="1"/>
  <c r="M29" i="14"/>
  <c r="P29" i="14" s="1"/>
  <c r="O28" i="14"/>
  <c r="R28" i="14" s="1"/>
  <c r="N28" i="14"/>
  <c r="Q28" i="14" s="1"/>
  <c r="M28" i="14"/>
  <c r="O27" i="14"/>
  <c r="R27" i="14" s="1"/>
  <c r="N27" i="14"/>
  <c r="M27" i="14"/>
  <c r="P27" i="14" s="1"/>
  <c r="O26" i="14"/>
  <c r="R26" i="14" s="1"/>
  <c r="N26" i="14"/>
  <c r="Q26" i="14" s="1"/>
  <c r="M26" i="14"/>
  <c r="O25" i="14"/>
  <c r="R25" i="14" s="1"/>
  <c r="N25" i="14"/>
  <c r="Q25" i="14" s="1"/>
  <c r="M25" i="14"/>
  <c r="O24" i="14"/>
  <c r="R24" i="14" s="1"/>
  <c r="N24" i="14"/>
  <c r="Q24" i="14" s="1"/>
  <c r="M24" i="14"/>
  <c r="P24" i="14" s="1"/>
  <c r="O23" i="14"/>
  <c r="R23" i="14" s="1"/>
  <c r="N23" i="14"/>
  <c r="M23" i="14"/>
  <c r="O22" i="14"/>
  <c r="N22" i="14"/>
  <c r="M22" i="14"/>
  <c r="P22" i="14" s="1"/>
  <c r="O21" i="14"/>
  <c r="R21" i="14" s="1"/>
  <c r="N21" i="14"/>
  <c r="M21" i="14"/>
  <c r="O20" i="14"/>
  <c r="N20" i="14"/>
  <c r="M20" i="14"/>
  <c r="O19" i="14"/>
  <c r="R19" i="14" s="1"/>
  <c r="N19" i="14"/>
  <c r="M19" i="14"/>
  <c r="O18" i="14"/>
  <c r="R18" i="14" s="1"/>
  <c r="N18" i="14"/>
  <c r="Q18" i="14" s="1"/>
  <c r="M18" i="14"/>
  <c r="O17" i="14"/>
  <c r="R17" i="14" s="1"/>
  <c r="N17" i="14"/>
  <c r="Q17" i="14" s="1"/>
  <c r="M17" i="14"/>
  <c r="O16" i="14"/>
  <c r="R16" i="14" s="1"/>
  <c r="N16" i="14"/>
  <c r="Q16" i="14" s="1"/>
  <c r="M16" i="14"/>
  <c r="P16" i="14" s="1"/>
  <c r="O15" i="14"/>
  <c r="R15" i="14" s="1"/>
  <c r="N15" i="14"/>
  <c r="Q15" i="14" s="1"/>
  <c r="M15" i="14"/>
  <c r="O14" i="14"/>
  <c r="N14" i="14"/>
  <c r="M14" i="14"/>
  <c r="O13" i="14"/>
  <c r="R13" i="14" s="1"/>
  <c r="N13" i="14"/>
  <c r="M13" i="14"/>
  <c r="O12" i="14"/>
  <c r="N12" i="14"/>
  <c r="M12" i="14"/>
  <c r="O11" i="14"/>
  <c r="N11" i="14"/>
  <c r="M11" i="14"/>
  <c r="M46" i="14" s="1"/>
  <c r="G47" i="14"/>
  <c r="F47" i="14"/>
  <c r="E47" i="14"/>
  <c r="R44" i="14"/>
  <c r="P44" i="14"/>
  <c r="Q43" i="14"/>
  <c r="R42" i="14"/>
  <c r="Q41" i="14"/>
  <c r="R40" i="14"/>
  <c r="Q39" i="14"/>
  <c r="P36" i="14"/>
  <c r="Q35" i="14"/>
  <c r="R34" i="14"/>
  <c r="P34" i="14"/>
  <c r="Q33" i="14"/>
  <c r="R32" i="14"/>
  <c r="P32" i="14"/>
  <c r="R30" i="14"/>
  <c r="P30" i="14"/>
  <c r="P28" i="14"/>
  <c r="Q27" i="14"/>
  <c r="P26" i="14"/>
  <c r="Q23" i="14"/>
  <c r="R22" i="14"/>
  <c r="Q22" i="14"/>
  <c r="Q21" i="14"/>
  <c r="P20" i="14"/>
  <c r="R20" i="14"/>
  <c r="Q20" i="14"/>
  <c r="Q19" i="14"/>
  <c r="P18" i="14"/>
  <c r="P14" i="14"/>
  <c r="R14" i="14"/>
  <c r="Q14" i="14"/>
  <c r="Q13" i="14"/>
  <c r="P12" i="14"/>
  <c r="R12" i="14"/>
  <c r="Q12" i="14"/>
  <c r="O44" i="13"/>
  <c r="R44" i="13" s="1"/>
  <c r="N44" i="13"/>
  <c r="M44" i="13"/>
  <c r="P44" i="13" s="1"/>
  <c r="O43" i="13"/>
  <c r="R43" i="13" s="1"/>
  <c r="N43" i="13"/>
  <c r="Q43" i="13" s="1"/>
  <c r="M43" i="13"/>
  <c r="P43" i="13" s="1"/>
  <c r="O42" i="13"/>
  <c r="N42" i="13"/>
  <c r="M42" i="13"/>
  <c r="P42" i="13" s="1"/>
  <c r="O41" i="13"/>
  <c r="N41" i="13"/>
  <c r="M41" i="13"/>
  <c r="P41" i="13" s="1"/>
  <c r="O40" i="13"/>
  <c r="N40" i="13"/>
  <c r="Q40" i="13" s="1"/>
  <c r="M40" i="13"/>
  <c r="O39" i="13"/>
  <c r="R39" i="13" s="1"/>
  <c r="N39" i="13"/>
  <c r="Q39" i="13" s="1"/>
  <c r="M39" i="13"/>
  <c r="P39" i="13" s="1"/>
  <c r="O38" i="13"/>
  <c r="N38" i="13"/>
  <c r="Q38" i="13" s="1"/>
  <c r="M38" i="13"/>
  <c r="P38" i="13" s="1"/>
  <c r="O37" i="13"/>
  <c r="R37" i="13" s="1"/>
  <c r="N37" i="13"/>
  <c r="Q37" i="13" s="1"/>
  <c r="M37" i="13"/>
  <c r="P37" i="13" s="1"/>
  <c r="O36" i="13"/>
  <c r="R36" i="13" s="1"/>
  <c r="N36" i="13"/>
  <c r="Q36" i="13" s="1"/>
  <c r="M36" i="13"/>
  <c r="P36" i="13" s="1"/>
  <c r="O35" i="13"/>
  <c r="N35" i="13"/>
  <c r="M35" i="13"/>
  <c r="P35" i="13" s="1"/>
  <c r="O34" i="13"/>
  <c r="R34" i="13" s="1"/>
  <c r="N34" i="13"/>
  <c r="M34" i="13"/>
  <c r="P34" i="13" s="1"/>
  <c r="O33" i="13"/>
  <c r="R33" i="13" s="1"/>
  <c r="N33" i="13"/>
  <c r="Q33" i="13" s="1"/>
  <c r="M33" i="13"/>
  <c r="P33" i="13" s="1"/>
  <c r="O32" i="13"/>
  <c r="R32" i="13" s="1"/>
  <c r="N32" i="13"/>
  <c r="Q32" i="13" s="1"/>
  <c r="M32" i="13"/>
  <c r="P32" i="13" s="1"/>
  <c r="O31" i="13"/>
  <c r="R31" i="13" s="1"/>
  <c r="N31" i="13"/>
  <c r="Q31" i="13" s="1"/>
  <c r="M31" i="13"/>
  <c r="P31" i="13" s="1"/>
  <c r="O30" i="13"/>
  <c r="R30" i="13" s="1"/>
  <c r="N30" i="13"/>
  <c r="Q30" i="13" s="1"/>
  <c r="M30" i="13"/>
  <c r="P30" i="13" s="1"/>
  <c r="O29" i="13"/>
  <c r="R29" i="13" s="1"/>
  <c r="N29" i="13"/>
  <c r="M29" i="13"/>
  <c r="P29" i="13" s="1"/>
  <c r="O28" i="13"/>
  <c r="N28" i="13"/>
  <c r="M28" i="13"/>
  <c r="P28" i="13" s="1"/>
  <c r="O27" i="13"/>
  <c r="N27" i="13"/>
  <c r="M27" i="13"/>
  <c r="P27" i="13" s="1"/>
  <c r="O26" i="13"/>
  <c r="N26" i="13"/>
  <c r="M26" i="13"/>
  <c r="P26" i="13" s="1"/>
  <c r="O25" i="13"/>
  <c r="R25" i="13" s="1"/>
  <c r="N25" i="13"/>
  <c r="Q25" i="13" s="1"/>
  <c r="M25" i="13"/>
  <c r="P25" i="13" s="1"/>
  <c r="O24" i="13"/>
  <c r="R24" i="13" s="1"/>
  <c r="N24" i="13"/>
  <c r="Q24" i="13" s="1"/>
  <c r="M24" i="13"/>
  <c r="P24" i="13" s="1"/>
  <c r="O23" i="13"/>
  <c r="R23" i="13" s="1"/>
  <c r="N23" i="13"/>
  <c r="Q23" i="13" s="1"/>
  <c r="M23" i="13"/>
  <c r="S23" i="13" s="1"/>
  <c r="O22" i="13"/>
  <c r="R22" i="13" s="1"/>
  <c r="N22" i="13"/>
  <c r="Q22" i="13" s="1"/>
  <c r="M22" i="13"/>
  <c r="P22" i="13" s="1"/>
  <c r="O21" i="13"/>
  <c r="R21" i="13" s="1"/>
  <c r="N21" i="13"/>
  <c r="Q21" i="13" s="1"/>
  <c r="M21" i="13"/>
  <c r="P21" i="13" s="1"/>
  <c r="O20" i="13"/>
  <c r="R20" i="13" s="1"/>
  <c r="N20" i="13"/>
  <c r="Q20" i="13" s="1"/>
  <c r="M20" i="13"/>
  <c r="P20" i="13" s="1"/>
  <c r="O19" i="13"/>
  <c r="R19" i="13" s="1"/>
  <c r="N19" i="13"/>
  <c r="Q19" i="13" s="1"/>
  <c r="M19" i="13"/>
  <c r="O18" i="13"/>
  <c r="R18" i="13" s="1"/>
  <c r="N18" i="13"/>
  <c r="Q18" i="13" s="1"/>
  <c r="M18" i="13"/>
  <c r="P18" i="13" s="1"/>
  <c r="O17" i="13"/>
  <c r="R17" i="13" s="1"/>
  <c r="N17" i="13"/>
  <c r="Q17" i="13" s="1"/>
  <c r="M17" i="13"/>
  <c r="P17" i="13" s="1"/>
  <c r="O16" i="13"/>
  <c r="R16" i="13" s="1"/>
  <c r="N16" i="13"/>
  <c r="Q16" i="13" s="1"/>
  <c r="M16" i="13"/>
  <c r="P16" i="13" s="1"/>
  <c r="O15" i="13"/>
  <c r="R15" i="13" s="1"/>
  <c r="N15" i="13"/>
  <c r="M15" i="13"/>
  <c r="O14" i="13"/>
  <c r="R14" i="13" s="1"/>
  <c r="N14" i="13"/>
  <c r="Q14" i="13" s="1"/>
  <c r="M14" i="13"/>
  <c r="P14" i="13" s="1"/>
  <c r="O13" i="13"/>
  <c r="R13" i="13" s="1"/>
  <c r="N13" i="13"/>
  <c r="M13" i="13"/>
  <c r="O12" i="13"/>
  <c r="R12" i="13" s="1"/>
  <c r="N12" i="13"/>
  <c r="Q12" i="13" s="1"/>
  <c r="M12" i="13"/>
  <c r="P12" i="13" s="1"/>
  <c r="O11" i="13"/>
  <c r="R11" i="13" s="1"/>
  <c r="N11" i="13"/>
  <c r="M11" i="13"/>
  <c r="G47" i="13"/>
  <c r="F47" i="13"/>
  <c r="E47" i="13"/>
  <c r="Q44" i="13"/>
  <c r="Q42" i="13"/>
  <c r="R42" i="13"/>
  <c r="Q41" i="13"/>
  <c r="R41" i="13"/>
  <c r="R40" i="13"/>
  <c r="P40" i="13"/>
  <c r="R38" i="13"/>
  <c r="Q35" i="13"/>
  <c r="R35" i="13"/>
  <c r="Q34" i="13"/>
  <c r="Q29" i="13"/>
  <c r="Q28" i="13"/>
  <c r="R28" i="13"/>
  <c r="Q27" i="13"/>
  <c r="R27" i="13"/>
  <c r="Q26" i="13"/>
  <c r="R26" i="13"/>
  <c r="P15" i="13"/>
  <c r="Q15" i="13"/>
  <c r="S15" i="13"/>
  <c r="P13" i="13"/>
  <c r="Q13" i="13"/>
  <c r="S13" i="13"/>
  <c r="P11" i="13"/>
  <c r="O44" i="12"/>
  <c r="R44" i="12" s="1"/>
  <c r="N44" i="12"/>
  <c r="Q44" i="12" s="1"/>
  <c r="M44" i="12"/>
  <c r="O43" i="12"/>
  <c r="N43" i="12"/>
  <c r="M43" i="12"/>
  <c r="P43" i="12" s="1"/>
  <c r="O42" i="12"/>
  <c r="R42" i="12" s="1"/>
  <c r="N42" i="12"/>
  <c r="Q42" i="12" s="1"/>
  <c r="M42" i="12"/>
  <c r="O41" i="12"/>
  <c r="N41" i="12"/>
  <c r="Q41" i="12" s="1"/>
  <c r="M41" i="12"/>
  <c r="P41" i="12" s="1"/>
  <c r="O40" i="12"/>
  <c r="N40" i="12"/>
  <c r="Q40" i="12" s="1"/>
  <c r="M40" i="12"/>
  <c r="P40" i="12" s="1"/>
  <c r="O39" i="12"/>
  <c r="R39" i="12" s="1"/>
  <c r="N39" i="12"/>
  <c r="Q39" i="12" s="1"/>
  <c r="M39" i="12"/>
  <c r="P39" i="12" s="1"/>
  <c r="O38" i="12"/>
  <c r="R38" i="12" s="1"/>
  <c r="N38" i="12"/>
  <c r="Q38" i="12" s="1"/>
  <c r="M38" i="12"/>
  <c r="P38" i="12" s="1"/>
  <c r="O37" i="12"/>
  <c r="N37" i="12"/>
  <c r="M37" i="12"/>
  <c r="P37" i="12" s="1"/>
  <c r="O36" i="12"/>
  <c r="N36" i="12"/>
  <c r="Q36" i="12" s="1"/>
  <c r="M36" i="12"/>
  <c r="P36" i="12" s="1"/>
  <c r="O35" i="12"/>
  <c r="N35" i="12"/>
  <c r="Q35" i="12" s="1"/>
  <c r="M35" i="12"/>
  <c r="P35" i="12" s="1"/>
  <c r="O34" i="12"/>
  <c r="N34" i="12"/>
  <c r="Q34" i="12" s="1"/>
  <c r="M34" i="12"/>
  <c r="P34" i="12" s="1"/>
  <c r="O33" i="12"/>
  <c r="R33" i="12" s="1"/>
  <c r="N33" i="12"/>
  <c r="Q33" i="12" s="1"/>
  <c r="M33" i="12"/>
  <c r="P33" i="12" s="1"/>
  <c r="O32" i="12"/>
  <c r="N32" i="12"/>
  <c r="Q32" i="12" s="1"/>
  <c r="M32" i="12"/>
  <c r="O31" i="12"/>
  <c r="R31" i="12" s="1"/>
  <c r="N31" i="12"/>
  <c r="M31" i="12"/>
  <c r="P31" i="12" s="1"/>
  <c r="O30" i="12"/>
  <c r="N30" i="12"/>
  <c r="Q30" i="12" s="1"/>
  <c r="M30" i="12"/>
  <c r="O29" i="12"/>
  <c r="N29" i="12"/>
  <c r="M29" i="12"/>
  <c r="P29" i="12" s="1"/>
  <c r="O28" i="12"/>
  <c r="N28" i="12"/>
  <c r="Q28" i="12" s="1"/>
  <c r="M28" i="12"/>
  <c r="P28" i="12" s="1"/>
  <c r="O27" i="12"/>
  <c r="R27" i="12" s="1"/>
  <c r="N27" i="12"/>
  <c r="M27" i="12"/>
  <c r="P27" i="12" s="1"/>
  <c r="O26" i="12"/>
  <c r="R26" i="12" s="1"/>
  <c r="N26" i="12"/>
  <c r="Q26" i="12" s="1"/>
  <c r="M26" i="12"/>
  <c r="P26" i="12" s="1"/>
  <c r="O25" i="12"/>
  <c r="R25" i="12" s="1"/>
  <c r="N25" i="12"/>
  <c r="Q25" i="12" s="1"/>
  <c r="M25" i="12"/>
  <c r="O24" i="12"/>
  <c r="R24" i="12" s="1"/>
  <c r="N24" i="12"/>
  <c r="M24" i="12"/>
  <c r="O23" i="12"/>
  <c r="N23" i="12"/>
  <c r="M23" i="12"/>
  <c r="S23" i="12" s="1"/>
  <c r="O22" i="12"/>
  <c r="N22" i="12"/>
  <c r="M22" i="12"/>
  <c r="O21" i="12"/>
  <c r="N21" i="12"/>
  <c r="Q21" i="12" s="1"/>
  <c r="M21" i="12"/>
  <c r="P21" i="12" s="1"/>
  <c r="O20" i="12"/>
  <c r="R20" i="12" s="1"/>
  <c r="N20" i="12"/>
  <c r="M20" i="12"/>
  <c r="P20" i="12" s="1"/>
  <c r="O19" i="12"/>
  <c r="R19" i="12" s="1"/>
  <c r="N19" i="12"/>
  <c r="Q19" i="12" s="1"/>
  <c r="M19" i="12"/>
  <c r="P19" i="12" s="1"/>
  <c r="O18" i="12"/>
  <c r="R18" i="12" s="1"/>
  <c r="N18" i="12"/>
  <c r="Q18" i="12" s="1"/>
  <c r="M18" i="12"/>
  <c r="S18" i="12" s="1"/>
  <c r="O17" i="12"/>
  <c r="N17" i="12"/>
  <c r="M17" i="12"/>
  <c r="P17" i="12" s="1"/>
  <c r="O16" i="12"/>
  <c r="N16" i="12"/>
  <c r="M16" i="12"/>
  <c r="O15" i="12"/>
  <c r="N15" i="12"/>
  <c r="M15" i="12"/>
  <c r="S15" i="12" s="1"/>
  <c r="O14" i="12"/>
  <c r="N14" i="12"/>
  <c r="Q14" i="12" s="1"/>
  <c r="M14" i="12"/>
  <c r="O13" i="12"/>
  <c r="R13" i="12" s="1"/>
  <c r="N13" i="12"/>
  <c r="Q13" i="12" s="1"/>
  <c r="M13" i="12"/>
  <c r="P13" i="12" s="1"/>
  <c r="O12" i="12"/>
  <c r="R12" i="12" s="1"/>
  <c r="N12" i="12"/>
  <c r="Q12" i="12" s="1"/>
  <c r="M12" i="12"/>
  <c r="S12" i="12" s="1"/>
  <c r="O11" i="12"/>
  <c r="R11" i="12" s="1"/>
  <c r="N11" i="12"/>
  <c r="M11" i="12"/>
  <c r="G47" i="12"/>
  <c r="F47" i="12"/>
  <c r="E47" i="12"/>
  <c r="P44" i="12"/>
  <c r="Q43" i="12"/>
  <c r="R43" i="12"/>
  <c r="P42" i="12"/>
  <c r="R41" i="12"/>
  <c r="R40" i="12"/>
  <c r="Q37" i="12"/>
  <c r="R37" i="12"/>
  <c r="R36" i="12"/>
  <c r="R35" i="12"/>
  <c r="R34" i="12"/>
  <c r="R32" i="12"/>
  <c r="P32" i="12"/>
  <c r="Q31" i="12"/>
  <c r="R30" i="12"/>
  <c r="P30" i="12"/>
  <c r="Q29" i="12"/>
  <c r="R29" i="12"/>
  <c r="R28" i="12"/>
  <c r="Q27" i="12"/>
  <c r="P24" i="12"/>
  <c r="Q24" i="12"/>
  <c r="R23" i="12"/>
  <c r="P23" i="12"/>
  <c r="Q23" i="12"/>
  <c r="R22" i="12"/>
  <c r="P22" i="12"/>
  <c r="Q22" i="12"/>
  <c r="S22" i="12"/>
  <c r="R21" i="12"/>
  <c r="R17" i="12"/>
  <c r="Q17" i="12"/>
  <c r="S17" i="12"/>
  <c r="R16" i="12"/>
  <c r="P16" i="12"/>
  <c r="Q16" i="12"/>
  <c r="S16" i="12"/>
  <c r="R15" i="12"/>
  <c r="P15" i="12"/>
  <c r="Q15" i="12"/>
  <c r="R14" i="12"/>
  <c r="P14" i="12"/>
  <c r="P12" i="12"/>
  <c r="O46" i="12"/>
  <c r="N46" i="12"/>
  <c r="O44" i="11"/>
  <c r="R44" i="11" s="1"/>
  <c r="N44" i="11"/>
  <c r="Q44" i="11" s="1"/>
  <c r="M44" i="11"/>
  <c r="P44" i="11" s="1"/>
  <c r="O43" i="11"/>
  <c r="N43" i="11"/>
  <c r="Q43" i="11" s="1"/>
  <c r="M43" i="11"/>
  <c r="P43" i="11" s="1"/>
  <c r="O42" i="11"/>
  <c r="R42" i="11" s="1"/>
  <c r="N42" i="11"/>
  <c r="M42" i="11"/>
  <c r="P42" i="11" s="1"/>
  <c r="O41" i="11"/>
  <c r="R41" i="11" s="1"/>
  <c r="N41" i="11"/>
  <c r="Q41" i="11" s="1"/>
  <c r="M41" i="11"/>
  <c r="P41" i="11" s="1"/>
  <c r="O40" i="11"/>
  <c r="N40" i="11"/>
  <c r="M40" i="11"/>
  <c r="P40" i="11" s="1"/>
  <c r="O39" i="11"/>
  <c r="N39" i="11"/>
  <c r="Q39" i="11" s="1"/>
  <c r="M39" i="11"/>
  <c r="P39" i="11" s="1"/>
  <c r="O38" i="11"/>
  <c r="R38" i="11" s="1"/>
  <c r="N38" i="11"/>
  <c r="Q38" i="11" s="1"/>
  <c r="M38" i="11"/>
  <c r="P38" i="11" s="1"/>
  <c r="O37" i="11"/>
  <c r="R37" i="11" s="1"/>
  <c r="N37" i="11"/>
  <c r="Q37" i="11" s="1"/>
  <c r="M37" i="11"/>
  <c r="P37" i="11" s="1"/>
  <c r="O36" i="11"/>
  <c r="N36" i="11"/>
  <c r="M36" i="11"/>
  <c r="O35" i="11"/>
  <c r="N35" i="11"/>
  <c r="Q35" i="11" s="1"/>
  <c r="M35" i="11"/>
  <c r="P35" i="11" s="1"/>
  <c r="O34" i="11"/>
  <c r="R34" i="11" s="1"/>
  <c r="N34" i="11"/>
  <c r="M34" i="11"/>
  <c r="O33" i="11"/>
  <c r="N33" i="11"/>
  <c r="Q33" i="11" s="1"/>
  <c r="M33" i="11"/>
  <c r="P33" i="11" s="1"/>
  <c r="O32" i="11"/>
  <c r="R32" i="11" s="1"/>
  <c r="N32" i="11"/>
  <c r="M32" i="11"/>
  <c r="P32" i="11" s="1"/>
  <c r="O31" i="11"/>
  <c r="R31" i="11" s="1"/>
  <c r="N31" i="11"/>
  <c r="Q31" i="11" s="1"/>
  <c r="M31" i="11"/>
  <c r="P31" i="11" s="1"/>
  <c r="O30" i="11"/>
  <c r="R30" i="11" s="1"/>
  <c r="N30" i="11"/>
  <c r="Q30" i="11" s="1"/>
  <c r="M30" i="11"/>
  <c r="O29" i="11"/>
  <c r="R29" i="11" s="1"/>
  <c r="N29" i="11"/>
  <c r="M29" i="11"/>
  <c r="O28" i="11"/>
  <c r="R28" i="11" s="1"/>
  <c r="N28" i="11"/>
  <c r="Q28" i="11" s="1"/>
  <c r="M28" i="11"/>
  <c r="O27" i="11"/>
  <c r="R27" i="11" s="1"/>
  <c r="N27" i="11"/>
  <c r="Q27" i="11" s="1"/>
  <c r="M27" i="11"/>
  <c r="O26" i="11"/>
  <c r="R26" i="11" s="1"/>
  <c r="N26" i="11"/>
  <c r="Q26" i="11" s="1"/>
  <c r="M26" i="11"/>
  <c r="O25" i="11"/>
  <c r="R25" i="11" s="1"/>
  <c r="N25" i="11"/>
  <c r="Q25" i="11" s="1"/>
  <c r="M25" i="11"/>
  <c r="P25" i="11" s="1"/>
  <c r="O24" i="11"/>
  <c r="R24" i="11" s="1"/>
  <c r="N24" i="11"/>
  <c r="Q24" i="11" s="1"/>
  <c r="M24" i="11"/>
  <c r="P24" i="11" s="1"/>
  <c r="O23" i="11"/>
  <c r="R23" i="11" s="1"/>
  <c r="N23" i="11"/>
  <c r="Q23" i="11" s="1"/>
  <c r="M23" i="11"/>
  <c r="O22" i="11"/>
  <c r="R22" i="11" s="1"/>
  <c r="N22" i="11"/>
  <c r="Q22" i="11" s="1"/>
  <c r="M22" i="11"/>
  <c r="O21" i="11"/>
  <c r="R21" i="11" s="1"/>
  <c r="N21" i="11"/>
  <c r="S21" i="11" s="1"/>
  <c r="M21" i="11"/>
  <c r="O20" i="11"/>
  <c r="R20" i="11" s="1"/>
  <c r="N20" i="11"/>
  <c r="Q20" i="11" s="1"/>
  <c r="M20" i="11"/>
  <c r="O19" i="11"/>
  <c r="R19" i="11" s="1"/>
  <c r="N19" i="11"/>
  <c r="Q19" i="11" s="1"/>
  <c r="M19" i="11"/>
  <c r="S19" i="11" s="1"/>
  <c r="O18" i="11"/>
  <c r="R18" i="11" s="1"/>
  <c r="N18" i="11"/>
  <c r="Q18" i="11" s="1"/>
  <c r="M18" i="11"/>
  <c r="S18" i="11" s="1"/>
  <c r="O17" i="11"/>
  <c r="R17" i="11" s="1"/>
  <c r="N17" i="11"/>
  <c r="Q17" i="11" s="1"/>
  <c r="M17" i="11"/>
  <c r="P17" i="11" s="1"/>
  <c r="O16" i="11"/>
  <c r="R16" i="11" s="1"/>
  <c r="N16" i="11"/>
  <c r="Q16" i="11" s="1"/>
  <c r="M16" i="11"/>
  <c r="P16" i="11" s="1"/>
  <c r="O15" i="11"/>
  <c r="R15" i="11" s="1"/>
  <c r="N15" i="11"/>
  <c r="Q15" i="11" s="1"/>
  <c r="M15" i="11"/>
  <c r="O14" i="11"/>
  <c r="R14" i="11" s="1"/>
  <c r="N14" i="11"/>
  <c r="Q14" i="11" s="1"/>
  <c r="M14" i="11"/>
  <c r="O13" i="11"/>
  <c r="R13" i="11" s="1"/>
  <c r="N13" i="11"/>
  <c r="Q13" i="11" s="1"/>
  <c r="M13" i="11"/>
  <c r="O12" i="11"/>
  <c r="R12" i="11" s="1"/>
  <c r="N12" i="11"/>
  <c r="Q12" i="11" s="1"/>
  <c r="M12" i="11"/>
  <c r="S12" i="11" s="1"/>
  <c r="O11" i="11"/>
  <c r="R11" i="11" s="1"/>
  <c r="N11" i="11"/>
  <c r="M11" i="11"/>
  <c r="P11" i="11" s="1"/>
  <c r="G47" i="11"/>
  <c r="F47" i="11"/>
  <c r="E47" i="11"/>
  <c r="R43" i="11"/>
  <c r="Q42" i="11"/>
  <c r="Q40" i="11"/>
  <c r="R40" i="11"/>
  <c r="R39" i="11"/>
  <c r="Q36" i="11"/>
  <c r="R36" i="11"/>
  <c r="P36" i="11"/>
  <c r="R35" i="11"/>
  <c r="Q34" i="11"/>
  <c r="P34" i="11"/>
  <c r="R33" i="11"/>
  <c r="Q32" i="11"/>
  <c r="P30" i="11"/>
  <c r="P28" i="11"/>
  <c r="P27" i="11"/>
  <c r="P26" i="11"/>
  <c r="P23" i="11"/>
  <c r="P22" i="11"/>
  <c r="S22" i="11"/>
  <c r="P21" i="11"/>
  <c r="Q21" i="11"/>
  <c r="S16" i="11"/>
  <c r="P15" i="11"/>
  <c r="P14" i="11"/>
  <c r="S14" i="11"/>
  <c r="P13" i="11"/>
  <c r="P12" i="11"/>
  <c r="O44" i="10"/>
  <c r="R44" i="10" s="1"/>
  <c r="N44" i="10"/>
  <c r="Q44" i="10" s="1"/>
  <c r="M44" i="10"/>
  <c r="O43" i="10"/>
  <c r="R43" i="10" s="1"/>
  <c r="N43" i="10"/>
  <c r="M43" i="10"/>
  <c r="P43" i="10" s="1"/>
  <c r="O42" i="10"/>
  <c r="N42" i="10"/>
  <c r="Q42" i="10" s="1"/>
  <c r="M42" i="10"/>
  <c r="P42" i="10" s="1"/>
  <c r="O41" i="10"/>
  <c r="R41" i="10" s="1"/>
  <c r="N41" i="10"/>
  <c r="Q41" i="10" s="1"/>
  <c r="M41" i="10"/>
  <c r="P41" i="10" s="1"/>
  <c r="O40" i="10"/>
  <c r="R40" i="10" s="1"/>
  <c r="N40" i="10"/>
  <c r="Q40" i="10" s="1"/>
  <c r="M40" i="10"/>
  <c r="P40" i="10" s="1"/>
  <c r="O39" i="10"/>
  <c r="R39" i="10" s="1"/>
  <c r="N39" i="10"/>
  <c r="Q39" i="10" s="1"/>
  <c r="M39" i="10"/>
  <c r="P39" i="10" s="1"/>
  <c r="O38" i="10"/>
  <c r="N38" i="10"/>
  <c r="Q38" i="10" s="1"/>
  <c r="M38" i="10"/>
  <c r="O37" i="10"/>
  <c r="R37" i="10" s="1"/>
  <c r="N37" i="10"/>
  <c r="M37" i="10"/>
  <c r="P37" i="10" s="1"/>
  <c r="O36" i="10"/>
  <c r="N36" i="10"/>
  <c r="M36" i="10"/>
  <c r="O35" i="10"/>
  <c r="R35" i="10" s="1"/>
  <c r="N35" i="10"/>
  <c r="M35" i="10"/>
  <c r="P35" i="10" s="1"/>
  <c r="O34" i="10"/>
  <c r="N34" i="10"/>
  <c r="M34" i="10"/>
  <c r="O33" i="10"/>
  <c r="R33" i="10" s="1"/>
  <c r="N33" i="10"/>
  <c r="M33" i="10"/>
  <c r="P33" i="10" s="1"/>
  <c r="O32" i="10"/>
  <c r="R32" i="10" s="1"/>
  <c r="N32" i="10"/>
  <c r="Q32" i="10" s="1"/>
  <c r="M32" i="10"/>
  <c r="P32" i="10" s="1"/>
  <c r="O31" i="10"/>
  <c r="R31" i="10" s="1"/>
  <c r="N31" i="10"/>
  <c r="Q31" i="10" s="1"/>
  <c r="M31" i="10"/>
  <c r="P31" i="10" s="1"/>
  <c r="N29" i="10"/>
  <c r="Q29" i="10" s="1"/>
  <c r="M29" i="10"/>
  <c r="P29" i="10" s="1"/>
  <c r="O28" i="10"/>
  <c r="N28" i="10"/>
  <c r="M28" i="10"/>
  <c r="O27" i="10"/>
  <c r="R27" i="10" s="1"/>
  <c r="N27" i="10"/>
  <c r="Q27" i="10" s="1"/>
  <c r="M27" i="10"/>
  <c r="P27" i="10" s="1"/>
  <c r="O26" i="10"/>
  <c r="N26" i="10"/>
  <c r="Q26" i="10" s="1"/>
  <c r="M26" i="10"/>
  <c r="P26" i="10" s="1"/>
  <c r="O25" i="10"/>
  <c r="R25" i="10" s="1"/>
  <c r="N25" i="10"/>
  <c r="Q25" i="10" s="1"/>
  <c r="M25" i="10"/>
  <c r="P25" i="10" s="1"/>
  <c r="O24" i="10"/>
  <c r="R24" i="10" s="1"/>
  <c r="N24" i="10"/>
  <c r="Q24" i="10" s="1"/>
  <c r="M24" i="10"/>
  <c r="O23" i="10"/>
  <c r="R23" i="10" s="1"/>
  <c r="N23" i="10"/>
  <c r="M23" i="10"/>
  <c r="P23" i="10" s="1"/>
  <c r="O22" i="10"/>
  <c r="R22" i="10" s="1"/>
  <c r="N22" i="10"/>
  <c r="M22" i="10"/>
  <c r="P22" i="10" s="1"/>
  <c r="O21" i="10"/>
  <c r="R21" i="10" s="1"/>
  <c r="N21" i="10"/>
  <c r="M21" i="10"/>
  <c r="P21" i="10" s="1"/>
  <c r="O20" i="10"/>
  <c r="R20" i="10" s="1"/>
  <c r="N20" i="10"/>
  <c r="Q20" i="10" s="1"/>
  <c r="M20" i="10"/>
  <c r="O19" i="10"/>
  <c r="R19" i="10" s="1"/>
  <c r="N19" i="10"/>
  <c r="Q19" i="10" s="1"/>
  <c r="M19" i="10"/>
  <c r="P19" i="10" s="1"/>
  <c r="O18" i="10"/>
  <c r="R18" i="10" s="1"/>
  <c r="N18" i="10"/>
  <c r="Q18" i="10" s="1"/>
  <c r="M18" i="10"/>
  <c r="P18" i="10" s="1"/>
  <c r="O17" i="10"/>
  <c r="R17" i="10" s="1"/>
  <c r="N17" i="10"/>
  <c r="M17" i="10"/>
  <c r="P17" i="10" s="1"/>
  <c r="O16" i="10"/>
  <c r="N16" i="10"/>
  <c r="Q16" i="10" s="1"/>
  <c r="M16" i="10"/>
  <c r="O15" i="10"/>
  <c r="R15" i="10" s="1"/>
  <c r="N15" i="10"/>
  <c r="M15" i="10"/>
  <c r="P15" i="10" s="1"/>
  <c r="O14" i="10"/>
  <c r="N14" i="10"/>
  <c r="Q14" i="10" s="1"/>
  <c r="M14" i="10"/>
  <c r="P14" i="10" s="1"/>
  <c r="O13" i="10"/>
  <c r="R13" i="10" s="1"/>
  <c r="N13" i="10"/>
  <c r="M13" i="10"/>
  <c r="P13" i="10" s="1"/>
  <c r="O12" i="10"/>
  <c r="R12" i="10" s="1"/>
  <c r="N12" i="10"/>
  <c r="M12" i="10"/>
  <c r="P12" i="10" s="1"/>
  <c r="O11" i="10"/>
  <c r="N11" i="10"/>
  <c r="Q11" i="10" s="1"/>
  <c r="M11" i="10"/>
  <c r="G47" i="10"/>
  <c r="F47" i="10"/>
  <c r="E47" i="10"/>
  <c r="Q43" i="10"/>
  <c r="R42" i="10"/>
  <c r="R38" i="10"/>
  <c r="P38" i="10"/>
  <c r="Q37" i="10"/>
  <c r="Q36" i="10"/>
  <c r="R36" i="10"/>
  <c r="P36" i="10"/>
  <c r="T36" i="10" s="1"/>
  <c r="Q35" i="10"/>
  <c r="Q34" i="10"/>
  <c r="R34" i="10"/>
  <c r="P34" i="10"/>
  <c r="Q33" i="10"/>
  <c r="Q30" i="10"/>
  <c r="R30" i="10"/>
  <c r="P30" i="10"/>
  <c r="R29" i="10"/>
  <c r="Q28" i="10"/>
  <c r="R28" i="10"/>
  <c r="P28" i="10"/>
  <c r="R26" i="10"/>
  <c r="P24" i="10"/>
  <c r="Q23" i="10"/>
  <c r="Q22" i="10"/>
  <c r="Q21" i="10"/>
  <c r="P20" i="10"/>
  <c r="Q17" i="10"/>
  <c r="R16" i="10"/>
  <c r="P16" i="10"/>
  <c r="Q15" i="10"/>
  <c r="R14" i="10"/>
  <c r="Q13" i="10"/>
  <c r="O44" i="9"/>
  <c r="N44" i="9"/>
  <c r="M44" i="9"/>
  <c r="O43" i="9"/>
  <c r="N43" i="9"/>
  <c r="Q43" i="9" s="1"/>
  <c r="M43" i="9"/>
  <c r="P43" i="9" s="1"/>
  <c r="O42" i="9"/>
  <c r="N42" i="9"/>
  <c r="M42" i="9"/>
  <c r="O41" i="9"/>
  <c r="N41" i="9"/>
  <c r="Q41" i="9" s="1"/>
  <c r="M41" i="9"/>
  <c r="P41" i="9" s="1"/>
  <c r="O40" i="9"/>
  <c r="R40" i="9" s="1"/>
  <c r="N40" i="9"/>
  <c r="M40" i="9"/>
  <c r="P40" i="9" s="1"/>
  <c r="O39" i="9"/>
  <c r="N39" i="9"/>
  <c r="M39" i="9"/>
  <c r="P39" i="9" s="1"/>
  <c r="O38" i="9"/>
  <c r="N38" i="9"/>
  <c r="Q38" i="9" s="1"/>
  <c r="M38" i="9"/>
  <c r="O37" i="9"/>
  <c r="N37" i="9"/>
  <c r="Q37" i="9" s="1"/>
  <c r="M37" i="9"/>
  <c r="P37" i="9" s="1"/>
  <c r="O36" i="9"/>
  <c r="R36" i="9" s="1"/>
  <c r="N36" i="9"/>
  <c r="Q36" i="9" s="1"/>
  <c r="M36" i="9"/>
  <c r="P36" i="9" s="1"/>
  <c r="O35" i="9"/>
  <c r="R35" i="9" s="1"/>
  <c r="N35" i="9"/>
  <c r="Q35" i="9" s="1"/>
  <c r="M35" i="9"/>
  <c r="P35" i="9" s="1"/>
  <c r="O34" i="9"/>
  <c r="R34" i="9" s="1"/>
  <c r="N34" i="9"/>
  <c r="Q34" i="9" s="1"/>
  <c r="M34" i="9"/>
  <c r="P34" i="9" s="1"/>
  <c r="O33" i="9"/>
  <c r="R33" i="9" s="1"/>
  <c r="N33" i="9"/>
  <c r="Q33" i="9" s="1"/>
  <c r="M33" i="9"/>
  <c r="P33" i="9" s="1"/>
  <c r="O32" i="9"/>
  <c r="R32" i="9" s="1"/>
  <c r="N32" i="9"/>
  <c r="Q32" i="9" s="1"/>
  <c r="M32" i="9"/>
  <c r="O31" i="9"/>
  <c r="N31" i="9"/>
  <c r="Q31" i="9" s="1"/>
  <c r="M31" i="9"/>
  <c r="P31" i="9" s="1"/>
  <c r="O30" i="9"/>
  <c r="N30" i="9"/>
  <c r="M30" i="9"/>
  <c r="O29" i="9"/>
  <c r="R29" i="9" s="1"/>
  <c r="N29" i="9"/>
  <c r="Q29" i="9" s="1"/>
  <c r="M29" i="9"/>
  <c r="O28" i="9"/>
  <c r="N28" i="9"/>
  <c r="Q28" i="9" s="1"/>
  <c r="M28" i="9"/>
  <c r="P28" i="9" s="1"/>
  <c r="O27" i="9"/>
  <c r="R27" i="9" s="1"/>
  <c r="N27" i="9"/>
  <c r="Q27" i="9" s="1"/>
  <c r="M27" i="9"/>
  <c r="P27" i="9" s="1"/>
  <c r="O26" i="9"/>
  <c r="N26" i="9"/>
  <c r="M26" i="9"/>
  <c r="P26" i="9" s="1"/>
  <c r="O25" i="9"/>
  <c r="R25" i="9" s="1"/>
  <c r="N25" i="9"/>
  <c r="Q25" i="9" s="1"/>
  <c r="M25" i="9"/>
  <c r="S25" i="9" s="1"/>
  <c r="O24" i="9"/>
  <c r="N24" i="9"/>
  <c r="Q24" i="9" s="1"/>
  <c r="M24" i="9"/>
  <c r="O23" i="9"/>
  <c r="R23" i="9" s="1"/>
  <c r="N23" i="9"/>
  <c r="Q23" i="9" s="1"/>
  <c r="M23" i="9"/>
  <c r="O22" i="9"/>
  <c r="N22" i="9"/>
  <c r="Q22" i="9" s="1"/>
  <c r="M22" i="9"/>
  <c r="S22" i="9" s="1"/>
  <c r="O21" i="9"/>
  <c r="R21" i="9" s="1"/>
  <c r="N21" i="9"/>
  <c r="Q21" i="9" s="1"/>
  <c r="M21" i="9"/>
  <c r="S21" i="9" s="1"/>
  <c r="O20" i="9"/>
  <c r="R20" i="9" s="1"/>
  <c r="N20" i="9"/>
  <c r="Q20" i="9" s="1"/>
  <c r="M20" i="9"/>
  <c r="O19" i="9"/>
  <c r="R19" i="9" s="1"/>
  <c r="N19" i="9"/>
  <c r="Q19" i="9" s="1"/>
  <c r="M19" i="9"/>
  <c r="O18" i="9"/>
  <c r="R18" i="9" s="1"/>
  <c r="N18" i="9"/>
  <c r="Q18" i="9" s="1"/>
  <c r="M18" i="9"/>
  <c r="O17" i="9"/>
  <c r="R17" i="9" s="1"/>
  <c r="N17" i="9"/>
  <c r="Q17" i="9" s="1"/>
  <c r="M17" i="9"/>
  <c r="O16" i="9"/>
  <c r="N16" i="9"/>
  <c r="Q16" i="9" s="1"/>
  <c r="M16" i="9"/>
  <c r="O15" i="9"/>
  <c r="R15" i="9" s="1"/>
  <c r="N15" i="9"/>
  <c r="Q15" i="9" s="1"/>
  <c r="M15" i="9"/>
  <c r="S15" i="9" s="1"/>
  <c r="O14" i="9"/>
  <c r="R14" i="9" s="1"/>
  <c r="N14" i="9"/>
  <c r="Q14" i="9" s="1"/>
  <c r="M14" i="9"/>
  <c r="S14" i="9" s="1"/>
  <c r="O13" i="9"/>
  <c r="R13" i="9" s="1"/>
  <c r="N13" i="9"/>
  <c r="Q13" i="9" s="1"/>
  <c r="M13" i="9"/>
  <c r="O12" i="9"/>
  <c r="N12" i="9"/>
  <c r="Q12" i="9" s="1"/>
  <c r="M12" i="9"/>
  <c r="S12" i="9" s="1"/>
  <c r="O11" i="9"/>
  <c r="R11" i="9" s="1"/>
  <c r="N11" i="9"/>
  <c r="M11" i="9"/>
  <c r="G47" i="9"/>
  <c r="F47" i="9"/>
  <c r="E47" i="9"/>
  <c r="Q44" i="9"/>
  <c r="R44" i="9"/>
  <c r="P44" i="9"/>
  <c r="R43" i="9"/>
  <c r="Q42" i="9"/>
  <c r="R42" i="9"/>
  <c r="P42" i="9"/>
  <c r="R41" i="9"/>
  <c r="Q40" i="9"/>
  <c r="Q39" i="9"/>
  <c r="R39" i="9"/>
  <c r="R38" i="9"/>
  <c r="P38" i="9"/>
  <c r="R37" i="9"/>
  <c r="P32" i="9"/>
  <c r="R31" i="9"/>
  <c r="Q30" i="9"/>
  <c r="R30" i="9"/>
  <c r="P30" i="9"/>
  <c r="R28" i="9"/>
  <c r="Q26" i="9"/>
  <c r="R26" i="9"/>
  <c r="P25" i="9"/>
  <c r="R24" i="9"/>
  <c r="P24" i="9"/>
  <c r="R22" i="9"/>
  <c r="P18" i="9"/>
  <c r="P17" i="9"/>
  <c r="R16" i="9"/>
  <c r="P16" i="9"/>
  <c r="P13" i="9"/>
  <c r="R12" i="9"/>
  <c r="P12" i="9"/>
  <c r="P11" i="9"/>
  <c r="O44" i="8"/>
  <c r="R44" i="8" s="1"/>
  <c r="N44" i="8"/>
  <c r="Q44" i="8" s="1"/>
  <c r="M44" i="8"/>
  <c r="P44" i="8" s="1"/>
  <c r="O43" i="8"/>
  <c r="N43" i="8"/>
  <c r="Q43" i="8" s="1"/>
  <c r="M43" i="8"/>
  <c r="O42" i="8"/>
  <c r="R42" i="8" s="1"/>
  <c r="N42" i="8"/>
  <c r="Q42" i="8" s="1"/>
  <c r="M42" i="8"/>
  <c r="O41" i="8"/>
  <c r="N41" i="8"/>
  <c r="Q41" i="8" s="1"/>
  <c r="M41" i="8"/>
  <c r="P41" i="8" s="1"/>
  <c r="O40" i="8"/>
  <c r="R40" i="8" s="1"/>
  <c r="N40" i="8"/>
  <c r="Q40" i="8" s="1"/>
  <c r="M40" i="8"/>
  <c r="P40" i="8" s="1"/>
  <c r="O39" i="8"/>
  <c r="R39" i="8" s="1"/>
  <c r="N39" i="8"/>
  <c r="Q39" i="8" s="1"/>
  <c r="M39" i="8"/>
  <c r="P39" i="8" s="1"/>
  <c r="O38" i="8"/>
  <c r="R38" i="8" s="1"/>
  <c r="N38" i="8"/>
  <c r="Q38" i="8" s="1"/>
  <c r="M38" i="8"/>
  <c r="O37" i="8"/>
  <c r="N37" i="8"/>
  <c r="M37" i="8"/>
  <c r="P37" i="8" s="1"/>
  <c r="O36" i="8"/>
  <c r="R36" i="8" s="1"/>
  <c r="N36" i="8"/>
  <c r="Q36" i="8" s="1"/>
  <c r="M36" i="8"/>
  <c r="P36" i="8" s="1"/>
  <c r="O35" i="8"/>
  <c r="R35" i="8" s="1"/>
  <c r="N35" i="8"/>
  <c r="Q35" i="8" s="1"/>
  <c r="M35" i="8"/>
  <c r="P35" i="8" s="1"/>
  <c r="O34" i="8"/>
  <c r="R34" i="8" s="1"/>
  <c r="N34" i="8"/>
  <c r="Q34" i="8" s="1"/>
  <c r="M34" i="8"/>
  <c r="P34" i="8" s="1"/>
  <c r="O33" i="8"/>
  <c r="R33" i="8" s="1"/>
  <c r="N33" i="8"/>
  <c r="M33" i="8"/>
  <c r="P33" i="8" s="1"/>
  <c r="O32" i="8"/>
  <c r="R32" i="8" s="1"/>
  <c r="N32" i="8"/>
  <c r="Q32" i="8" s="1"/>
  <c r="M32" i="8"/>
  <c r="O31" i="8"/>
  <c r="N31" i="8"/>
  <c r="M31" i="8"/>
  <c r="O30" i="8"/>
  <c r="R30" i="8" s="1"/>
  <c r="N30" i="8"/>
  <c r="Q30" i="8" s="1"/>
  <c r="M30" i="8"/>
  <c r="M46" i="8" s="1"/>
  <c r="O29" i="8"/>
  <c r="N29" i="8"/>
  <c r="M29" i="8"/>
  <c r="P29" i="8" s="1"/>
  <c r="O28" i="8"/>
  <c r="R28" i="8" s="1"/>
  <c r="N28" i="8"/>
  <c r="Q28" i="8" s="1"/>
  <c r="M28" i="8"/>
  <c r="P28" i="8" s="1"/>
  <c r="O27" i="8"/>
  <c r="N27" i="8"/>
  <c r="Q27" i="8" s="1"/>
  <c r="M27" i="8"/>
  <c r="P27" i="8" s="1"/>
  <c r="O26" i="8"/>
  <c r="R26" i="8" s="1"/>
  <c r="N26" i="8"/>
  <c r="Q26" i="8" s="1"/>
  <c r="M26" i="8"/>
  <c r="P26" i="8" s="1"/>
  <c r="O25" i="8"/>
  <c r="R25" i="8" s="1"/>
  <c r="N25" i="8"/>
  <c r="M25" i="8"/>
  <c r="O24" i="8"/>
  <c r="R24" i="8" s="1"/>
  <c r="N24" i="8"/>
  <c r="Q24" i="8" s="1"/>
  <c r="M24" i="8"/>
  <c r="O23" i="8"/>
  <c r="N23" i="8"/>
  <c r="Q23" i="8" s="1"/>
  <c r="M23" i="8"/>
  <c r="O22" i="8"/>
  <c r="N22" i="8"/>
  <c r="S22" i="8" s="1"/>
  <c r="M22" i="8"/>
  <c r="O21" i="8"/>
  <c r="N21" i="8"/>
  <c r="M21" i="8"/>
  <c r="O20" i="8"/>
  <c r="N20" i="8"/>
  <c r="M20" i="8"/>
  <c r="O19" i="8"/>
  <c r="N19" i="8"/>
  <c r="M19" i="8"/>
  <c r="S19" i="8" s="1"/>
  <c r="O18" i="8"/>
  <c r="R18" i="8" s="1"/>
  <c r="N18" i="8"/>
  <c r="Q18" i="8" s="1"/>
  <c r="M18" i="8"/>
  <c r="O17" i="8"/>
  <c r="R17" i="8" s="1"/>
  <c r="N17" i="8"/>
  <c r="M17" i="8"/>
  <c r="S17" i="8" s="1"/>
  <c r="O16" i="8"/>
  <c r="R16" i="8" s="1"/>
  <c r="N16" i="8"/>
  <c r="M16" i="8"/>
  <c r="O15" i="8"/>
  <c r="R15" i="8" s="1"/>
  <c r="N15" i="8"/>
  <c r="Q15" i="8" s="1"/>
  <c r="M15" i="8"/>
  <c r="P15" i="8" s="1"/>
  <c r="O14" i="8"/>
  <c r="N14" i="8"/>
  <c r="M14" i="8"/>
  <c r="P14" i="8" s="1"/>
  <c r="O13" i="8"/>
  <c r="R13" i="8" s="1"/>
  <c r="N13" i="8"/>
  <c r="Q13" i="8" s="1"/>
  <c r="M13" i="8"/>
  <c r="P13" i="8" s="1"/>
  <c r="O12" i="8"/>
  <c r="R12" i="8" s="1"/>
  <c r="N12" i="8"/>
  <c r="Q12" i="8" s="1"/>
  <c r="M12" i="8"/>
  <c r="P12" i="8" s="1"/>
  <c r="O11" i="8"/>
  <c r="N11" i="8"/>
  <c r="M11" i="8"/>
  <c r="P11" i="8" s="1"/>
  <c r="G47" i="8"/>
  <c r="F47" i="8"/>
  <c r="E47" i="8"/>
  <c r="R43" i="8"/>
  <c r="P43" i="8"/>
  <c r="P42" i="8"/>
  <c r="R41" i="8"/>
  <c r="P38" i="8"/>
  <c r="Q37" i="8"/>
  <c r="R37" i="8"/>
  <c r="Q33" i="8"/>
  <c r="P32" i="8"/>
  <c r="Q31" i="8"/>
  <c r="R31" i="8"/>
  <c r="P31" i="8"/>
  <c r="Q29" i="8"/>
  <c r="R29" i="8"/>
  <c r="R27" i="8"/>
  <c r="P25" i="8"/>
  <c r="P24" i="8"/>
  <c r="R23" i="8"/>
  <c r="P23" i="8"/>
  <c r="R22" i="8"/>
  <c r="P22" i="8"/>
  <c r="R21" i="8"/>
  <c r="P21" i="8"/>
  <c r="Q21" i="8"/>
  <c r="R20" i="8"/>
  <c r="P20" i="8"/>
  <c r="R19" i="8"/>
  <c r="P19" i="8"/>
  <c r="Q19" i="8"/>
  <c r="P18" i="8"/>
  <c r="Q17" i="8"/>
  <c r="P16" i="8"/>
  <c r="Q16" i="8"/>
  <c r="S15" i="8"/>
  <c r="R14" i="8"/>
  <c r="R11" i="8"/>
  <c r="O44" i="7"/>
  <c r="R44" i="7" s="1"/>
  <c r="N44" i="7"/>
  <c r="Q44" i="7" s="1"/>
  <c r="M44" i="7"/>
  <c r="O43" i="7"/>
  <c r="N43" i="7"/>
  <c r="M43" i="7"/>
  <c r="P43" i="7" s="1"/>
  <c r="O42" i="7"/>
  <c r="R42" i="7" s="1"/>
  <c r="N42" i="7"/>
  <c r="M42" i="7"/>
  <c r="O41" i="7"/>
  <c r="N41" i="7"/>
  <c r="Q41" i="7" s="1"/>
  <c r="M41" i="7"/>
  <c r="P41" i="7" s="1"/>
  <c r="O40" i="7"/>
  <c r="N40" i="7"/>
  <c r="Q40" i="7" s="1"/>
  <c r="M40" i="7"/>
  <c r="P40" i="7" s="1"/>
  <c r="O39" i="7"/>
  <c r="R39" i="7" s="1"/>
  <c r="N39" i="7"/>
  <c r="Q39" i="7" s="1"/>
  <c r="M39" i="7"/>
  <c r="P39" i="7" s="1"/>
  <c r="O38" i="7"/>
  <c r="R38" i="7" s="1"/>
  <c r="N38" i="7"/>
  <c r="Q38" i="7" s="1"/>
  <c r="M38" i="7"/>
  <c r="P38" i="7" s="1"/>
  <c r="O37" i="7"/>
  <c r="N37" i="7"/>
  <c r="M37" i="7"/>
  <c r="P37" i="7" s="1"/>
  <c r="O36" i="7"/>
  <c r="R36" i="7" s="1"/>
  <c r="N36" i="7"/>
  <c r="Q36" i="7" s="1"/>
  <c r="M36" i="7"/>
  <c r="O35" i="7"/>
  <c r="N35" i="7"/>
  <c r="Q35" i="7" s="1"/>
  <c r="M35" i="7"/>
  <c r="P35" i="7" s="1"/>
  <c r="O34" i="7"/>
  <c r="R34" i="7" s="1"/>
  <c r="N34" i="7"/>
  <c r="Q34" i="7" s="1"/>
  <c r="M34" i="7"/>
  <c r="P34" i="7" s="1"/>
  <c r="O33" i="7"/>
  <c r="N33" i="7"/>
  <c r="Q33" i="7" s="1"/>
  <c r="M33" i="7"/>
  <c r="P33" i="7" s="1"/>
  <c r="O32" i="7"/>
  <c r="R32" i="7" s="1"/>
  <c r="N32" i="7"/>
  <c r="Q32" i="7" s="1"/>
  <c r="M32" i="7"/>
  <c r="P32" i="7" s="1"/>
  <c r="O31" i="7"/>
  <c r="N31" i="7"/>
  <c r="Q31" i="7" s="1"/>
  <c r="M31" i="7"/>
  <c r="P31" i="7" s="1"/>
  <c r="O30" i="7"/>
  <c r="R30" i="7" s="1"/>
  <c r="N30" i="7"/>
  <c r="M30" i="7"/>
  <c r="O29" i="7"/>
  <c r="N29" i="7"/>
  <c r="M29" i="7"/>
  <c r="P29" i="7" s="1"/>
  <c r="O28" i="7"/>
  <c r="R28" i="7" s="1"/>
  <c r="N28" i="7"/>
  <c r="Q28" i="7" s="1"/>
  <c r="M28" i="7"/>
  <c r="P28" i="7" s="1"/>
  <c r="O27" i="7"/>
  <c r="N27" i="7"/>
  <c r="M27" i="7"/>
  <c r="P27" i="7" s="1"/>
  <c r="O26" i="7"/>
  <c r="R26" i="7" s="1"/>
  <c r="N26" i="7"/>
  <c r="Q26" i="7" s="1"/>
  <c r="M26" i="7"/>
  <c r="P26" i="7" s="1"/>
  <c r="O25" i="7"/>
  <c r="R25" i="7" s="1"/>
  <c r="N25" i="7"/>
  <c r="Q25" i="7" s="1"/>
  <c r="M25" i="7"/>
  <c r="S25" i="7" s="1"/>
  <c r="O24" i="7"/>
  <c r="R24" i="7" s="1"/>
  <c r="N24" i="7"/>
  <c r="M24" i="7"/>
  <c r="O23" i="7"/>
  <c r="N23" i="7"/>
  <c r="M23" i="7"/>
  <c r="S23" i="7" s="1"/>
  <c r="O22" i="7"/>
  <c r="R22" i="7" s="1"/>
  <c r="N22" i="7"/>
  <c r="M22" i="7"/>
  <c r="O21" i="7"/>
  <c r="R21" i="7" s="1"/>
  <c r="N21" i="7"/>
  <c r="Q21" i="7" s="1"/>
  <c r="M21" i="7"/>
  <c r="O20" i="7"/>
  <c r="R20" i="7" s="1"/>
  <c r="N20" i="7"/>
  <c r="M20" i="7"/>
  <c r="S20" i="7" s="1"/>
  <c r="O19" i="7"/>
  <c r="N19" i="7"/>
  <c r="Q19" i="7" s="1"/>
  <c r="M19" i="7"/>
  <c r="S19" i="7" s="1"/>
  <c r="O18" i="7"/>
  <c r="N18" i="7"/>
  <c r="M18" i="7"/>
  <c r="O17" i="7"/>
  <c r="N17" i="7"/>
  <c r="M17" i="7"/>
  <c r="S17" i="7" s="1"/>
  <c r="O16" i="7"/>
  <c r="N16" i="7"/>
  <c r="M16" i="7"/>
  <c r="O15" i="7"/>
  <c r="N15" i="7"/>
  <c r="M15" i="7"/>
  <c r="S15" i="7" s="1"/>
  <c r="O14" i="7"/>
  <c r="R14" i="7" s="1"/>
  <c r="N14" i="7"/>
  <c r="M14" i="7"/>
  <c r="S14" i="7" s="1"/>
  <c r="O13" i="7"/>
  <c r="N13" i="7"/>
  <c r="Q13" i="7" s="1"/>
  <c r="M13" i="7"/>
  <c r="S13" i="7" s="1"/>
  <c r="O12" i="7"/>
  <c r="N12" i="7"/>
  <c r="M12" i="7"/>
  <c r="O11" i="7"/>
  <c r="N11" i="7"/>
  <c r="Q11" i="7" s="1"/>
  <c r="M11" i="7"/>
  <c r="G47" i="7"/>
  <c r="F47" i="7"/>
  <c r="E47" i="7"/>
  <c r="P44" i="7"/>
  <c r="Q43" i="7"/>
  <c r="R43" i="7"/>
  <c r="Q42" i="7"/>
  <c r="P42" i="7"/>
  <c r="R41" i="7"/>
  <c r="R40" i="7"/>
  <c r="Q37" i="7"/>
  <c r="R37" i="7"/>
  <c r="P36" i="7"/>
  <c r="R35" i="7"/>
  <c r="R33" i="7"/>
  <c r="R31" i="7"/>
  <c r="Q30" i="7"/>
  <c r="P30" i="7"/>
  <c r="Q29" i="7"/>
  <c r="R29" i="7"/>
  <c r="Q27" i="7"/>
  <c r="R27" i="7"/>
  <c r="Q24" i="7"/>
  <c r="Q23" i="7"/>
  <c r="R23" i="7"/>
  <c r="Q22" i="7"/>
  <c r="Q20" i="7"/>
  <c r="R19" i="7"/>
  <c r="Q18" i="7"/>
  <c r="Q17" i="7"/>
  <c r="R17" i="7"/>
  <c r="Q16" i="7"/>
  <c r="Q15" i="7"/>
  <c r="R15" i="7"/>
  <c r="Q14" i="7"/>
  <c r="R13" i="7"/>
  <c r="O44" i="6"/>
  <c r="R44" i="6" s="1"/>
  <c r="N44" i="6"/>
  <c r="Q44" i="6" s="1"/>
  <c r="M44" i="6"/>
  <c r="O43" i="6"/>
  <c r="R43" i="6" s="1"/>
  <c r="N43" i="6"/>
  <c r="M43" i="6"/>
  <c r="P43" i="6" s="1"/>
  <c r="O42" i="6"/>
  <c r="N42" i="6"/>
  <c r="Q42" i="6" s="1"/>
  <c r="M42" i="6"/>
  <c r="P42" i="6" s="1"/>
  <c r="O41" i="6"/>
  <c r="R41" i="6" s="1"/>
  <c r="N41" i="6"/>
  <c r="Q41" i="6" s="1"/>
  <c r="M41" i="6"/>
  <c r="P41" i="6" s="1"/>
  <c r="O40" i="6"/>
  <c r="R40" i="6" s="1"/>
  <c r="N40" i="6"/>
  <c r="Q40" i="6" s="1"/>
  <c r="M40" i="6"/>
  <c r="O39" i="6"/>
  <c r="R39" i="6" s="1"/>
  <c r="N39" i="6"/>
  <c r="M39" i="6"/>
  <c r="P39" i="6" s="1"/>
  <c r="O38" i="6"/>
  <c r="R38" i="6" s="1"/>
  <c r="N38" i="6"/>
  <c r="Q38" i="6" s="1"/>
  <c r="M38" i="6"/>
  <c r="O37" i="6"/>
  <c r="R37" i="6" s="1"/>
  <c r="N37" i="6"/>
  <c r="M37" i="6"/>
  <c r="P37" i="6" s="1"/>
  <c r="O36" i="6"/>
  <c r="R36" i="6" s="1"/>
  <c r="N36" i="6"/>
  <c r="Q36" i="6" s="1"/>
  <c r="M36" i="6"/>
  <c r="O35" i="6"/>
  <c r="R35" i="6" s="1"/>
  <c r="N35" i="6"/>
  <c r="Q35" i="6" s="1"/>
  <c r="M35" i="6"/>
  <c r="P35" i="6" s="1"/>
  <c r="O34" i="6"/>
  <c r="R34" i="6" s="1"/>
  <c r="N34" i="6"/>
  <c r="Q34" i="6" s="1"/>
  <c r="M34" i="6"/>
  <c r="O33" i="6"/>
  <c r="R33" i="6" s="1"/>
  <c r="N33" i="6"/>
  <c r="Q33" i="6" s="1"/>
  <c r="M33" i="6"/>
  <c r="P33" i="6" s="1"/>
  <c r="O32" i="6"/>
  <c r="R32" i="6" s="1"/>
  <c r="N32" i="6"/>
  <c r="M32" i="6"/>
  <c r="P32" i="6" s="1"/>
  <c r="O31" i="6"/>
  <c r="N31" i="6"/>
  <c r="M31" i="6"/>
  <c r="P31" i="6" s="1"/>
  <c r="O30" i="6"/>
  <c r="N30" i="6"/>
  <c r="M30" i="6"/>
  <c r="P30" i="6" s="1"/>
  <c r="O29" i="6"/>
  <c r="R29" i="6" s="1"/>
  <c r="N29" i="6"/>
  <c r="M29" i="6"/>
  <c r="P29" i="6" s="1"/>
  <c r="O28" i="6"/>
  <c r="R28" i="6" s="1"/>
  <c r="N28" i="6"/>
  <c r="Q28" i="6" s="1"/>
  <c r="M28" i="6"/>
  <c r="S28" i="6" s="1"/>
  <c r="O27" i="6"/>
  <c r="R27" i="6" s="1"/>
  <c r="N27" i="6"/>
  <c r="Q27" i="6" s="1"/>
  <c r="M27" i="6"/>
  <c r="P27" i="6" s="1"/>
  <c r="O26" i="6"/>
  <c r="N26" i="6"/>
  <c r="Q26" i="6" s="1"/>
  <c r="M26" i="6"/>
  <c r="O25" i="6"/>
  <c r="R25" i="6" s="1"/>
  <c r="N25" i="6"/>
  <c r="Q25" i="6" s="1"/>
  <c r="M25" i="6"/>
  <c r="P25" i="6" s="1"/>
  <c r="O24" i="6"/>
  <c r="N24" i="6"/>
  <c r="Q24" i="6" s="1"/>
  <c r="M24" i="6"/>
  <c r="O23" i="6"/>
  <c r="N23" i="6"/>
  <c r="Q23" i="6" s="1"/>
  <c r="M23" i="6"/>
  <c r="P23" i="6" s="1"/>
  <c r="O22" i="6"/>
  <c r="R22" i="6" s="1"/>
  <c r="N22" i="6"/>
  <c r="Q22" i="6" s="1"/>
  <c r="M22" i="6"/>
  <c r="S22" i="6" s="1"/>
  <c r="O21" i="6"/>
  <c r="R21" i="6" s="1"/>
  <c r="N21" i="6"/>
  <c r="Q21" i="6" s="1"/>
  <c r="M21" i="6"/>
  <c r="P21" i="6" s="1"/>
  <c r="O20" i="6"/>
  <c r="S20" i="6" s="1"/>
  <c r="N20" i="6"/>
  <c r="Q20" i="6" s="1"/>
  <c r="M20" i="6"/>
  <c r="O19" i="6"/>
  <c r="R19" i="6" s="1"/>
  <c r="N19" i="6"/>
  <c r="M19" i="6"/>
  <c r="P19" i="6" s="1"/>
  <c r="O18" i="6"/>
  <c r="R18" i="6" s="1"/>
  <c r="N18" i="6"/>
  <c r="Q18" i="6" s="1"/>
  <c r="M18" i="6"/>
  <c r="O17" i="6"/>
  <c r="N17" i="6"/>
  <c r="M17" i="6"/>
  <c r="P17" i="6" s="1"/>
  <c r="O16" i="6"/>
  <c r="R16" i="6" s="1"/>
  <c r="N16" i="6"/>
  <c r="Q16" i="6" s="1"/>
  <c r="M16" i="6"/>
  <c r="O15" i="6"/>
  <c r="R15" i="6" s="1"/>
  <c r="N15" i="6"/>
  <c r="Q15" i="6" s="1"/>
  <c r="M15" i="6"/>
  <c r="P15" i="6" s="1"/>
  <c r="O14" i="6"/>
  <c r="R14" i="6" s="1"/>
  <c r="N14" i="6"/>
  <c r="Q14" i="6" s="1"/>
  <c r="M14" i="6"/>
  <c r="P14" i="6" s="1"/>
  <c r="O13" i="6"/>
  <c r="R13" i="6" s="1"/>
  <c r="N13" i="6"/>
  <c r="Q13" i="6" s="1"/>
  <c r="M13" i="6"/>
  <c r="P13" i="6" s="1"/>
  <c r="O12" i="6"/>
  <c r="R12" i="6" s="1"/>
  <c r="N12" i="6"/>
  <c r="Q12" i="6" s="1"/>
  <c r="M12" i="6"/>
  <c r="O11" i="6"/>
  <c r="N11" i="6"/>
  <c r="M11" i="6"/>
  <c r="P11" i="6" s="1"/>
  <c r="G47" i="6"/>
  <c r="F47" i="6"/>
  <c r="E47" i="6"/>
  <c r="P44" i="6"/>
  <c r="Q43" i="6"/>
  <c r="R42" i="6"/>
  <c r="P40" i="6"/>
  <c r="Q39" i="6"/>
  <c r="P38" i="6"/>
  <c r="Q37" i="6"/>
  <c r="P36" i="6"/>
  <c r="Q32" i="6"/>
  <c r="R31" i="6"/>
  <c r="Q31" i="6"/>
  <c r="R30" i="6"/>
  <c r="Q30" i="6"/>
  <c r="Q29" i="6"/>
  <c r="R26" i="6"/>
  <c r="S26" i="6"/>
  <c r="R24" i="6"/>
  <c r="S24" i="6"/>
  <c r="R23" i="6"/>
  <c r="Q19" i="6"/>
  <c r="P18" i="6"/>
  <c r="R17" i="6"/>
  <c r="Q17" i="6"/>
  <c r="P16" i="6"/>
  <c r="P12" i="6"/>
  <c r="R11" i="6"/>
  <c r="O44" i="17" l="1"/>
  <c r="Q19" i="17"/>
  <c r="S19" i="17"/>
  <c r="P30" i="8"/>
  <c r="N46" i="10"/>
  <c r="S18" i="7"/>
  <c r="O46" i="8"/>
  <c r="Q25" i="8"/>
  <c r="T25" i="8" s="1"/>
  <c r="U25" i="8" s="1"/>
  <c r="I25" i="8" s="1"/>
  <c r="S25" i="8"/>
  <c r="N46" i="7"/>
  <c r="P14" i="9"/>
  <c r="S13" i="8"/>
  <c r="S23" i="8"/>
  <c r="S20" i="8"/>
  <c r="P15" i="9"/>
  <c r="T15" i="9" s="1"/>
  <c r="U15" i="9" s="1"/>
  <c r="I15" i="9" s="1"/>
  <c r="S24" i="11"/>
  <c r="S20" i="12"/>
  <c r="Q12" i="7"/>
  <c r="Q46" i="7" s="1"/>
  <c r="F46" i="7" s="1"/>
  <c r="S21" i="7"/>
  <c r="S14" i="8"/>
  <c r="S21" i="8"/>
  <c r="S14" i="12"/>
  <c r="P19" i="13"/>
  <c r="S19" i="13"/>
  <c r="P20" i="11"/>
  <c r="S20" i="11"/>
  <c r="S24" i="12"/>
  <c r="S17" i="13"/>
  <c r="S19" i="9"/>
  <c r="P19" i="9"/>
  <c r="T19" i="9" s="1"/>
  <c r="U19" i="9" s="1"/>
  <c r="I19" i="9" s="1"/>
  <c r="S29" i="11"/>
  <c r="Q29" i="11"/>
  <c r="P23" i="13"/>
  <c r="T23" i="13" s="1"/>
  <c r="U23" i="13" s="1"/>
  <c r="I23" i="13" s="1"/>
  <c r="O46" i="14"/>
  <c r="P18" i="16"/>
  <c r="T18" i="16" s="1"/>
  <c r="U18" i="16" s="1"/>
  <c r="I18" i="16" s="1"/>
  <c r="J18" i="16" s="1"/>
  <c r="S18" i="16"/>
  <c r="Q13" i="17"/>
  <c r="Q44" i="17" s="1"/>
  <c r="F44" i="17" s="1"/>
  <c r="P18" i="11"/>
  <c r="T18" i="11" s="1"/>
  <c r="U18" i="11" s="1"/>
  <c r="I18" i="11" s="1"/>
  <c r="J18" i="11" s="1"/>
  <c r="S29" i="6"/>
  <c r="O46" i="7"/>
  <c r="S23" i="9"/>
  <c r="P23" i="9"/>
  <c r="R20" i="6"/>
  <c r="P21" i="9"/>
  <c r="S25" i="13"/>
  <c r="N44" i="16"/>
  <c r="P25" i="12"/>
  <c r="S25" i="12"/>
  <c r="N46" i="8"/>
  <c r="S46" i="8" s="1"/>
  <c r="S13" i="9"/>
  <c r="S30" i="11"/>
  <c r="P18" i="12"/>
  <c r="P16" i="16"/>
  <c r="T16" i="16" s="1"/>
  <c r="U16" i="16" s="1"/>
  <c r="I16" i="16" s="1"/>
  <c r="S16" i="16"/>
  <c r="P17" i="16"/>
  <c r="T17" i="16" s="1"/>
  <c r="U17" i="16" s="1"/>
  <c r="I17" i="16" s="1"/>
  <c r="J17" i="16" s="1"/>
  <c r="S17" i="16"/>
  <c r="N46" i="13"/>
  <c r="S20" i="9"/>
  <c r="P20" i="9"/>
  <c r="T20" i="9" s="1"/>
  <c r="U20" i="9" s="1"/>
  <c r="I20" i="9" s="1"/>
  <c r="S16" i="8"/>
  <c r="S16" i="9"/>
  <c r="S19" i="16"/>
  <c r="S17" i="17"/>
  <c r="U14" i="18"/>
  <c r="I14" i="18" s="1"/>
  <c r="P22" i="9"/>
  <c r="S21" i="13"/>
  <c r="S16" i="7"/>
  <c r="S17" i="9"/>
  <c r="P19" i="11"/>
  <c r="T19" i="11" s="1"/>
  <c r="U19" i="11" s="1"/>
  <c r="I19" i="11" s="1"/>
  <c r="S18" i="17"/>
  <c r="U34" i="18"/>
  <c r="I34" i="18" s="1"/>
  <c r="J34" i="19" s="1"/>
  <c r="S24" i="9"/>
  <c r="P17" i="8"/>
  <c r="T17" i="8" s="1"/>
  <c r="U17" i="8" s="1"/>
  <c r="I17" i="8" s="1"/>
  <c r="S12" i="17"/>
  <c r="U26" i="18"/>
  <c r="I26" i="18" s="1"/>
  <c r="J26" i="19" s="1"/>
  <c r="M46" i="7"/>
  <c r="S46" i="7" s="1"/>
  <c r="N46" i="9"/>
  <c r="S18" i="9"/>
  <c r="M46" i="12"/>
  <c r="S46" i="12" s="1"/>
  <c r="Q19" i="16"/>
  <c r="T19" i="16" s="1"/>
  <c r="U19" i="16" s="1"/>
  <c r="I19" i="16" s="1"/>
  <c r="J19" i="16" s="1"/>
  <c r="S12" i="7"/>
  <c r="S18" i="8"/>
  <c r="T26" i="10"/>
  <c r="S17" i="11"/>
  <c r="S15" i="16"/>
  <c r="R12" i="7"/>
  <c r="Q22" i="8"/>
  <c r="S15" i="11"/>
  <c r="P11" i="12"/>
  <c r="S13" i="12"/>
  <c r="S19" i="12"/>
  <c r="S21" i="12"/>
  <c r="S12" i="13"/>
  <c r="S14" i="13"/>
  <c r="S16" i="13"/>
  <c r="S18" i="13"/>
  <c r="S20" i="13"/>
  <c r="S22" i="13"/>
  <c r="S24" i="13"/>
  <c r="S13" i="16"/>
  <c r="S24" i="7"/>
  <c r="S24" i="8"/>
  <c r="S13" i="11"/>
  <c r="M46" i="13"/>
  <c r="S23" i="16"/>
  <c r="S22" i="7"/>
  <c r="S23" i="11"/>
  <c r="S21" i="16"/>
  <c r="R16" i="7"/>
  <c r="S12" i="8"/>
  <c r="M46" i="9"/>
  <c r="T38" i="10"/>
  <c r="M44" i="16"/>
  <c r="M44" i="17"/>
  <c r="R18" i="7"/>
  <c r="Q14" i="8"/>
  <c r="T14" i="8" s="1"/>
  <c r="U14" i="8" s="1"/>
  <c r="I14" i="8" s="1"/>
  <c r="Q20" i="8"/>
  <c r="T20" i="8" s="1"/>
  <c r="U20" i="8" s="1"/>
  <c r="I20" i="8" s="1"/>
  <c r="P46" i="8"/>
  <c r="E46" i="8" s="1"/>
  <c r="S29" i="9"/>
  <c r="P29" i="9"/>
  <c r="T29" i="9" s="1"/>
  <c r="Q12" i="10"/>
  <c r="T12" i="10" s="1"/>
  <c r="T32" i="10"/>
  <c r="R46" i="11"/>
  <c r="Q20" i="12"/>
  <c r="R46" i="13"/>
  <c r="J38" i="19"/>
  <c r="J21" i="19"/>
  <c r="T30" i="10"/>
  <c r="T42" i="10"/>
  <c r="T31" i="10"/>
  <c r="T33" i="10"/>
  <c r="T35" i="10"/>
  <c r="T37" i="10"/>
  <c r="T39" i="10"/>
  <c r="T41" i="10"/>
  <c r="T43" i="10"/>
  <c r="P46" i="12"/>
  <c r="J14" i="19"/>
  <c r="T28" i="10"/>
  <c r="T40" i="10"/>
  <c r="J12" i="19"/>
  <c r="J17" i="19"/>
  <c r="J15" i="19"/>
  <c r="J23" i="19"/>
  <c r="U42" i="18"/>
  <c r="I42" i="18" s="1"/>
  <c r="U20" i="18"/>
  <c r="I20" i="18" s="1"/>
  <c r="R46" i="9"/>
  <c r="T34" i="10"/>
  <c r="T27" i="10"/>
  <c r="T29" i="10"/>
  <c r="S13" i="14"/>
  <c r="S15" i="14"/>
  <c r="S17" i="14"/>
  <c r="S19" i="14"/>
  <c r="S21" i="14"/>
  <c r="S23" i="14"/>
  <c r="S25" i="14"/>
  <c r="P11" i="16"/>
  <c r="U18" i="18"/>
  <c r="I18" i="18" s="1"/>
  <c r="J25" i="19"/>
  <c r="U44" i="18"/>
  <c r="I44" i="18" s="1"/>
  <c r="U40" i="18"/>
  <c r="I40" i="18" s="1"/>
  <c r="U36" i="18"/>
  <c r="I36" i="18" s="1"/>
  <c r="U13" i="18"/>
  <c r="I13" i="18" s="1"/>
  <c r="U32" i="18"/>
  <c r="I32" i="18" s="1"/>
  <c r="U28" i="18"/>
  <c r="I28" i="18" s="1"/>
  <c r="U19" i="18"/>
  <c r="I19" i="18" s="1"/>
  <c r="U16" i="18"/>
  <c r="I16" i="18" s="1"/>
  <c r="U30" i="18"/>
  <c r="I30" i="18" s="1"/>
  <c r="U43" i="18"/>
  <c r="I43" i="18" s="1"/>
  <c r="U39" i="18"/>
  <c r="I39" i="18" s="1"/>
  <c r="U35" i="18"/>
  <c r="I35" i="18" s="1"/>
  <c r="U31" i="18"/>
  <c r="I31" i="18" s="1"/>
  <c r="U27" i="18"/>
  <c r="I27" i="18" s="1"/>
  <c r="U41" i="18"/>
  <c r="I41" i="18" s="1"/>
  <c r="U37" i="18"/>
  <c r="I37" i="18" s="1"/>
  <c r="U33" i="18"/>
  <c r="I33" i="18" s="1"/>
  <c r="U29" i="18"/>
  <c r="I29" i="18" s="1"/>
  <c r="U24" i="18"/>
  <c r="I24" i="18" s="1"/>
  <c r="U22" i="18"/>
  <c r="I22" i="18" s="1"/>
  <c r="P46" i="18"/>
  <c r="T11" i="18"/>
  <c r="U11" i="18" s="1"/>
  <c r="I11" i="18" s="1"/>
  <c r="F46" i="18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R11" i="17"/>
  <c r="R44" i="17" s="1"/>
  <c r="G44" i="17" s="1"/>
  <c r="P12" i="17"/>
  <c r="T12" i="17" s="1"/>
  <c r="P13" i="17"/>
  <c r="P14" i="17"/>
  <c r="T14" i="17" s="1"/>
  <c r="U14" i="17" s="1"/>
  <c r="I14" i="17" s="1"/>
  <c r="J14" i="17" s="1"/>
  <c r="P15" i="17"/>
  <c r="T15" i="17" s="1"/>
  <c r="U15" i="17" s="1"/>
  <c r="I15" i="17" s="1"/>
  <c r="J15" i="17" s="1"/>
  <c r="P16" i="17"/>
  <c r="T16" i="17" s="1"/>
  <c r="U16" i="17" s="1"/>
  <c r="I16" i="17" s="1"/>
  <c r="J16" i="17" s="1"/>
  <c r="P17" i="17"/>
  <c r="T17" i="17" s="1"/>
  <c r="U17" i="17" s="1"/>
  <c r="I17" i="17" s="1"/>
  <c r="J17" i="17" s="1"/>
  <c r="P18" i="17"/>
  <c r="T18" i="17" s="1"/>
  <c r="U18" i="17" s="1"/>
  <c r="I18" i="17" s="1"/>
  <c r="J18" i="17" s="1"/>
  <c r="P19" i="17"/>
  <c r="T19" i="17" s="1"/>
  <c r="U19" i="17" s="1"/>
  <c r="I19" i="17" s="1"/>
  <c r="J19" i="17" s="1"/>
  <c r="P20" i="17"/>
  <c r="T20" i="17" s="1"/>
  <c r="U20" i="17" s="1"/>
  <c r="I20" i="17" s="1"/>
  <c r="J20" i="17" s="1"/>
  <c r="P21" i="17"/>
  <c r="T21" i="17" s="1"/>
  <c r="U21" i="17" s="1"/>
  <c r="I21" i="17" s="1"/>
  <c r="J21" i="17" s="1"/>
  <c r="P22" i="17"/>
  <c r="T22" i="17" s="1"/>
  <c r="U22" i="17" s="1"/>
  <c r="I22" i="17" s="1"/>
  <c r="J22" i="17" s="1"/>
  <c r="P23" i="17"/>
  <c r="T23" i="17" s="1"/>
  <c r="U23" i="17" s="1"/>
  <c r="I23" i="17" s="1"/>
  <c r="J23" i="17" s="1"/>
  <c r="S44" i="17"/>
  <c r="S11" i="17"/>
  <c r="S24" i="17"/>
  <c r="S25" i="17"/>
  <c r="S26" i="17"/>
  <c r="S27" i="17"/>
  <c r="S28" i="17"/>
  <c r="S29" i="17"/>
  <c r="S30" i="17"/>
  <c r="S31" i="17"/>
  <c r="S32" i="17"/>
  <c r="S33" i="17"/>
  <c r="S34" i="17"/>
  <c r="S35" i="17"/>
  <c r="S36" i="17"/>
  <c r="S37" i="17"/>
  <c r="S38" i="17"/>
  <c r="U38" i="17" s="1"/>
  <c r="I38" i="17" s="1"/>
  <c r="J38" i="17" s="1"/>
  <c r="S39" i="17"/>
  <c r="U39" i="17" s="1"/>
  <c r="I39" i="17" s="1"/>
  <c r="J39" i="17" s="1"/>
  <c r="S40" i="17"/>
  <c r="U40" i="17" s="1"/>
  <c r="I40" i="17" s="1"/>
  <c r="J40" i="17" s="1"/>
  <c r="S41" i="17"/>
  <c r="U41" i="17" s="1"/>
  <c r="I41" i="17" s="1"/>
  <c r="J41" i="17" s="1"/>
  <c r="S42" i="17"/>
  <c r="O44" i="16"/>
  <c r="R44" i="16"/>
  <c r="T12" i="16"/>
  <c r="U12" i="16" s="1"/>
  <c r="I12" i="16" s="1"/>
  <c r="T14" i="16"/>
  <c r="U14" i="16" s="1"/>
  <c r="I14" i="16" s="1"/>
  <c r="T20" i="16"/>
  <c r="U20" i="16" s="1"/>
  <c r="I20" i="16" s="1"/>
  <c r="T22" i="16"/>
  <c r="U22" i="16" s="1"/>
  <c r="I22" i="16" s="1"/>
  <c r="T13" i="16"/>
  <c r="T15" i="16"/>
  <c r="U15" i="16" s="1"/>
  <c r="I15" i="16" s="1"/>
  <c r="J15" i="16" s="1"/>
  <c r="T21" i="16"/>
  <c r="U21" i="16" s="1"/>
  <c r="I21" i="16" s="1"/>
  <c r="T23" i="16"/>
  <c r="U23" i="16" s="1"/>
  <c r="I23" i="16" s="1"/>
  <c r="Q11" i="16"/>
  <c r="S11" i="16"/>
  <c r="T24" i="16"/>
  <c r="S24" i="16"/>
  <c r="T25" i="16"/>
  <c r="S25" i="16"/>
  <c r="T26" i="16"/>
  <c r="S26" i="16"/>
  <c r="T27" i="16"/>
  <c r="S27" i="16"/>
  <c r="T28" i="16"/>
  <c r="S28" i="16"/>
  <c r="T29" i="16"/>
  <c r="S29" i="16"/>
  <c r="T30" i="16"/>
  <c r="S30" i="16"/>
  <c r="T31" i="16"/>
  <c r="S31" i="16"/>
  <c r="T32" i="16"/>
  <c r="S32" i="16"/>
  <c r="T33" i="16"/>
  <c r="S33" i="16"/>
  <c r="T34" i="16"/>
  <c r="S34" i="16"/>
  <c r="T35" i="16"/>
  <c r="S35" i="16"/>
  <c r="T36" i="16"/>
  <c r="S36" i="16"/>
  <c r="T37" i="16"/>
  <c r="S37" i="16"/>
  <c r="T38" i="16"/>
  <c r="S38" i="16"/>
  <c r="T39" i="16"/>
  <c r="S39" i="16"/>
  <c r="T40" i="16"/>
  <c r="S40" i="16"/>
  <c r="T41" i="16"/>
  <c r="S41" i="16"/>
  <c r="T42" i="16"/>
  <c r="S42" i="16"/>
  <c r="N44" i="15"/>
  <c r="Q44" i="15"/>
  <c r="T26" i="15"/>
  <c r="T27" i="15"/>
  <c r="T28" i="15"/>
  <c r="T29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S26" i="15"/>
  <c r="S28" i="15"/>
  <c r="S30" i="15"/>
  <c r="S32" i="15"/>
  <c r="U32" i="15" s="1"/>
  <c r="I32" i="15" s="1"/>
  <c r="S34" i="15"/>
  <c r="U34" i="15" s="1"/>
  <c r="I34" i="15" s="1"/>
  <c r="S36" i="15"/>
  <c r="S38" i="15"/>
  <c r="S39" i="15"/>
  <c r="S40" i="15"/>
  <c r="P42" i="15"/>
  <c r="T42" i="15" s="1"/>
  <c r="S42" i="15"/>
  <c r="M44" i="15"/>
  <c r="P11" i="15"/>
  <c r="O44" i="15"/>
  <c r="R11" i="15"/>
  <c r="R44" i="15" s="1"/>
  <c r="S11" i="15"/>
  <c r="T12" i="15"/>
  <c r="S12" i="15"/>
  <c r="T13" i="15"/>
  <c r="S13" i="15"/>
  <c r="T14" i="15"/>
  <c r="S14" i="15"/>
  <c r="T15" i="15"/>
  <c r="S15" i="15"/>
  <c r="T16" i="15"/>
  <c r="S16" i="15"/>
  <c r="T17" i="15"/>
  <c r="S17" i="15"/>
  <c r="T18" i="15"/>
  <c r="S18" i="15"/>
  <c r="T19" i="15"/>
  <c r="S19" i="15"/>
  <c r="T20" i="15"/>
  <c r="S20" i="15"/>
  <c r="T21" i="15"/>
  <c r="S21" i="15"/>
  <c r="T22" i="15"/>
  <c r="S22" i="15"/>
  <c r="T23" i="15"/>
  <c r="S23" i="15"/>
  <c r="T24" i="15"/>
  <c r="S24" i="15"/>
  <c r="T25" i="15"/>
  <c r="S25" i="15"/>
  <c r="S27" i="15"/>
  <c r="S29" i="15"/>
  <c r="S31" i="15"/>
  <c r="S33" i="15"/>
  <c r="S35" i="15"/>
  <c r="S37" i="15"/>
  <c r="S41" i="15"/>
  <c r="R11" i="14"/>
  <c r="R46" i="14" s="1"/>
  <c r="N46" i="14"/>
  <c r="P11" i="14"/>
  <c r="S12" i="14"/>
  <c r="P13" i="14"/>
  <c r="S14" i="14"/>
  <c r="P15" i="14"/>
  <c r="T15" i="14" s="1"/>
  <c r="U15" i="14" s="1"/>
  <c r="I15" i="14" s="1"/>
  <c r="S16" i="14"/>
  <c r="P17" i="14"/>
  <c r="T17" i="14" s="1"/>
  <c r="U17" i="14" s="1"/>
  <c r="I17" i="14" s="1"/>
  <c r="S18" i="14"/>
  <c r="P19" i="14"/>
  <c r="T19" i="14" s="1"/>
  <c r="S20" i="14"/>
  <c r="P21" i="14"/>
  <c r="T21" i="14" s="1"/>
  <c r="S22" i="14"/>
  <c r="P23" i="14"/>
  <c r="T23" i="14" s="1"/>
  <c r="U23" i="14" s="1"/>
  <c r="I23" i="14" s="1"/>
  <c r="S24" i="14"/>
  <c r="P25" i="14"/>
  <c r="T12" i="14"/>
  <c r="T14" i="14"/>
  <c r="T16" i="14"/>
  <c r="T18" i="14"/>
  <c r="T20" i="14"/>
  <c r="T22" i="14"/>
  <c r="T24" i="14"/>
  <c r="T13" i="14"/>
  <c r="T25" i="14"/>
  <c r="Q11" i="14"/>
  <c r="Q46" i="14" s="1"/>
  <c r="S11" i="14"/>
  <c r="T26" i="14"/>
  <c r="S26" i="14"/>
  <c r="T27" i="14"/>
  <c r="S27" i="14"/>
  <c r="T28" i="14"/>
  <c r="S28" i="14"/>
  <c r="T29" i="14"/>
  <c r="S29" i="14"/>
  <c r="T30" i="14"/>
  <c r="S30" i="14"/>
  <c r="T31" i="14"/>
  <c r="S31" i="14"/>
  <c r="T32" i="14"/>
  <c r="S32" i="14"/>
  <c r="T33" i="14"/>
  <c r="S33" i="14"/>
  <c r="T34" i="14"/>
  <c r="S34" i="14"/>
  <c r="T35" i="14"/>
  <c r="S35" i="14"/>
  <c r="T36" i="14"/>
  <c r="S36" i="14"/>
  <c r="T37" i="14"/>
  <c r="S37" i="14"/>
  <c r="T38" i="14"/>
  <c r="S38" i="14"/>
  <c r="T39" i="14"/>
  <c r="S39" i="14"/>
  <c r="T40" i="14"/>
  <c r="S40" i="14"/>
  <c r="T41" i="14"/>
  <c r="S41" i="14"/>
  <c r="T42" i="14"/>
  <c r="S42" i="14"/>
  <c r="T43" i="14"/>
  <c r="S43" i="14"/>
  <c r="T44" i="14"/>
  <c r="S44" i="14"/>
  <c r="O46" i="13"/>
  <c r="G46" i="13" s="1"/>
  <c r="P46" i="13"/>
  <c r="E46" i="13" s="1"/>
  <c r="T12" i="13"/>
  <c r="U12" i="13" s="1"/>
  <c r="I12" i="13" s="1"/>
  <c r="T14" i="13"/>
  <c r="U14" i="13" s="1"/>
  <c r="I14" i="13" s="1"/>
  <c r="T16" i="13"/>
  <c r="U16" i="13" s="1"/>
  <c r="I16" i="13" s="1"/>
  <c r="T18" i="13"/>
  <c r="U18" i="13" s="1"/>
  <c r="I18" i="13" s="1"/>
  <c r="T20" i="13"/>
  <c r="U20" i="13" s="1"/>
  <c r="I20" i="13" s="1"/>
  <c r="T22" i="13"/>
  <c r="T24" i="13"/>
  <c r="T13" i="13"/>
  <c r="U13" i="13" s="1"/>
  <c r="I13" i="13" s="1"/>
  <c r="T15" i="13"/>
  <c r="U15" i="13" s="1"/>
  <c r="I15" i="13" s="1"/>
  <c r="T17" i="13"/>
  <c r="U17" i="13" s="1"/>
  <c r="I17" i="13" s="1"/>
  <c r="T19" i="13"/>
  <c r="U19" i="13" s="1"/>
  <c r="I19" i="13" s="1"/>
  <c r="T21" i="13"/>
  <c r="T25" i="13"/>
  <c r="U25" i="13" s="1"/>
  <c r="I25" i="13" s="1"/>
  <c r="Q11" i="13"/>
  <c r="Q46" i="13" s="1"/>
  <c r="S11" i="13"/>
  <c r="T26" i="13"/>
  <c r="S26" i="13"/>
  <c r="T27" i="13"/>
  <c r="S27" i="13"/>
  <c r="T28" i="13"/>
  <c r="S28" i="13"/>
  <c r="T29" i="13"/>
  <c r="S29" i="13"/>
  <c r="T30" i="13"/>
  <c r="S30" i="13"/>
  <c r="T31" i="13"/>
  <c r="S31" i="13"/>
  <c r="T32" i="13"/>
  <c r="S32" i="13"/>
  <c r="T33" i="13"/>
  <c r="S33" i="13"/>
  <c r="T34" i="13"/>
  <c r="S34" i="13"/>
  <c r="T35" i="13"/>
  <c r="S35" i="13"/>
  <c r="T36" i="13"/>
  <c r="S36" i="13"/>
  <c r="T37" i="13"/>
  <c r="S37" i="13"/>
  <c r="T38" i="13"/>
  <c r="S38" i="13"/>
  <c r="T39" i="13"/>
  <c r="S39" i="13"/>
  <c r="T40" i="13"/>
  <c r="S40" i="13"/>
  <c r="T41" i="13"/>
  <c r="S41" i="13"/>
  <c r="T42" i="13"/>
  <c r="S42" i="13"/>
  <c r="T43" i="13"/>
  <c r="S43" i="13"/>
  <c r="T44" i="13"/>
  <c r="S44" i="13"/>
  <c r="R46" i="12"/>
  <c r="G46" i="12" s="1"/>
  <c r="T12" i="12"/>
  <c r="U12" i="12" s="1"/>
  <c r="I12" i="12" s="1"/>
  <c r="T14" i="12"/>
  <c r="U14" i="12" s="1"/>
  <c r="I14" i="12" s="1"/>
  <c r="T16" i="12"/>
  <c r="U16" i="12" s="1"/>
  <c r="I16" i="12" s="1"/>
  <c r="T18" i="12"/>
  <c r="U18" i="12" s="1"/>
  <c r="I18" i="12" s="1"/>
  <c r="T20" i="12"/>
  <c r="T22" i="12"/>
  <c r="U22" i="12" s="1"/>
  <c r="I22" i="12" s="1"/>
  <c r="T24" i="12"/>
  <c r="U24" i="12" s="1"/>
  <c r="I24" i="12" s="1"/>
  <c r="E46" i="12"/>
  <c r="T13" i="12"/>
  <c r="U13" i="12" s="1"/>
  <c r="I13" i="12" s="1"/>
  <c r="T15" i="12"/>
  <c r="U15" i="12" s="1"/>
  <c r="I15" i="12" s="1"/>
  <c r="T17" i="12"/>
  <c r="U17" i="12" s="1"/>
  <c r="I17" i="12" s="1"/>
  <c r="T19" i="12"/>
  <c r="T21" i="12"/>
  <c r="T23" i="12"/>
  <c r="U23" i="12" s="1"/>
  <c r="I23" i="12" s="1"/>
  <c r="T25" i="12"/>
  <c r="U25" i="12" s="1"/>
  <c r="I25" i="12" s="1"/>
  <c r="Q11" i="12"/>
  <c r="Q46" i="12" s="1"/>
  <c r="F46" i="12" s="1"/>
  <c r="S11" i="12"/>
  <c r="T26" i="12"/>
  <c r="S26" i="12"/>
  <c r="T27" i="12"/>
  <c r="S27" i="12"/>
  <c r="T28" i="12"/>
  <c r="S28" i="12"/>
  <c r="T29" i="12"/>
  <c r="S29" i="12"/>
  <c r="T30" i="12"/>
  <c r="S30" i="12"/>
  <c r="T31" i="12"/>
  <c r="S31" i="12"/>
  <c r="T32" i="12"/>
  <c r="S32" i="12"/>
  <c r="T33" i="12"/>
  <c r="S33" i="12"/>
  <c r="T34" i="12"/>
  <c r="S34" i="12"/>
  <c r="T35" i="12"/>
  <c r="S35" i="12"/>
  <c r="T36" i="12"/>
  <c r="S36" i="12"/>
  <c r="T37" i="12"/>
  <c r="S37" i="12"/>
  <c r="T38" i="12"/>
  <c r="S38" i="12"/>
  <c r="T39" i="12"/>
  <c r="S39" i="12"/>
  <c r="T40" i="12"/>
  <c r="S40" i="12"/>
  <c r="T41" i="12"/>
  <c r="S41" i="12"/>
  <c r="T42" i="12"/>
  <c r="S42" i="12"/>
  <c r="T43" i="12"/>
  <c r="S43" i="12"/>
  <c r="T44" i="12"/>
  <c r="S44" i="12"/>
  <c r="T25" i="11"/>
  <c r="T27" i="11"/>
  <c r="N46" i="11"/>
  <c r="T26" i="11"/>
  <c r="T28" i="11"/>
  <c r="T30" i="11"/>
  <c r="U30" i="11" s="1"/>
  <c r="I30" i="11" s="1"/>
  <c r="T12" i="11"/>
  <c r="U12" i="11" s="1"/>
  <c r="I12" i="11" s="1"/>
  <c r="T14" i="11"/>
  <c r="U14" i="11" s="1"/>
  <c r="I14" i="11" s="1"/>
  <c r="T16" i="11"/>
  <c r="U16" i="11" s="1"/>
  <c r="I16" i="11" s="1"/>
  <c r="T20" i="11"/>
  <c r="U20" i="11" s="1"/>
  <c r="I20" i="11" s="1"/>
  <c r="T22" i="11"/>
  <c r="U22" i="11" s="1"/>
  <c r="I22" i="11" s="1"/>
  <c r="J22" i="11" s="1"/>
  <c r="T24" i="11"/>
  <c r="U24" i="11" s="1"/>
  <c r="I24" i="11" s="1"/>
  <c r="T13" i="11"/>
  <c r="T15" i="11"/>
  <c r="T17" i="11"/>
  <c r="U17" i="11" s="1"/>
  <c r="I17" i="11" s="1"/>
  <c r="J17" i="11" s="1"/>
  <c r="T21" i="11"/>
  <c r="U21" i="11" s="1"/>
  <c r="I21" i="11" s="1"/>
  <c r="T23" i="11"/>
  <c r="U23" i="11" s="1"/>
  <c r="I23" i="11" s="1"/>
  <c r="S25" i="11"/>
  <c r="S26" i="11"/>
  <c r="S27" i="11"/>
  <c r="U27" i="11" s="1"/>
  <c r="I27" i="11" s="1"/>
  <c r="S28" i="11"/>
  <c r="P29" i="11"/>
  <c r="M46" i="11"/>
  <c r="O46" i="11"/>
  <c r="G46" i="11" s="1"/>
  <c r="Q11" i="11"/>
  <c r="Q46" i="11" s="1"/>
  <c r="F46" i="11" s="1"/>
  <c r="S11" i="11"/>
  <c r="T31" i="11"/>
  <c r="S31" i="11"/>
  <c r="T32" i="11"/>
  <c r="S32" i="11"/>
  <c r="T33" i="11"/>
  <c r="S33" i="11"/>
  <c r="T34" i="11"/>
  <c r="S34" i="11"/>
  <c r="T35" i="11"/>
  <c r="S35" i="11"/>
  <c r="T36" i="11"/>
  <c r="S36" i="11"/>
  <c r="T37" i="11"/>
  <c r="S37" i="11"/>
  <c r="T38" i="11"/>
  <c r="S38" i="11"/>
  <c r="T39" i="11"/>
  <c r="S39" i="11"/>
  <c r="T40" i="11"/>
  <c r="S40" i="11"/>
  <c r="T41" i="11"/>
  <c r="S41" i="11"/>
  <c r="T42" i="11"/>
  <c r="S42" i="11"/>
  <c r="T43" i="11"/>
  <c r="S43" i="11"/>
  <c r="T44" i="11"/>
  <c r="S44" i="11"/>
  <c r="S26" i="10"/>
  <c r="U26" i="10" s="1"/>
  <c r="I26" i="10" s="1"/>
  <c r="S28" i="10"/>
  <c r="U28" i="10" s="1"/>
  <c r="I28" i="10" s="1"/>
  <c r="S30" i="10"/>
  <c r="S32" i="10"/>
  <c r="U32" i="10" s="1"/>
  <c r="I32" i="10" s="1"/>
  <c r="S34" i="10"/>
  <c r="S36" i="10"/>
  <c r="U36" i="10" s="1"/>
  <c r="I36" i="10" s="1"/>
  <c r="S38" i="10"/>
  <c r="S40" i="10"/>
  <c r="U40" i="10" s="1"/>
  <c r="I40" i="10" s="1"/>
  <c r="S42" i="10"/>
  <c r="U42" i="10" s="1"/>
  <c r="I42" i="10" s="1"/>
  <c r="P44" i="10"/>
  <c r="T44" i="10" s="1"/>
  <c r="S44" i="10"/>
  <c r="M46" i="10"/>
  <c r="P11" i="10"/>
  <c r="O46" i="10"/>
  <c r="R11" i="10"/>
  <c r="R46" i="10" s="1"/>
  <c r="S11" i="10"/>
  <c r="S12" i="10"/>
  <c r="T13" i="10"/>
  <c r="S13" i="10"/>
  <c r="T14" i="10"/>
  <c r="S14" i="10"/>
  <c r="T15" i="10"/>
  <c r="S15" i="10"/>
  <c r="T16" i="10"/>
  <c r="S16" i="10"/>
  <c r="T17" i="10"/>
  <c r="S17" i="10"/>
  <c r="T18" i="10"/>
  <c r="S18" i="10"/>
  <c r="T19" i="10"/>
  <c r="S19" i="10"/>
  <c r="T20" i="10"/>
  <c r="S20" i="10"/>
  <c r="T21" i="10"/>
  <c r="S21" i="10"/>
  <c r="T22" i="10"/>
  <c r="S22" i="10"/>
  <c r="T23" i="10"/>
  <c r="S23" i="10"/>
  <c r="T24" i="10"/>
  <c r="S24" i="10"/>
  <c r="T25" i="10"/>
  <c r="S25" i="10"/>
  <c r="S27" i="10"/>
  <c r="S29" i="10"/>
  <c r="S31" i="10"/>
  <c r="S33" i="10"/>
  <c r="S35" i="10"/>
  <c r="S37" i="10"/>
  <c r="S39" i="10"/>
  <c r="S41" i="10"/>
  <c r="S43" i="10"/>
  <c r="O46" i="9"/>
  <c r="G46" i="9" s="1"/>
  <c r="T12" i="9"/>
  <c r="U12" i="9" s="1"/>
  <c r="I12" i="9" s="1"/>
  <c r="T14" i="9"/>
  <c r="U14" i="9" s="1"/>
  <c r="I14" i="9" s="1"/>
  <c r="T16" i="9"/>
  <c r="U16" i="9" s="1"/>
  <c r="I16" i="9" s="1"/>
  <c r="T18" i="9"/>
  <c r="T22" i="9"/>
  <c r="U22" i="9" s="1"/>
  <c r="I22" i="9" s="1"/>
  <c r="T24" i="9"/>
  <c r="T13" i="9"/>
  <c r="T17" i="9"/>
  <c r="T21" i="9"/>
  <c r="U21" i="9" s="1"/>
  <c r="I21" i="9" s="1"/>
  <c r="T23" i="9"/>
  <c r="U23" i="9" s="1"/>
  <c r="I23" i="9" s="1"/>
  <c r="T25" i="9"/>
  <c r="U25" i="9" s="1"/>
  <c r="I25" i="9" s="1"/>
  <c r="Q11" i="9"/>
  <c r="Q46" i="9" s="1"/>
  <c r="S11" i="9"/>
  <c r="T26" i="9"/>
  <c r="S26" i="9"/>
  <c r="T27" i="9"/>
  <c r="S27" i="9"/>
  <c r="T28" i="9"/>
  <c r="S28" i="9"/>
  <c r="T30" i="9"/>
  <c r="S30" i="9"/>
  <c r="T31" i="9"/>
  <c r="S31" i="9"/>
  <c r="T32" i="9"/>
  <c r="S32" i="9"/>
  <c r="T33" i="9"/>
  <c r="S33" i="9"/>
  <c r="T34" i="9"/>
  <c r="S34" i="9"/>
  <c r="T35" i="9"/>
  <c r="S35" i="9"/>
  <c r="T36" i="9"/>
  <c r="S36" i="9"/>
  <c r="T37" i="9"/>
  <c r="S37" i="9"/>
  <c r="T38" i="9"/>
  <c r="S38" i="9"/>
  <c r="T39" i="9"/>
  <c r="S39" i="9"/>
  <c r="T40" i="9"/>
  <c r="S40" i="9"/>
  <c r="T41" i="9"/>
  <c r="S41" i="9"/>
  <c r="T42" i="9"/>
  <c r="S42" i="9"/>
  <c r="T43" i="9"/>
  <c r="S43" i="9"/>
  <c r="T44" i="9"/>
  <c r="S44" i="9"/>
  <c r="R46" i="8"/>
  <c r="G46" i="8" s="1"/>
  <c r="T12" i="8"/>
  <c r="U12" i="8" s="1"/>
  <c r="I12" i="8" s="1"/>
  <c r="T16" i="8"/>
  <c r="T18" i="8"/>
  <c r="U18" i="8" s="1"/>
  <c r="I18" i="8" s="1"/>
  <c r="T22" i="8"/>
  <c r="U22" i="8" s="1"/>
  <c r="I22" i="8" s="1"/>
  <c r="T24" i="8"/>
  <c r="U24" i="8" s="1"/>
  <c r="I24" i="8" s="1"/>
  <c r="T13" i="8"/>
  <c r="U13" i="8" s="1"/>
  <c r="I13" i="8" s="1"/>
  <c r="T15" i="8"/>
  <c r="U15" i="8" s="1"/>
  <c r="I15" i="8" s="1"/>
  <c r="T19" i="8"/>
  <c r="U19" i="8" s="1"/>
  <c r="I19" i="8" s="1"/>
  <c r="T21" i="8"/>
  <c r="U21" i="8" s="1"/>
  <c r="I21" i="8" s="1"/>
  <c r="T23" i="8"/>
  <c r="Q11" i="8"/>
  <c r="S11" i="8"/>
  <c r="T26" i="8"/>
  <c r="S26" i="8"/>
  <c r="T27" i="8"/>
  <c r="S27" i="8"/>
  <c r="T28" i="8"/>
  <c r="S28" i="8"/>
  <c r="T29" i="8"/>
  <c r="S29" i="8"/>
  <c r="T30" i="8"/>
  <c r="S30" i="8"/>
  <c r="T31" i="8"/>
  <c r="S31" i="8"/>
  <c r="T32" i="8"/>
  <c r="S32" i="8"/>
  <c r="T33" i="8"/>
  <c r="S33" i="8"/>
  <c r="T34" i="8"/>
  <c r="S34" i="8"/>
  <c r="T35" i="8"/>
  <c r="S35" i="8"/>
  <c r="T36" i="8"/>
  <c r="S36" i="8"/>
  <c r="T37" i="8"/>
  <c r="S37" i="8"/>
  <c r="T38" i="8"/>
  <c r="S38" i="8"/>
  <c r="T39" i="8"/>
  <c r="S39" i="8"/>
  <c r="T40" i="8"/>
  <c r="S40" i="8"/>
  <c r="T41" i="8"/>
  <c r="S41" i="8"/>
  <c r="T42" i="8"/>
  <c r="S42" i="8"/>
  <c r="T43" i="8"/>
  <c r="S43" i="8"/>
  <c r="T44" i="8"/>
  <c r="S44" i="8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P11" i="7"/>
  <c r="R11" i="7"/>
  <c r="P12" i="7"/>
  <c r="P13" i="7"/>
  <c r="T13" i="7" s="1"/>
  <c r="U13" i="7" s="1"/>
  <c r="I13" i="7" s="1"/>
  <c r="P14" i="7"/>
  <c r="T14" i="7" s="1"/>
  <c r="U14" i="7" s="1"/>
  <c r="I14" i="7" s="1"/>
  <c r="P15" i="7"/>
  <c r="T15" i="7" s="1"/>
  <c r="U15" i="7" s="1"/>
  <c r="I15" i="7" s="1"/>
  <c r="P16" i="7"/>
  <c r="P17" i="7"/>
  <c r="T17" i="7" s="1"/>
  <c r="U17" i="7" s="1"/>
  <c r="I17" i="7" s="1"/>
  <c r="P18" i="7"/>
  <c r="P19" i="7"/>
  <c r="T19" i="7" s="1"/>
  <c r="U19" i="7" s="1"/>
  <c r="I19" i="7" s="1"/>
  <c r="P20" i="7"/>
  <c r="T20" i="7" s="1"/>
  <c r="U20" i="7" s="1"/>
  <c r="I20" i="7" s="1"/>
  <c r="P21" i="7"/>
  <c r="T21" i="7" s="1"/>
  <c r="P22" i="7"/>
  <c r="T22" i="7" s="1"/>
  <c r="U22" i="7" s="1"/>
  <c r="I22" i="7" s="1"/>
  <c r="P23" i="7"/>
  <c r="T23" i="7" s="1"/>
  <c r="U23" i="7" s="1"/>
  <c r="I23" i="7" s="1"/>
  <c r="P24" i="7"/>
  <c r="T24" i="7" s="1"/>
  <c r="U24" i="7" s="1"/>
  <c r="I24" i="7" s="1"/>
  <c r="P25" i="7"/>
  <c r="T25" i="7" s="1"/>
  <c r="U25" i="7" s="1"/>
  <c r="I25" i="7" s="1"/>
  <c r="S11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U39" i="7" s="1"/>
  <c r="I39" i="7" s="1"/>
  <c r="S40" i="7"/>
  <c r="U40" i="7" s="1"/>
  <c r="I40" i="7" s="1"/>
  <c r="S41" i="7"/>
  <c r="U41" i="7" s="1"/>
  <c r="I41" i="7" s="1"/>
  <c r="S42" i="7"/>
  <c r="S43" i="7"/>
  <c r="S44" i="7"/>
  <c r="T14" i="6"/>
  <c r="T18" i="6"/>
  <c r="T12" i="6"/>
  <c r="T16" i="6"/>
  <c r="R46" i="6"/>
  <c r="T13" i="6"/>
  <c r="T15" i="6"/>
  <c r="T17" i="6"/>
  <c r="T19" i="6"/>
  <c r="T21" i="6"/>
  <c r="T23" i="6"/>
  <c r="T25" i="6"/>
  <c r="T27" i="6"/>
  <c r="S13" i="6"/>
  <c r="S15" i="6"/>
  <c r="S17" i="6"/>
  <c r="S19" i="6"/>
  <c r="P20" i="6"/>
  <c r="T20" i="6" s="1"/>
  <c r="U20" i="6" s="1"/>
  <c r="I20" i="6" s="1"/>
  <c r="P22" i="6"/>
  <c r="T22" i="6" s="1"/>
  <c r="U22" i="6" s="1"/>
  <c r="I22" i="6" s="1"/>
  <c r="P24" i="6"/>
  <c r="T24" i="6" s="1"/>
  <c r="U24" i="6" s="1"/>
  <c r="I24" i="6" s="1"/>
  <c r="J24" i="6" s="1"/>
  <c r="P26" i="6"/>
  <c r="T26" i="6" s="1"/>
  <c r="U26" i="6" s="1"/>
  <c r="I26" i="6" s="1"/>
  <c r="P28" i="6"/>
  <c r="T28" i="6" s="1"/>
  <c r="U28" i="6" s="1"/>
  <c r="I28" i="6" s="1"/>
  <c r="T30" i="6"/>
  <c r="T31" i="6"/>
  <c r="T32" i="6"/>
  <c r="T33" i="6"/>
  <c r="T35" i="6"/>
  <c r="T36" i="6"/>
  <c r="T37" i="6"/>
  <c r="T38" i="6"/>
  <c r="T39" i="6"/>
  <c r="T40" i="6"/>
  <c r="T41" i="6"/>
  <c r="T42" i="6"/>
  <c r="T43" i="6"/>
  <c r="T44" i="6"/>
  <c r="G46" i="6"/>
  <c r="S31" i="6"/>
  <c r="S33" i="6"/>
  <c r="Q11" i="6"/>
  <c r="Q46" i="6" s="1"/>
  <c r="N46" i="6"/>
  <c r="S12" i="6"/>
  <c r="S14" i="6"/>
  <c r="S16" i="6"/>
  <c r="U16" i="6" s="1"/>
  <c r="I16" i="6" s="1"/>
  <c r="S18" i="6"/>
  <c r="S21" i="6"/>
  <c r="S23" i="6"/>
  <c r="S30" i="6"/>
  <c r="U30" i="6" s="1"/>
  <c r="I30" i="6" s="1"/>
  <c r="S32" i="6"/>
  <c r="U32" i="6" s="1"/>
  <c r="I32" i="6" s="1"/>
  <c r="P34" i="6"/>
  <c r="T34" i="6" s="1"/>
  <c r="S34" i="6"/>
  <c r="S35" i="6"/>
  <c r="S36" i="6"/>
  <c r="S37" i="6"/>
  <c r="U37" i="6" s="1"/>
  <c r="I37" i="6" s="1"/>
  <c r="S38" i="6"/>
  <c r="S39" i="6"/>
  <c r="S40" i="6"/>
  <c r="S41" i="6"/>
  <c r="S42" i="6"/>
  <c r="S43" i="6"/>
  <c r="S44" i="6"/>
  <c r="M46" i="6"/>
  <c r="O46" i="6"/>
  <c r="S11" i="6"/>
  <c r="S25" i="6"/>
  <c r="S27" i="6"/>
  <c r="T29" i="6"/>
  <c r="O45" i="5"/>
  <c r="R45" i="5" s="1"/>
  <c r="N45" i="5"/>
  <c r="M45" i="5"/>
  <c r="P45" i="5" s="1"/>
  <c r="O44" i="5"/>
  <c r="N44" i="5"/>
  <c r="Q44" i="5" s="1"/>
  <c r="M44" i="5"/>
  <c r="S44" i="5" s="1"/>
  <c r="O43" i="5"/>
  <c r="R43" i="5" s="1"/>
  <c r="N43" i="5"/>
  <c r="M43" i="5"/>
  <c r="P43" i="5" s="1"/>
  <c r="O42" i="5"/>
  <c r="N42" i="5"/>
  <c r="Q42" i="5" s="1"/>
  <c r="M42" i="5"/>
  <c r="P42" i="5" s="1"/>
  <c r="O41" i="5"/>
  <c r="R41" i="5" s="1"/>
  <c r="N41" i="5"/>
  <c r="Q41" i="5" s="1"/>
  <c r="M41" i="5"/>
  <c r="P41" i="5" s="1"/>
  <c r="O40" i="5"/>
  <c r="R40" i="5" s="1"/>
  <c r="N40" i="5"/>
  <c r="Q40" i="5" s="1"/>
  <c r="M40" i="5"/>
  <c r="P40" i="5" s="1"/>
  <c r="O39" i="5"/>
  <c r="R39" i="5" s="1"/>
  <c r="N39" i="5"/>
  <c r="Q39" i="5" s="1"/>
  <c r="M39" i="5"/>
  <c r="P39" i="5" s="1"/>
  <c r="O38" i="5"/>
  <c r="R38" i="5" s="1"/>
  <c r="N38" i="5"/>
  <c r="Q38" i="5" s="1"/>
  <c r="M38" i="5"/>
  <c r="S38" i="5" s="1"/>
  <c r="O37" i="5"/>
  <c r="R37" i="5" s="1"/>
  <c r="N37" i="5"/>
  <c r="Q37" i="5" s="1"/>
  <c r="M37" i="5"/>
  <c r="P37" i="5" s="1"/>
  <c r="O36" i="5"/>
  <c r="R36" i="5" s="1"/>
  <c r="N36" i="5"/>
  <c r="Q36" i="5" s="1"/>
  <c r="M36" i="5"/>
  <c r="P36" i="5" s="1"/>
  <c r="O35" i="5"/>
  <c r="R35" i="5" s="1"/>
  <c r="N35" i="5"/>
  <c r="Q35" i="5" s="1"/>
  <c r="M35" i="5"/>
  <c r="P35" i="5" s="1"/>
  <c r="O34" i="5"/>
  <c r="N34" i="5"/>
  <c r="Q34" i="5" s="1"/>
  <c r="M34" i="5"/>
  <c r="P34" i="5" s="1"/>
  <c r="O33" i="5"/>
  <c r="R33" i="5" s="1"/>
  <c r="N33" i="5"/>
  <c r="M33" i="5"/>
  <c r="P33" i="5" s="1"/>
  <c r="O32" i="5"/>
  <c r="R32" i="5" s="1"/>
  <c r="N32" i="5"/>
  <c r="Q32" i="5" s="1"/>
  <c r="M32" i="5"/>
  <c r="S32" i="5" s="1"/>
  <c r="O31" i="5"/>
  <c r="R31" i="5" s="1"/>
  <c r="N31" i="5"/>
  <c r="Q31" i="5" s="1"/>
  <c r="M31" i="5"/>
  <c r="P31" i="5" s="1"/>
  <c r="O29" i="5"/>
  <c r="R29" i="5" s="1"/>
  <c r="N29" i="5"/>
  <c r="Q29" i="5" s="1"/>
  <c r="M29" i="5"/>
  <c r="P29" i="5" s="1"/>
  <c r="O28" i="5"/>
  <c r="R28" i="5" s="1"/>
  <c r="N28" i="5"/>
  <c r="Q28" i="5" s="1"/>
  <c r="M28" i="5"/>
  <c r="P28" i="5" s="1"/>
  <c r="O27" i="5"/>
  <c r="N27" i="5"/>
  <c r="M27" i="5"/>
  <c r="O26" i="5"/>
  <c r="R26" i="5" s="1"/>
  <c r="N26" i="5"/>
  <c r="M26" i="5"/>
  <c r="P26" i="5" s="1"/>
  <c r="O25" i="5"/>
  <c r="R25" i="5" s="1"/>
  <c r="N25" i="5"/>
  <c r="Q25" i="5" s="1"/>
  <c r="M25" i="5"/>
  <c r="P25" i="5" s="1"/>
  <c r="O24" i="5"/>
  <c r="R24" i="5" s="1"/>
  <c r="N24" i="5"/>
  <c r="Q24" i="5" s="1"/>
  <c r="M24" i="5"/>
  <c r="P24" i="5" s="1"/>
  <c r="O23" i="5"/>
  <c r="R23" i="5" s="1"/>
  <c r="N23" i="5"/>
  <c r="M23" i="5"/>
  <c r="P23" i="5" s="1"/>
  <c r="O22" i="5"/>
  <c r="R22" i="5" s="1"/>
  <c r="N22" i="5"/>
  <c r="Q22" i="5" s="1"/>
  <c r="M22" i="5"/>
  <c r="P22" i="5" s="1"/>
  <c r="O21" i="5"/>
  <c r="R21" i="5" s="1"/>
  <c r="N21" i="5"/>
  <c r="Q21" i="5" s="1"/>
  <c r="M21" i="5"/>
  <c r="O20" i="5"/>
  <c r="R20" i="5" s="1"/>
  <c r="N20" i="5"/>
  <c r="M20" i="5"/>
  <c r="P20" i="5" s="1"/>
  <c r="O19" i="5"/>
  <c r="R19" i="5" s="1"/>
  <c r="N19" i="5"/>
  <c r="Q19" i="5" s="1"/>
  <c r="M19" i="5"/>
  <c r="P19" i="5" s="1"/>
  <c r="O18" i="5"/>
  <c r="R18" i="5" s="1"/>
  <c r="N18" i="5"/>
  <c r="Q18" i="5" s="1"/>
  <c r="M18" i="5"/>
  <c r="P18" i="5" s="1"/>
  <c r="O17" i="5"/>
  <c r="R17" i="5" s="1"/>
  <c r="N17" i="5"/>
  <c r="Q17" i="5" s="1"/>
  <c r="M17" i="5"/>
  <c r="P17" i="5" s="1"/>
  <c r="O16" i="5"/>
  <c r="R16" i="5" s="1"/>
  <c r="N16" i="5"/>
  <c r="Q16" i="5" s="1"/>
  <c r="M16" i="5"/>
  <c r="P16" i="5" s="1"/>
  <c r="O15" i="5"/>
  <c r="R15" i="5" s="1"/>
  <c r="N15" i="5"/>
  <c r="Q15" i="5" s="1"/>
  <c r="M15" i="5"/>
  <c r="P15" i="5" s="1"/>
  <c r="O14" i="5"/>
  <c r="R14" i="5" s="1"/>
  <c r="N14" i="5"/>
  <c r="M14" i="5"/>
  <c r="P14" i="5" s="1"/>
  <c r="O13" i="5"/>
  <c r="N13" i="5"/>
  <c r="Q13" i="5" s="1"/>
  <c r="M13" i="5"/>
  <c r="P13" i="5" s="1"/>
  <c r="O12" i="5"/>
  <c r="N12" i="5"/>
  <c r="M12" i="5"/>
  <c r="O11" i="5"/>
  <c r="N11" i="5"/>
  <c r="M11" i="5"/>
  <c r="G48" i="5"/>
  <c r="F48" i="5"/>
  <c r="E48" i="5"/>
  <c r="Q45" i="5"/>
  <c r="R44" i="5"/>
  <c r="P44" i="5"/>
  <c r="Q43" i="5"/>
  <c r="R42" i="5"/>
  <c r="R34" i="5"/>
  <c r="Q33" i="5"/>
  <c r="R30" i="5"/>
  <c r="P30" i="5"/>
  <c r="Q30" i="5"/>
  <c r="S30" i="5"/>
  <c r="R27" i="5"/>
  <c r="P27" i="5"/>
  <c r="Q26" i="5"/>
  <c r="Q20" i="5"/>
  <c r="Q14" i="5"/>
  <c r="R13" i="5"/>
  <c r="Q12" i="5"/>
  <c r="U21" i="7" l="1"/>
  <c r="I21" i="7" s="1"/>
  <c r="P46" i="9"/>
  <c r="E46" i="9" s="1"/>
  <c r="U35" i="7"/>
  <c r="I35" i="7" s="1"/>
  <c r="U41" i="10"/>
  <c r="I41" i="10" s="1"/>
  <c r="U34" i="7"/>
  <c r="I34" i="7" s="1"/>
  <c r="U16" i="8"/>
  <c r="I16" i="8" s="1"/>
  <c r="U25" i="14"/>
  <c r="I25" i="14" s="1"/>
  <c r="J25" i="13" s="1"/>
  <c r="U35" i="17"/>
  <c r="I35" i="17" s="1"/>
  <c r="J35" i="17" s="1"/>
  <c r="J12" i="12"/>
  <c r="F46" i="13"/>
  <c r="U29" i="6"/>
  <c r="I29" i="6" s="1"/>
  <c r="U33" i="10"/>
  <c r="I33" i="10" s="1"/>
  <c r="U38" i="10"/>
  <c r="I38" i="10" s="1"/>
  <c r="U13" i="16"/>
  <c r="I13" i="16" s="1"/>
  <c r="J13" i="16" s="1"/>
  <c r="U32" i="17"/>
  <c r="I32" i="17" s="1"/>
  <c r="J32" i="17" s="1"/>
  <c r="U13" i="14"/>
  <c r="I13" i="14" s="1"/>
  <c r="J13" i="13" s="1"/>
  <c r="U29" i="7"/>
  <c r="I29" i="7" s="1"/>
  <c r="J29" i="7" s="1"/>
  <c r="U29" i="10"/>
  <c r="I29" i="10" s="1"/>
  <c r="U34" i="10"/>
  <c r="I34" i="10" s="1"/>
  <c r="U21" i="13"/>
  <c r="I21" i="13" s="1"/>
  <c r="J20" i="16"/>
  <c r="U12" i="17"/>
  <c r="I12" i="17" s="1"/>
  <c r="J12" i="17" s="1"/>
  <c r="U28" i="7"/>
  <c r="I28" i="7" s="1"/>
  <c r="Q46" i="8"/>
  <c r="F46" i="8" s="1"/>
  <c r="U17" i="9"/>
  <c r="I17" i="9" s="1"/>
  <c r="J17" i="8" s="1"/>
  <c r="U27" i="10"/>
  <c r="I27" i="10" s="1"/>
  <c r="J27" i="10" s="1"/>
  <c r="T11" i="14"/>
  <c r="U29" i="17"/>
  <c r="I29" i="17" s="1"/>
  <c r="J29" i="17" s="1"/>
  <c r="U20" i="12"/>
  <c r="I20" i="12" s="1"/>
  <c r="J20" i="11" s="1"/>
  <c r="U37" i="10"/>
  <c r="I37" i="10" s="1"/>
  <c r="U30" i="10"/>
  <c r="I30" i="10" s="1"/>
  <c r="J30" i="10" s="1"/>
  <c r="U13" i="9"/>
  <c r="I13" i="9" s="1"/>
  <c r="J13" i="8" s="1"/>
  <c r="J28" i="10"/>
  <c r="J23" i="12"/>
  <c r="J15" i="13"/>
  <c r="G46" i="14"/>
  <c r="J14" i="16"/>
  <c r="U27" i="17"/>
  <c r="I27" i="17" s="1"/>
  <c r="J27" i="17" s="1"/>
  <c r="J14" i="12"/>
  <c r="F46" i="9"/>
  <c r="U23" i="8"/>
  <c r="I23" i="8" s="1"/>
  <c r="U24" i="9"/>
  <c r="I24" i="9" s="1"/>
  <c r="U16" i="14"/>
  <c r="I16" i="14" s="1"/>
  <c r="J12" i="16"/>
  <c r="U26" i="17"/>
  <c r="I26" i="17" s="1"/>
  <c r="J26" i="17" s="1"/>
  <c r="T13" i="17"/>
  <c r="U13" i="17" s="1"/>
  <c r="I13" i="17" s="1"/>
  <c r="J13" i="17" s="1"/>
  <c r="U19" i="12"/>
  <c r="I19" i="12" s="1"/>
  <c r="J19" i="12" s="1"/>
  <c r="U14" i="14"/>
  <c r="I14" i="14" s="1"/>
  <c r="J14" i="13" s="1"/>
  <c r="U33" i="7"/>
  <c r="I33" i="7" s="1"/>
  <c r="T29" i="11"/>
  <c r="U29" i="11" s="1"/>
  <c r="I29" i="11" s="1"/>
  <c r="J29" i="10" s="1"/>
  <c r="U27" i="7"/>
  <c r="I27" i="7" s="1"/>
  <c r="U28" i="17"/>
  <c r="I28" i="17" s="1"/>
  <c r="J28" i="17" s="1"/>
  <c r="J22" i="6"/>
  <c r="U15" i="11"/>
  <c r="I15" i="11" s="1"/>
  <c r="J15" i="11" s="1"/>
  <c r="U24" i="13"/>
  <c r="I24" i="13" s="1"/>
  <c r="J24" i="12" s="1"/>
  <c r="P44" i="16"/>
  <c r="E44" i="16" s="1"/>
  <c r="Q44" i="16"/>
  <c r="F44" i="16" s="1"/>
  <c r="U43" i="10"/>
  <c r="I43" i="10" s="1"/>
  <c r="U19" i="14"/>
  <c r="I19" i="14" s="1"/>
  <c r="J23" i="16"/>
  <c r="U39" i="10"/>
  <c r="I39" i="10" s="1"/>
  <c r="U34" i="17"/>
  <c r="I34" i="17" s="1"/>
  <c r="J34" i="17" s="1"/>
  <c r="N47" i="5"/>
  <c r="S47" i="5" s="1"/>
  <c r="U33" i="17"/>
  <c r="I33" i="17" s="1"/>
  <c r="J33" i="17" s="1"/>
  <c r="U28" i="11"/>
  <c r="I28" i="11" s="1"/>
  <c r="U27" i="6"/>
  <c r="I27" i="6" s="1"/>
  <c r="U31" i="10"/>
  <c r="I31" i="10" s="1"/>
  <c r="S46" i="14"/>
  <c r="U43" i="6"/>
  <c r="I43" i="6" s="1"/>
  <c r="S21" i="5"/>
  <c r="U33" i="6"/>
  <c r="I33" i="6" s="1"/>
  <c r="J33" i="6" s="1"/>
  <c r="U18" i="9"/>
  <c r="I18" i="9" s="1"/>
  <c r="S44" i="16"/>
  <c r="U29" i="9"/>
  <c r="I29" i="9" s="1"/>
  <c r="J29" i="9" s="1"/>
  <c r="J29" i="6"/>
  <c r="T18" i="7"/>
  <c r="U18" i="7" s="1"/>
  <c r="I18" i="7" s="1"/>
  <c r="T12" i="7"/>
  <c r="U12" i="7" s="1"/>
  <c r="I12" i="7" s="1"/>
  <c r="U44" i="8"/>
  <c r="I44" i="8" s="1"/>
  <c r="U41" i="8"/>
  <c r="I41" i="8" s="1"/>
  <c r="J41" i="7" s="1"/>
  <c r="U38" i="8"/>
  <c r="I38" i="8" s="1"/>
  <c r="U35" i="8"/>
  <c r="I35" i="8" s="1"/>
  <c r="U32" i="8"/>
  <c r="I32" i="8" s="1"/>
  <c r="U29" i="8"/>
  <c r="I29" i="8" s="1"/>
  <c r="U26" i="8"/>
  <c r="I26" i="8" s="1"/>
  <c r="U21" i="12"/>
  <c r="I21" i="12" s="1"/>
  <c r="J21" i="12" s="1"/>
  <c r="U37" i="17"/>
  <c r="I37" i="17" s="1"/>
  <c r="J37" i="17" s="1"/>
  <c r="U31" i="17"/>
  <c r="I31" i="17" s="1"/>
  <c r="J31" i="17" s="1"/>
  <c r="U25" i="17"/>
  <c r="I25" i="17" s="1"/>
  <c r="J25" i="17" s="1"/>
  <c r="P21" i="5"/>
  <c r="T21" i="5" s="1"/>
  <c r="U21" i="5" s="1"/>
  <c r="I21" i="5" s="1"/>
  <c r="R46" i="7"/>
  <c r="G46" i="7" s="1"/>
  <c r="U35" i="10"/>
  <c r="I35" i="10" s="1"/>
  <c r="J22" i="12"/>
  <c r="J23" i="13"/>
  <c r="U24" i="15"/>
  <c r="I24" i="15" s="1"/>
  <c r="U21" i="15"/>
  <c r="I21" i="15" s="1"/>
  <c r="J21" i="15" s="1"/>
  <c r="U18" i="15"/>
  <c r="I18" i="15" s="1"/>
  <c r="J18" i="15" s="1"/>
  <c r="J16" i="16"/>
  <c r="U42" i="17"/>
  <c r="I42" i="17" s="1"/>
  <c r="J42" i="17" s="1"/>
  <c r="U36" i="17"/>
  <c r="I36" i="17" s="1"/>
  <c r="J36" i="17" s="1"/>
  <c r="U30" i="17"/>
  <c r="I30" i="17" s="1"/>
  <c r="J30" i="17" s="1"/>
  <c r="U24" i="17"/>
  <c r="I24" i="17" s="1"/>
  <c r="J24" i="17" s="1"/>
  <c r="S36" i="5"/>
  <c r="P32" i="5"/>
  <c r="T32" i="5" s="1"/>
  <c r="U32" i="5" s="1"/>
  <c r="I32" i="5" s="1"/>
  <c r="T16" i="7"/>
  <c r="U16" i="7" s="1"/>
  <c r="I16" i="7" s="1"/>
  <c r="J16" i="6" s="1"/>
  <c r="Q46" i="10"/>
  <c r="F46" i="10" s="1"/>
  <c r="U21" i="14"/>
  <c r="I21" i="14" s="1"/>
  <c r="U13" i="11"/>
  <c r="I13" i="11" s="1"/>
  <c r="J13" i="11" s="1"/>
  <c r="U22" i="13"/>
  <c r="I22" i="13" s="1"/>
  <c r="U24" i="14"/>
  <c r="I24" i="14" s="1"/>
  <c r="J24" i="14" s="1"/>
  <c r="U12" i="14"/>
  <c r="I12" i="14" s="1"/>
  <c r="U30" i="15"/>
  <c r="I30" i="15" s="1"/>
  <c r="S25" i="5"/>
  <c r="S42" i="5"/>
  <c r="P38" i="5"/>
  <c r="T38" i="5" s="1"/>
  <c r="U38" i="5" s="1"/>
  <c r="I38" i="5" s="1"/>
  <c r="J28" i="6"/>
  <c r="U42" i="7"/>
  <c r="I42" i="7" s="1"/>
  <c r="U36" i="7"/>
  <c r="I36" i="7" s="1"/>
  <c r="U30" i="7"/>
  <c r="I30" i="7" s="1"/>
  <c r="J30" i="6" s="1"/>
  <c r="S46" i="9"/>
  <c r="J23" i="11"/>
  <c r="J24" i="11"/>
  <c r="J12" i="11"/>
  <c r="J25" i="12"/>
  <c r="J13" i="12"/>
  <c r="J16" i="12"/>
  <c r="J17" i="13"/>
  <c r="F44" i="15"/>
  <c r="J15" i="7"/>
  <c r="J15" i="8"/>
  <c r="J18" i="7"/>
  <c r="J18" i="8"/>
  <c r="J24" i="19"/>
  <c r="J31" i="19"/>
  <c r="J19" i="19"/>
  <c r="J44" i="19"/>
  <c r="J42" i="19"/>
  <c r="U42" i="8"/>
  <c r="I42" i="8" s="1"/>
  <c r="U39" i="8"/>
  <c r="I39" i="8" s="1"/>
  <c r="U36" i="8"/>
  <c r="I36" i="8" s="1"/>
  <c r="U33" i="8"/>
  <c r="I33" i="8" s="1"/>
  <c r="U30" i="8"/>
  <c r="I30" i="8" s="1"/>
  <c r="U27" i="8"/>
  <c r="I27" i="8" s="1"/>
  <c r="J25" i="7"/>
  <c r="J25" i="8"/>
  <c r="J13" i="7"/>
  <c r="J16" i="7"/>
  <c r="J16" i="8"/>
  <c r="U23" i="10"/>
  <c r="I23" i="10" s="1"/>
  <c r="J23" i="10" s="1"/>
  <c r="U20" i="10"/>
  <c r="I20" i="10" s="1"/>
  <c r="J20" i="10" s="1"/>
  <c r="J29" i="19"/>
  <c r="J35" i="19"/>
  <c r="J28" i="19"/>
  <c r="S23" i="5"/>
  <c r="S27" i="5"/>
  <c r="U14" i="6"/>
  <c r="I14" i="6" s="1"/>
  <c r="J14" i="6" s="1"/>
  <c r="J23" i="7"/>
  <c r="J23" i="8"/>
  <c r="J14" i="7"/>
  <c r="J14" i="8"/>
  <c r="J16" i="13"/>
  <c r="U23" i="15"/>
  <c r="I23" i="15" s="1"/>
  <c r="J23" i="15" s="1"/>
  <c r="U20" i="15"/>
  <c r="I20" i="15" s="1"/>
  <c r="J20" i="15" s="1"/>
  <c r="U40" i="15"/>
  <c r="I40" i="15" s="1"/>
  <c r="J33" i="19"/>
  <c r="J39" i="19"/>
  <c r="J32" i="19"/>
  <c r="S29" i="5"/>
  <c r="S34" i="5"/>
  <c r="U41" i="6"/>
  <c r="I41" i="6" s="1"/>
  <c r="J41" i="6" s="1"/>
  <c r="U35" i="6"/>
  <c r="I35" i="6" s="1"/>
  <c r="J35" i="6" s="1"/>
  <c r="U12" i="6"/>
  <c r="I12" i="6" s="1"/>
  <c r="J12" i="6" s="1"/>
  <c r="J35" i="7"/>
  <c r="J21" i="7"/>
  <c r="J21" i="8"/>
  <c r="J24" i="7"/>
  <c r="J24" i="8"/>
  <c r="J12" i="7"/>
  <c r="J12" i="8"/>
  <c r="T11" i="9"/>
  <c r="U11" i="9" s="1"/>
  <c r="I11" i="9" s="1"/>
  <c r="J11" i="9" s="1"/>
  <c r="U25" i="10"/>
  <c r="I25" i="10" s="1"/>
  <c r="U22" i="10"/>
  <c r="I22" i="10" s="1"/>
  <c r="J22" i="10" s="1"/>
  <c r="U22" i="14"/>
  <c r="I22" i="14" s="1"/>
  <c r="U28" i="15"/>
  <c r="I28" i="15" s="1"/>
  <c r="J11" i="19"/>
  <c r="J37" i="19"/>
  <c r="J43" i="19"/>
  <c r="J13" i="19"/>
  <c r="S40" i="5"/>
  <c r="M47" i="5"/>
  <c r="T11" i="6"/>
  <c r="U11" i="6" s="1"/>
  <c r="I11" i="6" s="1"/>
  <c r="J20" i="6"/>
  <c r="U44" i="7"/>
  <c r="I44" i="7" s="1"/>
  <c r="U38" i="7"/>
  <c r="I38" i="7" s="1"/>
  <c r="J38" i="7" s="1"/>
  <c r="U32" i="7"/>
  <c r="I32" i="7" s="1"/>
  <c r="J32" i="6" s="1"/>
  <c r="U26" i="7"/>
  <c r="I26" i="7" s="1"/>
  <c r="J19" i="7"/>
  <c r="J19" i="8"/>
  <c r="J22" i="7"/>
  <c r="J22" i="8"/>
  <c r="J16" i="11"/>
  <c r="J17" i="12"/>
  <c r="J20" i="12"/>
  <c r="J21" i="13"/>
  <c r="J12" i="13"/>
  <c r="F46" i="14"/>
  <c r="U20" i="14"/>
  <c r="I20" i="14" s="1"/>
  <c r="J20" i="14" s="1"/>
  <c r="U25" i="15"/>
  <c r="I25" i="15" s="1"/>
  <c r="U22" i="15"/>
  <c r="I22" i="15" s="1"/>
  <c r="J22" i="15" s="1"/>
  <c r="U19" i="15"/>
  <c r="I19" i="15" s="1"/>
  <c r="J19" i="15" s="1"/>
  <c r="P44" i="15"/>
  <c r="E44" i="15" s="1"/>
  <c r="U38" i="15"/>
  <c r="I38" i="15" s="1"/>
  <c r="U26" i="15"/>
  <c r="I26" i="15" s="1"/>
  <c r="J41" i="19"/>
  <c r="J30" i="19"/>
  <c r="J36" i="19"/>
  <c r="J18" i="19"/>
  <c r="O47" i="5"/>
  <c r="S46" i="6"/>
  <c r="U39" i="6"/>
  <c r="I39" i="6" s="1"/>
  <c r="J39" i="6" s="1"/>
  <c r="U34" i="6"/>
  <c r="I34" i="6" s="1"/>
  <c r="J34" i="6" s="1"/>
  <c r="U21" i="6"/>
  <c r="I21" i="6" s="1"/>
  <c r="J21" i="6" s="1"/>
  <c r="U43" i="7"/>
  <c r="I43" i="7" s="1"/>
  <c r="J43" i="6" s="1"/>
  <c r="U37" i="7"/>
  <c r="I37" i="7" s="1"/>
  <c r="J37" i="6" s="1"/>
  <c r="U31" i="7"/>
  <c r="I31" i="7" s="1"/>
  <c r="U43" i="8"/>
  <c r="I43" i="8" s="1"/>
  <c r="U40" i="8"/>
  <c r="I40" i="8" s="1"/>
  <c r="U37" i="8"/>
  <c r="I37" i="8" s="1"/>
  <c r="U34" i="8"/>
  <c r="I34" i="8" s="1"/>
  <c r="U31" i="8"/>
  <c r="I31" i="8" s="1"/>
  <c r="U28" i="8"/>
  <c r="I28" i="8" s="1"/>
  <c r="J17" i="7"/>
  <c r="J20" i="7"/>
  <c r="J20" i="8"/>
  <c r="U24" i="10"/>
  <c r="I24" i="10" s="1"/>
  <c r="J24" i="10" s="1"/>
  <c r="U21" i="10"/>
  <c r="I21" i="10" s="1"/>
  <c r="J21" i="10" s="1"/>
  <c r="U25" i="11"/>
  <c r="I25" i="11" s="1"/>
  <c r="J25" i="11" s="1"/>
  <c r="J14" i="11"/>
  <c r="J15" i="12"/>
  <c r="J18" i="12"/>
  <c r="J19" i="13"/>
  <c r="J22" i="13"/>
  <c r="U18" i="14"/>
  <c r="I18" i="14" s="1"/>
  <c r="J18" i="14" s="1"/>
  <c r="U36" i="15"/>
  <c r="I36" i="15" s="1"/>
  <c r="J21" i="16"/>
  <c r="J22" i="16"/>
  <c r="G44" i="16"/>
  <c r="J22" i="19"/>
  <c r="J27" i="19"/>
  <c r="J16" i="19"/>
  <c r="J40" i="19"/>
  <c r="J20" i="19"/>
  <c r="I47" i="18"/>
  <c r="T46" i="18"/>
  <c r="U46" i="18" s="1"/>
  <c r="I46" i="18" s="1"/>
  <c r="E46" i="18"/>
  <c r="P44" i="17"/>
  <c r="E44" i="17" s="1"/>
  <c r="T11" i="17"/>
  <c r="U11" i="17" s="1"/>
  <c r="I11" i="17" s="1"/>
  <c r="T11" i="16"/>
  <c r="U11" i="16" s="1"/>
  <c r="I11" i="16" s="1"/>
  <c r="T44" i="16"/>
  <c r="U42" i="16"/>
  <c r="I42" i="16" s="1"/>
  <c r="J42" i="16" s="1"/>
  <c r="U41" i="16"/>
  <c r="I41" i="16" s="1"/>
  <c r="J41" i="16" s="1"/>
  <c r="U40" i="16"/>
  <c r="I40" i="16" s="1"/>
  <c r="J40" i="16" s="1"/>
  <c r="U39" i="16"/>
  <c r="I39" i="16" s="1"/>
  <c r="J39" i="16" s="1"/>
  <c r="U38" i="16"/>
  <c r="I38" i="16" s="1"/>
  <c r="J38" i="16" s="1"/>
  <c r="U37" i="16"/>
  <c r="I37" i="16" s="1"/>
  <c r="U36" i="16"/>
  <c r="I36" i="16" s="1"/>
  <c r="U35" i="16"/>
  <c r="I35" i="16" s="1"/>
  <c r="U34" i="16"/>
  <c r="I34" i="16" s="1"/>
  <c r="U33" i="16"/>
  <c r="I33" i="16" s="1"/>
  <c r="U32" i="16"/>
  <c r="I32" i="16" s="1"/>
  <c r="U31" i="16"/>
  <c r="I31" i="16" s="1"/>
  <c r="U30" i="16"/>
  <c r="I30" i="16" s="1"/>
  <c r="J30" i="16" s="1"/>
  <c r="U29" i="16"/>
  <c r="I29" i="16" s="1"/>
  <c r="U28" i="16"/>
  <c r="I28" i="16" s="1"/>
  <c r="U27" i="16"/>
  <c r="I27" i="16" s="1"/>
  <c r="J27" i="16" s="1"/>
  <c r="U26" i="16"/>
  <c r="I26" i="16" s="1"/>
  <c r="J26" i="16" s="1"/>
  <c r="U25" i="16"/>
  <c r="I25" i="16" s="1"/>
  <c r="J25" i="16" s="1"/>
  <c r="U24" i="16"/>
  <c r="I24" i="16" s="1"/>
  <c r="U41" i="15"/>
  <c r="I41" i="15" s="1"/>
  <c r="U37" i="15"/>
  <c r="I37" i="15" s="1"/>
  <c r="U35" i="15"/>
  <c r="I35" i="15" s="1"/>
  <c r="J35" i="15" s="1"/>
  <c r="U33" i="15"/>
  <c r="I33" i="15" s="1"/>
  <c r="U31" i="15"/>
  <c r="I31" i="15" s="1"/>
  <c r="J31" i="15" s="1"/>
  <c r="U29" i="15"/>
  <c r="I29" i="15" s="1"/>
  <c r="U27" i="15"/>
  <c r="I27" i="15" s="1"/>
  <c r="U17" i="15"/>
  <c r="I17" i="15" s="1"/>
  <c r="J17" i="15" s="1"/>
  <c r="U16" i="15"/>
  <c r="I16" i="15" s="1"/>
  <c r="J16" i="15" s="1"/>
  <c r="U15" i="15"/>
  <c r="I15" i="15" s="1"/>
  <c r="J15" i="15" s="1"/>
  <c r="U14" i="15"/>
  <c r="I14" i="15" s="1"/>
  <c r="J14" i="15" s="1"/>
  <c r="U13" i="15"/>
  <c r="I13" i="15" s="1"/>
  <c r="U12" i="15"/>
  <c r="I12" i="15" s="1"/>
  <c r="J12" i="15" s="1"/>
  <c r="G44" i="15"/>
  <c r="U39" i="15"/>
  <c r="I39" i="15" s="1"/>
  <c r="T11" i="15"/>
  <c r="U11" i="15" s="1"/>
  <c r="I11" i="15" s="1"/>
  <c r="S44" i="15"/>
  <c r="U42" i="15"/>
  <c r="I42" i="15" s="1"/>
  <c r="P46" i="14"/>
  <c r="E46" i="14" s="1"/>
  <c r="U11" i="14"/>
  <c r="I11" i="14" s="1"/>
  <c r="U44" i="14"/>
  <c r="I44" i="14" s="1"/>
  <c r="U43" i="14"/>
  <c r="I43" i="14" s="1"/>
  <c r="U42" i="14"/>
  <c r="I42" i="14" s="1"/>
  <c r="U41" i="14"/>
  <c r="I41" i="14" s="1"/>
  <c r="U40" i="14"/>
  <c r="I40" i="14" s="1"/>
  <c r="U39" i="14"/>
  <c r="I39" i="14" s="1"/>
  <c r="U38" i="14"/>
  <c r="I38" i="14" s="1"/>
  <c r="U37" i="14"/>
  <c r="I37" i="14" s="1"/>
  <c r="U36" i="14"/>
  <c r="I36" i="14" s="1"/>
  <c r="U35" i="14"/>
  <c r="I35" i="14" s="1"/>
  <c r="U34" i="14"/>
  <c r="I34" i="14" s="1"/>
  <c r="J34" i="14" s="1"/>
  <c r="U33" i="14"/>
  <c r="I33" i="14" s="1"/>
  <c r="U32" i="14"/>
  <c r="I32" i="14" s="1"/>
  <c r="J32" i="14" s="1"/>
  <c r="U31" i="14"/>
  <c r="I31" i="14" s="1"/>
  <c r="U30" i="14"/>
  <c r="I30" i="14" s="1"/>
  <c r="U29" i="14"/>
  <c r="I29" i="14" s="1"/>
  <c r="U28" i="14"/>
  <c r="I28" i="14" s="1"/>
  <c r="U27" i="14"/>
  <c r="I27" i="14" s="1"/>
  <c r="J27" i="14" s="1"/>
  <c r="U26" i="14"/>
  <c r="I26" i="14" s="1"/>
  <c r="J26" i="14" s="1"/>
  <c r="S46" i="13"/>
  <c r="T11" i="13"/>
  <c r="U11" i="13" s="1"/>
  <c r="I11" i="13" s="1"/>
  <c r="J11" i="13" s="1"/>
  <c r="U44" i="13"/>
  <c r="I44" i="13" s="1"/>
  <c r="U43" i="13"/>
  <c r="I43" i="13" s="1"/>
  <c r="J43" i="13" s="1"/>
  <c r="U42" i="13"/>
  <c r="I42" i="13" s="1"/>
  <c r="U41" i="13"/>
  <c r="I41" i="13" s="1"/>
  <c r="U40" i="13"/>
  <c r="I40" i="13" s="1"/>
  <c r="U39" i="13"/>
  <c r="I39" i="13" s="1"/>
  <c r="U38" i="13"/>
  <c r="I38" i="13" s="1"/>
  <c r="U37" i="13"/>
  <c r="I37" i="13" s="1"/>
  <c r="J37" i="13" s="1"/>
  <c r="U36" i="13"/>
  <c r="I36" i="13" s="1"/>
  <c r="U35" i="13"/>
  <c r="I35" i="13" s="1"/>
  <c r="U34" i="13"/>
  <c r="I34" i="13" s="1"/>
  <c r="U33" i="13"/>
  <c r="I33" i="13" s="1"/>
  <c r="J33" i="13" s="1"/>
  <c r="U32" i="13"/>
  <c r="I32" i="13" s="1"/>
  <c r="U31" i="13"/>
  <c r="I31" i="13" s="1"/>
  <c r="J31" i="13" s="1"/>
  <c r="U30" i="13"/>
  <c r="I30" i="13" s="1"/>
  <c r="U29" i="13"/>
  <c r="I29" i="13" s="1"/>
  <c r="U28" i="13"/>
  <c r="I28" i="13" s="1"/>
  <c r="U27" i="13"/>
  <c r="I27" i="13" s="1"/>
  <c r="J27" i="13" s="1"/>
  <c r="U26" i="13"/>
  <c r="I26" i="13" s="1"/>
  <c r="T46" i="13"/>
  <c r="U46" i="13" s="1"/>
  <c r="I46" i="13" s="1"/>
  <c r="T11" i="12"/>
  <c r="U11" i="12" s="1"/>
  <c r="I11" i="12" s="1"/>
  <c r="U44" i="12"/>
  <c r="I44" i="12" s="1"/>
  <c r="U43" i="12"/>
  <c r="I43" i="12" s="1"/>
  <c r="U42" i="12"/>
  <c r="I42" i="12" s="1"/>
  <c r="J42" i="12" s="1"/>
  <c r="U41" i="12"/>
  <c r="I41" i="12" s="1"/>
  <c r="U40" i="12"/>
  <c r="I40" i="12" s="1"/>
  <c r="U39" i="12"/>
  <c r="I39" i="12" s="1"/>
  <c r="U38" i="12"/>
  <c r="I38" i="12" s="1"/>
  <c r="U37" i="12"/>
  <c r="I37" i="12" s="1"/>
  <c r="U36" i="12"/>
  <c r="I36" i="12" s="1"/>
  <c r="J36" i="12" s="1"/>
  <c r="U35" i="12"/>
  <c r="I35" i="12" s="1"/>
  <c r="U34" i="12"/>
  <c r="I34" i="12" s="1"/>
  <c r="J34" i="12" s="1"/>
  <c r="U33" i="12"/>
  <c r="I33" i="12" s="1"/>
  <c r="U32" i="12"/>
  <c r="I32" i="12" s="1"/>
  <c r="U31" i="12"/>
  <c r="I31" i="12" s="1"/>
  <c r="U30" i="12"/>
  <c r="I30" i="12" s="1"/>
  <c r="J30" i="12" s="1"/>
  <c r="U29" i="12"/>
  <c r="I29" i="12" s="1"/>
  <c r="U28" i="12"/>
  <c r="I28" i="12" s="1"/>
  <c r="J28" i="12" s="1"/>
  <c r="U27" i="12"/>
  <c r="I27" i="12" s="1"/>
  <c r="J27" i="11" s="1"/>
  <c r="U26" i="12"/>
  <c r="I26" i="12" s="1"/>
  <c r="T46" i="12"/>
  <c r="U46" i="12" s="1"/>
  <c r="I46" i="12" s="1"/>
  <c r="U44" i="11"/>
  <c r="I44" i="11" s="1"/>
  <c r="U43" i="11"/>
  <c r="I43" i="11" s="1"/>
  <c r="U42" i="11"/>
  <c r="I42" i="11" s="1"/>
  <c r="U41" i="11"/>
  <c r="I41" i="11" s="1"/>
  <c r="U40" i="11"/>
  <c r="I40" i="11" s="1"/>
  <c r="J40" i="11" s="1"/>
  <c r="U39" i="11"/>
  <c r="I39" i="11" s="1"/>
  <c r="U38" i="11"/>
  <c r="I38" i="11" s="1"/>
  <c r="U37" i="11"/>
  <c r="I37" i="11" s="1"/>
  <c r="J37" i="11" s="1"/>
  <c r="U36" i="11"/>
  <c r="I36" i="11" s="1"/>
  <c r="U35" i="11"/>
  <c r="I35" i="11" s="1"/>
  <c r="U34" i="11"/>
  <c r="I34" i="11" s="1"/>
  <c r="J34" i="11" s="1"/>
  <c r="U33" i="11"/>
  <c r="I33" i="11" s="1"/>
  <c r="U32" i="11"/>
  <c r="I32" i="11" s="1"/>
  <c r="U31" i="11"/>
  <c r="I31" i="11" s="1"/>
  <c r="J31" i="11" s="1"/>
  <c r="S46" i="11"/>
  <c r="U26" i="11"/>
  <c r="I26" i="11" s="1"/>
  <c r="J26" i="10" s="1"/>
  <c r="T11" i="11"/>
  <c r="U11" i="11" s="1"/>
  <c r="I11" i="11" s="1"/>
  <c r="P46" i="11"/>
  <c r="U19" i="10"/>
  <c r="I19" i="10" s="1"/>
  <c r="J19" i="10" s="1"/>
  <c r="U18" i="10"/>
  <c r="I18" i="10" s="1"/>
  <c r="J18" i="10" s="1"/>
  <c r="U17" i="10"/>
  <c r="I17" i="10" s="1"/>
  <c r="J17" i="10" s="1"/>
  <c r="U16" i="10"/>
  <c r="I16" i="10" s="1"/>
  <c r="J16" i="10" s="1"/>
  <c r="U15" i="10"/>
  <c r="I15" i="10" s="1"/>
  <c r="J15" i="10" s="1"/>
  <c r="U14" i="10"/>
  <c r="I14" i="10" s="1"/>
  <c r="J14" i="10" s="1"/>
  <c r="U13" i="10"/>
  <c r="I13" i="10" s="1"/>
  <c r="U12" i="10"/>
  <c r="I12" i="10" s="1"/>
  <c r="J12" i="10" s="1"/>
  <c r="G46" i="10"/>
  <c r="P46" i="10"/>
  <c r="T11" i="10"/>
  <c r="U11" i="10" s="1"/>
  <c r="I11" i="10" s="1"/>
  <c r="S46" i="10"/>
  <c r="U44" i="10"/>
  <c r="I44" i="10" s="1"/>
  <c r="U44" i="9"/>
  <c r="I44" i="9" s="1"/>
  <c r="U43" i="9"/>
  <c r="I43" i="9" s="1"/>
  <c r="J43" i="9" s="1"/>
  <c r="U42" i="9"/>
  <c r="I42" i="9" s="1"/>
  <c r="J42" i="9" s="1"/>
  <c r="U41" i="9"/>
  <c r="I41" i="9" s="1"/>
  <c r="J41" i="9" s="1"/>
  <c r="U40" i="9"/>
  <c r="I40" i="9" s="1"/>
  <c r="J40" i="9" s="1"/>
  <c r="U39" i="9"/>
  <c r="I39" i="9" s="1"/>
  <c r="J39" i="9" s="1"/>
  <c r="U38" i="9"/>
  <c r="I38" i="9" s="1"/>
  <c r="U37" i="9"/>
  <c r="I37" i="9" s="1"/>
  <c r="J37" i="9" s="1"/>
  <c r="U36" i="9"/>
  <c r="I36" i="9" s="1"/>
  <c r="J36" i="9" s="1"/>
  <c r="U35" i="9"/>
  <c r="I35" i="9" s="1"/>
  <c r="J35" i="9" s="1"/>
  <c r="U34" i="9"/>
  <c r="I34" i="9" s="1"/>
  <c r="J34" i="9" s="1"/>
  <c r="U33" i="9"/>
  <c r="I33" i="9" s="1"/>
  <c r="J33" i="9" s="1"/>
  <c r="U32" i="9"/>
  <c r="I32" i="9" s="1"/>
  <c r="J32" i="9" s="1"/>
  <c r="U31" i="9"/>
  <c r="I31" i="9" s="1"/>
  <c r="U30" i="9"/>
  <c r="I30" i="9" s="1"/>
  <c r="U28" i="9"/>
  <c r="I28" i="9" s="1"/>
  <c r="J28" i="9" s="1"/>
  <c r="U27" i="9"/>
  <c r="I27" i="9" s="1"/>
  <c r="U26" i="9"/>
  <c r="I26" i="9" s="1"/>
  <c r="J26" i="9" s="1"/>
  <c r="T46" i="9"/>
  <c r="T11" i="8"/>
  <c r="U11" i="8" s="1"/>
  <c r="I11" i="8" s="1"/>
  <c r="T46" i="8"/>
  <c r="U46" i="8" s="1"/>
  <c r="I46" i="8" s="1"/>
  <c r="P46" i="7"/>
  <c r="T11" i="7"/>
  <c r="U11" i="7" s="1"/>
  <c r="I11" i="7" s="1"/>
  <c r="U18" i="6"/>
  <c r="I18" i="6" s="1"/>
  <c r="J18" i="6" s="1"/>
  <c r="U25" i="6"/>
  <c r="I25" i="6" s="1"/>
  <c r="J25" i="6" s="1"/>
  <c r="U23" i="6"/>
  <c r="I23" i="6" s="1"/>
  <c r="J23" i="6" s="1"/>
  <c r="U17" i="6"/>
  <c r="I17" i="6" s="1"/>
  <c r="J17" i="6" s="1"/>
  <c r="U13" i="6"/>
  <c r="I13" i="6" s="1"/>
  <c r="J13" i="6" s="1"/>
  <c r="U44" i="6"/>
  <c r="I44" i="6" s="1"/>
  <c r="J44" i="6" s="1"/>
  <c r="U42" i="6"/>
  <c r="I42" i="6" s="1"/>
  <c r="J42" i="6" s="1"/>
  <c r="U40" i="6"/>
  <c r="I40" i="6" s="1"/>
  <c r="J40" i="6" s="1"/>
  <c r="U38" i="6"/>
  <c r="I38" i="6" s="1"/>
  <c r="J38" i="6" s="1"/>
  <c r="U36" i="6"/>
  <c r="I36" i="6" s="1"/>
  <c r="J36" i="6" s="1"/>
  <c r="U31" i="6"/>
  <c r="I31" i="6" s="1"/>
  <c r="U19" i="6"/>
  <c r="I19" i="6" s="1"/>
  <c r="J19" i="6" s="1"/>
  <c r="U15" i="6"/>
  <c r="I15" i="6" s="1"/>
  <c r="J15" i="6" s="1"/>
  <c r="P46" i="6"/>
  <c r="F46" i="6"/>
  <c r="P12" i="5"/>
  <c r="R12" i="5"/>
  <c r="S20" i="5"/>
  <c r="Q23" i="5"/>
  <c r="T23" i="5" s="1"/>
  <c r="U23" i="5" s="1"/>
  <c r="I23" i="5" s="1"/>
  <c r="Q27" i="5"/>
  <c r="T27" i="5" s="1"/>
  <c r="U27" i="5" s="1"/>
  <c r="I27" i="5" s="1"/>
  <c r="S31" i="5"/>
  <c r="S33" i="5"/>
  <c r="S35" i="5"/>
  <c r="S37" i="5"/>
  <c r="S39" i="5"/>
  <c r="S41" i="5"/>
  <c r="S43" i="5"/>
  <c r="S45" i="5"/>
  <c r="T13" i="5"/>
  <c r="T15" i="5"/>
  <c r="T17" i="5"/>
  <c r="T19" i="5"/>
  <c r="T20" i="5"/>
  <c r="T22" i="5"/>
  <c r="T24" i="5"/>
  <c r="T26" i="5"/>
  <c r="T28" i="5"/>
  <c r="T25" i="5"/>
  <c r="T14" i="5"/>
  <c r="T16" i="5"/>
  <c r="T18" i="5"/>
  <c r="Q11" i="5"/>
  <c r="S11" i="5"/>
  <c r="S12" i="5"/>
  <c r="S13" i="5"/>
  <c r="U13" i="5" s="1"/>
  <c r="I13" i="5" s="1"/>
  <c r="S14" i="5"/>
  <c r="S15" i="5"/>
  <c r="S16" i="5"/>
  <c r="S17" i="5"/>
  <c r="S18" i="5"/>
  <c r="S19" i="5"/>
  <c r="T30" i="5"/>
  <c r="U30" i="5" s="1"/>
  <c r="I30" i="5" s="1"/>
  <c r="T34" i="5"/>
  <c r="T36" i="5"/>
  <c r="T40" i="5"/>
  <c r="T42" i="5"/>
  <c r="T44" i="5"/>
  <c r="U44" i="5" s="1"/>
  <c r="I44" i="5" s="1"/>
  <c r="P11" i="5"/>
  <c r="R11" i="5"/>
  <c r="S22" i="5"/>
  <c r="S24" i="5"/>
  <c r="U24" i="5" s="1"/>
  <c r="I24" i="5" s="1"/>
  <c r="S26" i="5"/>
  <c r="U26" i="5" s="1"/>
  <c r="I26" i="5" s="1"/>
  <c r="S28" i="5"/>
  <c r="U28" i="5" s="1"/>
  <c r="I28" i="5" s="1"/>
  <c r="T29" i="5"/>
  <c r="U29" i="5" s="1"/>
  <c r="I29" i="5" s="1"/>
  <c r="T31" i="5"/>
  <c r="U31" i="5" s="1"/>
  <c r="I31" i="5" s="1"/>
  <c r="T33" i="5"/>
  <c r="T35" i="5"/>
  <c r="T37" i="5"/>
  <c r="T39" i="5"/>
  <c r="T41" i="5"/>
  <c r="T43" i="5"/>
  <c r="T45" i="5"/>
  <c r="J24" i="13" l="1"/>
  <c r="U44" i="16"/>
  <c r="I44" i="16" s="1"/>
  <c r="J38" i="9"/>
  <c r="J11" i="11"/>
  <c r="J23" i="9"/>
  <c r="U25" i="5"/>
  <c r="I25" i="5" s="1"/>
  <c r="J25" i="5" s="1"/>
  <c r="J29" i="16"/>
  <c r="J21" i="9"/>
  <c r="U34" i="5"/>
  <c r="I34" i="5" s="1"/>
  <c r="J35" i="10"/>
  <c r="J33" i="14"/>
  <c r="J33" i="16"/>
  <c r="U41" i="5"/>
  <c r="I41" i="5" s="1"/>
  <c r="U35" i="5"/>
  <c r="I35" i="5" s="1"/>
  <c r="J31" i="9"/>
  <c r="J40" i="12"/>
  <c r="J38" i="14"/>
  <c r="J37" i="16"/>
  <c r="J25" i="14"/>
  <c r="J29" i="14"/>
  <c r="U40" i="5"/>
  <c r="I40" i="5" s="1"/>
  <c r="J30" i="14"/>
  <c r="J44" i="10"/>
  <c r="J13" i="15"/>
  <c r="J32" i="16"/>
  <c r="J28" i="16"/>
  <c r="J42" i="15"/>
  <c r="J24" i="9"/>
  <c r="J39" i="15"/>
  <c r="J31" i="16"/>
  <c r="J11" i="10"/>
  <c r="J41" i="15"/>
  <c r="J28" i="14"/>
  <c r="J27" i="6"/>
  <c r="J27" i="9"/>
  <c r="J43" i="11"/>
  <c r="J11" i="15"/>
  <c r="U36" i="5"/>
  <c r="I36" i="5" s="1"/>
  <c r="J36" i="5" s="1"/>
  <c r="U43" i="5"/>
  <c r="I43" i="5" s="1"/>
  <c r="J43" i="5" s="1"/>
  <c r="J34" i="16"/>
  <c r="U39" i="5"/>
  <c r="I39" i="5" s="1"/>
  <c r="J36" i="14"/>
  <c r="J35" i="16"/>
  <c r="U37" i="5"/>
  <c r="I37" i="5" s="1"/>
  <c r="J30" i="9"/>
  <c r="J36" i="16"/>
  <c r="J19" i="11"/>
  <c r="U42" i="5"/>
  <c r="I42" i="5" s="1"/>
  <c r="J42" i="5" s="1"/>
  <c r="U46" i="9"/>
  <c r="I46" i="9" s="1"/>
  <c r="J26" i="7"/>
  <c r="J21" i="14"/>
  <c r="J40" i="14"/>
  <c r="J27" i="15"/>
  <c r="T12" i="5"/>
  <c r="I47" i="7"/>
  <c r="J29" i="12"/>
  <c r="J35" i="12"/>
  <c r="J41" i="12"/>
  <c r="J26" i="13"/>
  <c r="J32" i="13"/>
  <c r="J38" i="13"/>
  <c r="J44" i="13"/>
  <c r="J35" i="14"/>
  <c r="J41" i="13"/>
  <c r="J29" i="15"/>
  <c r="J24" i="16"/>
  <c r="U17" i="5"/>
  <c r="I17" i="5" s="1"/>
  <c r="J17" i="5" s="1"/>
  <c r="J31" i="6"/>
  <c r="J13" i="10"/>
  <c r="J32" i="11"/>
  <c r="J38" i="11"/>
  <c r="J44" i="11"/>
  <c r="J42" i="14"/>
  <c r="J44" i="7"/>
  <c r="R47" i="5"/>
  <c r="G47" i="5" s="1"/>
  <c r="Q47" i="5"/>
  <c r="F47" i="5" s="1"/>
  <c r="J46" i="8"/>
  <c r="J33" i="11"/>
  <c r="J39" i="11"/>
  <c r="J46" i="12"/>
  <c r="J31" i="12"/>
  <c r="J37" i="12"/>
  <c r="J43" i="12"/>
  <c r="J28" i="13"/>
  <c r="J34" i="13"/>
  <c r="J40" i="13"/>
  <c r="J37" i="14"/>
  <c r="J43" i="14"/>
  <c r="J33" i="15"/>
  <c r="J21" i="11"/>
  <c r="J34" i="5"/>
  <c r="J37" i="5"/>
  <c r="U45" i="5"/>
  <c r="I45" i="5" s="1"/>
  <c r="U33" i="5"/>
  <c r="I33" i="5" s="1"/>
  <c r="U22" i="5"/>
  <c r="I22" i="5" s="1"/>
  <c r="J38" i="5"/>
  <c r="J44" i="9"/>
  <c r="J36" i="11"/>
  <c r="J42" i="11"/>
  <c r="J17" i="14"/>
  <c r="J28" i="7"/>
  <c r="J28" i="8"/>
  <c r="J36" i="10"/>
  <c r="J22" i="14"/>
  <c r="J25" i="10"/>
  <c r="J29" i="8"/>
  <c r="J40" i="15"/>
  <c r="J25" i="9"/>
  <c r="J30" i="11"/>
  <c r="J17" i="9"/>
  <c r="J42" i="7"/>
  <c r="J42" i="8"/>
  <c r="J31" i="10"/>
  <c r="J46" i="19"/>
  <c r="J31" i="7"/>
  <c r="J31" i="8"/>
  <c r="J14" i="9"/>
  <c r="J16" i="9"/>
  <c r="J32" i="8"/>
  <c r="J41" i="8"/>
  <c r="J29" i="11"/>
  <c r="J27" i="7"/>
  <c r="J27" i="8"/>
  <c r="J26" i="6"/>
  <c r="J20" i="13"/>
  <c r="J43" i="10"/>
  <c r="J23" i="5"/>
  <c r="J47" i="19"/>
  <c r="J34" i="10"/>
  <c r="J34" i="7"/>
  <c r="J34" i="8"/>
  <c r="J13" i="9"/>
  <c r="J32" i="7"/>
  <c r="J28" i="11"/>
  <c r="J32" i="15"/>
  <c r="J42" i="10"/>
  <c r="J30" i="7"/>
  <c r="J30" i="8"/>
  <c r="J34" i="15"/>
  <c r="J32" i="10"/>
  <c r="J33" i="10"/>
  <c r="J29" i="5"/>
  <c r="J39" i="5"/>
  <c r="J28" i="5"/>
  <c r="J44" i="5"/>
  <c r="J32" i="5"/>
  <c r="J27" i="5"/>
  <c r="J31" i="14"/>
  <c r="J11" i="16"/>
  <c r="J37" i="7"/>
  <c r="J37" i="8"/>
  <c r="J25" i="15"/>
  <c r="J35" i="8"/>
  <c r="J44" i="8"/>
  <c r="J12" i="14"/>
  <c r="J40" i="10"/>
  <c r="J14" i="14"/>
  <c r="J33" i="7"/>
  <c r="J33" i="8"/>
  <c r="J24" i="15"/>
  <c r="J22" i="9"/>
  <c r="J39" i="10"/>
  <c r="J26" i="5"/>
  <c r="J30" i="5"/>
  <c r="J11" i="8"/>
  <c r="J26" i="12"/>
  <c r="J32" i="12"/>
  <c r="J38" i="12"/>
  <c r="J44" i="12"/>
  <c r="J29" i="13"/>
  <c r="J35" i="13"/>
  <c r="J44" i="14"/>
  <c r="I45" i="17"/>
  <c r="J45" i="17" s="1"/>
  <c r="J11" i="17"/>
  <c r="J36" i="15"/>
  <c r="J40" i="7"/>
  <c r="J40" i="8"/>
  <c r="J26" i="15"/>
  <c r="J38" i="10"/>
  <c r="J26" i="8"/>
  <c r="J18" i="9"/>
  <c r="J13" i="14"/>
  <c r="J36" i="7"/>
  <c r="J36" i="8"/>
  <c r="J16" i="14"/>
  <c r="J19" i="9"/>
  <c r="J19" i="14"/>
  <c r="J37" i="10"/>
  <c r="J31" i="5"/>
  <c r="J41" i="5"/>
  <c r="J35" i="5"/>
  <c r="J24" i="5"/>
  <c r="J40" i="5"/>
  <c r="J13" i="5"/>
  <c r="J11" i="6"/>
  <c r="J26" i="11"/>
  <c r="J35" i="11"/>
  <c r="J41" i="11"/>
  <c r="J27" i="12"/>
  <c r="J33" i="12"/>
  <c r="J39" i="12"/>
  <c r="J11" i="12"/>
  <c r="J30" i="13"/>
  <c r="J36" i="13"/>
  <c r="J42" i="13"/>
  <c r="J39" i="13"/>
  <c r="J11" i="14"/>
  <c r="J37" i="15"/>
  <c r="J12" i="9"/>
  <c r="J43" i="7"/>
  <c r="J43" i="8"/>
  <c r="J38" i="15"/>
  <c r="J28" i="15"/>
  <c r="J38" i="8"/>
  <c r="J30" i="15"/>
  <c r="J23" i="14"/>
  <c r="J15" i="9"/>
  <c r="J18" i="13"/>
  <c r="J20" i="9"/>
  <c r="J39" i="7"/>
  <c r="J39" i="8"/>
  <c r="J15" i="14"/>
  <c r="J41" i="10"/>
  <c r="T44" i="17"/>
  <c r="U44" i="17" s="1"/>
  <c r="I44" i="17" s="1"/>
  <c r="J44" i="17" s="1"/>
  <c r="I45" i="16"/>
  <c r="T46" i="14"/>
  <c r="U46" i="14" s="1"/>
  <c r="I46" i="14" s="1"/>
  <c r="J46" i="13" s="1"/>
  <c r="J21" i="5"/>
  <c r="I45" i="15"/>
  <c r="J45" i="15" s="1"/>
  <c r="T44" i="15"/>
  <c r="U44" i="15" s="1"/>
  <c r="I44" i="15" s="1"/>
  <c r="I47" i="14"/>
  <c r="I47" i="13"/>
  <c r="I47" i="12"/>
  <c r="I47" i="11"/>
  <c r="J47" i="11" s="1"/>
  <c r="E46" i="11"/>
  <c r="T46" i="11"/>
  <c r="U46" i="11" s="1"/>
  <c r="I46" i="11" s="1"/>
  <c r="J46" i="11" s="1"/>
  <c r="I47" i="10"/>
  <c r="E46" i="10"/>
  <c r="T46" i="10"/>
  <c r="U46" i="10" s="1"/>
  <c r="I46" i="10" s="1"/>
  <c r="I47" i="9"/>
  <c r="I47" i="8"/>
  <c r="J47" i="8" s="1"/>
  <c r="J11" i="7"/>
  <c r="E46" i="7"/>
  <c r="T46" i="7"/>
  <c r="U46" i="7" s="1"/>
  <c r="I46" i="7" s="1"/>
  <c r="J46" i="7" s="1"/>
  <c r="I47" i="6"/>
  <c r="E46" i="6"/>
  <c r="T46" i="6"/>
  <c r="U46" i="6" s="1"/>
  <c r="I46" i="6" s="1"/>
  <c r="J46" i="6" s="1"/>
  <c r="U19" i="5"/>
  <c r="I19" i="5" s="1"/>
  <c r="U15" i="5"/>
  <c r="I15" i="5" s="1"/>
  <c r="U20" i="5"/>
  <c r="I20" i="5" s="1"/>
  <c r="U18" i="5"/>
  <c r="I18" i="5" s="1"/>
  <c r="U14" i="5"/>
  <c r="I14" i="5" s="1"/>
  <c r="P47" i="5"/>
  <c r="T11" i="5"/>
  <c r="U11" i="5" s="1"/>
  <c r="I11" i="5" s="1"/>
  <c r="U16" i="5"/>
  <c r="I16" i="5" s="1"/>
  <c r="U12" i="5"/>
  <c r="I12" i="5" s="1"/>
  <c r="E48" i="4"/>
  <c r="O45" i="4"/>
  <c r="N45" i="4"/>
  <c r="M45" i="4"/>
  <c r="O44" i="4"/>
  <c r="N44" i="4"/>
  <c r="M44" i="4"/>
  <c r="O43" i="4"/>
  <c r="N43" i="4"/>
  <c r="M43" i="4"/>
  <c r="O42" i="4"/>
  <c r="N42" i="4"/>
  <c r="M42" i="4"/>
  <c r="O41" i="4"/>
  <c r="N41" i="4"/>
  <c r="M41" i="4"/>
  <c r="O40" i="4"/>
  <c r="N40" i="4"/>
  <c r="M40" i="4"/>
  <c r="O39" i="4"/>
  <c r="N39" i="4"/>
  <c r="M39" i="4"/>
  <c r="O38" i="4"/>
  <c r="N38" i="4"/>
  <c r="M38" i="4"/>
  <c r="O37" i="4"/>
  <c r="N37" i="4"/>
  <c r="M37" i="4"/>
  <c r="O36" i="4"/>
  <c r="N36" i="4"/>
  <c r="M36" i="4"/>
  <c r="O35" i="4"/>
  <c r="N35" i="4"/>
  <c r="M35" i="4"/>
  <c r="O34" i="4"/>
  <c r="N34" i="4"/>
  <c r="M34" i="4"/>
  <c r="O33" i="4"/>
  <c r="N33" i="4"/>
  <c r="M33" i="4"/>
  <c r="O32" i="4"/>
  <c r="N32" i="4"/>
  <c r="M32" i="4"/>
  <c r="O31" i="4"/>
  <c r="N31" i="4"/>
  <c r="M31" i="4"/>
  <c r="O30" i="4"/>
  <c r="N30" i="4"/>
  <c r="M30" i="4"/>
  <c r="O29" i="4"/>
  <c r="N29" i="4"/>
  <c r="M29" i="4"/>
  <c r="O28" i="4"/>
  <c r="N28" i="4"/>
  <c r="M28" i="4"/>
  <c r="O27" i="4"/>
  <c r="N27" i="4"/>
  <c r="M27" i="4"/>
  <c r="O26" i="4"/>
  <c r="N26" i="4"/>
  <c r="M26" i="4"/>
  <c r="O25" i="4"/>
  <c r="N25" i="4"/>
  <c r="M25" i="4"/>
  <c r="O24" i="4"/>
  <c r="N24" i="4"/>
  <c r="M24" i="4"/>
  <c r="O23" i="4"/>
  <c r="N23" i="4"/>
  <c r="M23" i="4"/>
  <c r="O22" i="4"/>
  <c r="N22" i="4"/>
  <c r="M22" i="4"/>
  <c r="O21" i="4"/>
  <c r="N21" i="4"/>
  <c r="M21" i="4"/>
  <c r="O20" i="4"/>
  <c r="N20" i="4"/>
  <c r="M20" i="4"/>
  <c r="O19" i="4"/>
  <c r="N19" i="4"/>
  <c r="M19" i="4"/>
  <c r="O18" i="4"/>
  <c r="N18" i="4"/>
  <c r="M18" i="4"/>
  <c r="O17" i="4"/>
  <c r="N17" i="4"/>
  <c r="M17" i="4"/>
  <c r="O16" i="4"/>
  <c r="N16" i="4"/>
  <c r="M16" i="4"/>
  <c r="O15" i="4"/>
  <c r="N15" i="4"/>
  <c r="M15" i="4"/>
  <c r="O14" i="4"/>
  <c r="N14" i="4"/>
  <c r="M14" i="4"/>
  <c r="O13" i="4"/>
  <c r="N13" i="4"/>
  <c r="M13" i="4"/>
  <c r="O12" i="4"/>
  <c r="N12" i="4"/>
  <c r="M12" i="4"/>
  <c r="O11" i="4"/>
  <c r="N11" i="4"/>
  <c r="M11" i="4"/>
  <c r="J47" i="6" l="1"/>
  <c r="J45" i="16"/>
  <c r="J46" i="9"/>
  <c r="J47" i="10"/>
  <c r="M47" i="4"/>
  <c r="J11" i="5"/>
  <c r="J46" i="14"/>
  <c r="J44" i="15"/>
  <c r="J44" i="16"/>
  <c r="J33" i="5"/>
  <c r="J47" i="7"/>
  <c r="J45" i="5"/>
  <c r="J14" i="5"/>
  <c r="J47" i="9"/>
  <c r="J18" i="5"/>
  <c r="J46" i="10"/>
  <c r="J47" i="12"/>
  <c r="J12" i="5"/>
  <c r="J16" i="5"/>
  <c r="J15" i="5"/>
  <c r="J22" i="5"/>
  <c r="J47" i="14"/>
  <c r="J47" i="13"/>
  <c r="J19" i="5"/>
  <c r="I48" i="5"/>
  <c r="E47" i="5"/>
  <c r="T47" i="5"/>
  <c r="U47" i="5" s="1"/>
  <c r="I47" i="5" s="1"/>
  <c r="Q31" i="4"/>
  <c r="R31" i="4"/>
  <c r="P31" i="4"/>
  <c r="G48" i="4"/>
  <c r="F48" i="4"/>
  <c r="R45" i="4"/>
  <c r="Q45" i="4"/>
  <c r="R44" i="4"/>
  <c r="Q44" i="4"/>
  <c r="P44" i="4"/>
  <c r="R43" i="4"/>
  <c r="Q43" i="4"/>
  <c r="P43" i="4"/>
  <c r="R42" i="4"/>
  <c r="Q42" i="4"/>
  <c r="P42" i="4"/>
  <c r="R41" i="4"/>
  <c r="Q41" i="4"/>
  <c r="P41" i="4"/>
  <c r="R40" i="4"/>
  <c r="Q40" i="4"/>
  <c r="P40" i="4"/>
  <c r="R39" i="4"/>
  <c r="Q39" i="4"/>
  <c r="P39" i="4"/>
  <c r="R38" i="4"/>
  <c r="Q38" i="4"/>
  <c r="P38" i="4"/>
  <c r="R37" i="4"/>
  <c r="Q37" i="4"/>
  <c r="P37" i="4"/>
  <c r="R36" i="4"/>
  <c r="Q36" i="4"/>
  <c r="P36" i="4"/>
  <c r="R35" i="4"/>
  <c r="Q35" i="4"/>
  <c r="P35" i="4"/>
  <c r="R34" i="4"/>
  <c r="Q34" i="4"/>
  <c r="P34" i="4"/>
  <c r="R33" i="4"/>
  <c r="Q33" i="4"/>
  <c r="P33" i="4"/>
  <c r="R32" i="4"/>
  <c r="Q32" i="4"/>
  <c r="P32" i="4"/>
  <c r="R30" i="4"/>
  <c r="Q30" i="4"/>
  <c r="P30" i="4"/>
  <c r="R29" i="4"/>
  <c r="Q29" i="4"/>
  <c r="P29" i="4"/>
  <c r="R28" i="4"/>
  <c r="Q28" i="4"/>
  <c r="P28" i="4"/>
  <c r="R27" i="4"/>
  <c r="Q27" i="4"/>
  <c r="P27" i="4"/>
  <c r="R26" i="4"/>
  <c r="Q26" i="4"/>
  <c r="P26" i="4"/>
  <c r="R25" i="4"/>
  <c r="Q25" i="4"/>
  <c r="P25" i="4"/>
  <c r="R24" i="4"/>
  <c r="Q24" i="4"/>
  <c r="P24" i="4"/>
  <c r="R23" i="4"/>
  <c r="Q23" i="4"/>
  <c r="P23" i="4"/>
  <c r="R22" i="4"/>
  <c r="Q22" i="4"/>
  <c r="P22" i="4"/>
  <c r="R21" i="4"/>
  <c r="Q21" i="4"/>
  <c r="P21" i="4"/>
  <c r="R20" i="4"/>
  <c r="Q20" i="4"/>
  <c r="P20" i="4"/>
  <c r="R19" i="4"/>
  <c r="Q19" i="4"/>
  <c r="P19" i="4"/>
  <c r="R18" i="4"/>
  <c r="Q18" i="4"/>
  <c r="P18" i="4"/>
  <c r="R17" i="4"/>
  <c r="Q17" i="4"/>
  <c r="P17" i="4"/>
  <c r="R16" i="4"/>
  <c r="Q16" i="4"/>
  <c r="P16" i="4"/>
  <c r="R15" i="4"/>
  <c r="Q15" i="4"/>
  <c r="P15" i="4"/>
  <c r="R14" i="4"/>
  <c r="Q14" i="4"/>
  <c r="P14" i="4"/>
  <c r="R13" i="4"/>
  <c r="Q13" i="4"/>
  <c r="P13" i="4"/>
  <c r="R12" i="4"/>
  <c r="Q12" i="4"/>
  <c r="P12" i="4"/>
  <c r="N47" i="4"/>
  <c r="J47" i="5" l="1"/>
  <c r="J48" i="5"/>
  <c r="T31" i="4"/>
  <c r="S31" i="4"/>
  <c r="Q11" i="4"/>
  <c r="Q47" i="4" s="1"/>
  <c r="F47" i="4" s="1"/>
  <c r="T26" i="4"/>
  <c r="T27" i="4"/>
  <c r="T28" i="4"/>
  <c r="T29" i="4"/>
  <c r="T30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S26" i="4"/>
  <c r="S28" i="4"/>
  <c r="S30" i="4"/>
  <c r="S33" i="4"/>
  <c r="S35" i="4"/>
  <c r="S37" i="4"/>
  <c r="S39" i="4"/>
  <c r="S41" i="4"/>
  <c r="S43" i="4"/>
  <c r="P45" i="4"/>
  <c r="T45" i="4" s="1"/>
  <c r="S45" i="4"/>
  <c r="P11" i="4"/>
  <c r="O47" i="4"/>
  <c r="R11" i="4"/>
  <c r="R47" i="4" s="1"/>
  <c r="S11" i="4"/>
  <c r="T12" i="4"/>
  <c r="S12" i="4"/>
  <c r="T13" i="4"/>
  <c r="S13" i="4"/>
  <c r="T14" i="4"/>
  <c r="S14" i="4"/>
  <c r="T15" i="4"/>
  <c r="S15" i="4"/>
  <c r="T16" i="4"/>
  <c r="S16" i="4"/>
  <c r="T17" i="4"/>
  <c r="S17" i="4"/>
  <c r="T18" i="4"/>
  <c r="S18" i="4"/>
  <c r="T19" i="4"/>
  <c r="S19" i="4"/>
  <c r="T20" i="4"/>
  <c r="S20" i="4"/>
  <c r="T21" i="4"/>
  <c r="S21" i="4"/>
  <c r="T22" i="4"/>
  <c r="S22" i="4"/>
  <c r="T23" i="4"/>
  <c r="S23" i="4"/>
  <c r="T24" i="4"/>
  <c r="S24" i="4"/>
  <c r="T25" i="4"/>
  <c r="S25" i="4"/>
  <c r="S27" i="4"/>
  <c r="S29" i="4"/>
  <c r="S32" i="4"/>
  <c r="S34" i="4"/>
  <c r="S36" i="4"/>
  <c r="S38" i="4"/>
  <c r="S40" i="4"/>
  <c r="S42" i="4"/>
  <c r="S44" i="4"/>
  <c r="U38" i="4" l="1"/>
  <c r="I38" i="4" s="1"/>
  <c r="J38" i="4" s="1"/>
  <c r="U34" i="4"/>
  <c r="I34" i="4" s="1"/>
  <c r="J34" i="4" s="1"/>
  <c r="U33" i="4"/>
  <c r="I33" i="4" s="1"/>
  <c r="J33" i="4" s="1"/>
  <c r="U29" i="4"/>
  <c r="I29" i="4" s="1"/>
  <c r="J29" i="4" s="1"/>
  <c r="U42" i="4"/>
  <c r="I42" i="4" s="1"/>
  <c r="J42" i="4" s="1"/>
  <c r="U41" i="4"/>
  <c r="I41" i="4" s="1"/>
  <c r="J41" i="4" s="1"/>
  <c r="U28" i="4"/>
  <c r="I28" i="4" s="1"/>
  <c r="J28" i="4" s="1"/>
  <c r="P47" i="4"/>
  <c r="E47" i="4" s="1"/>
  <c r="U37" i="4"/>
  <c r="I37" i="4" s="1"/>
  <c r="J37" i="4" s="1"/>
  <c r="U44" i="4"/>
  <c r="I44" i="4" s="1"/>
  <c r="J44" i="4" s="1"/>
  <c r="U40" i="4"/>
  <c r="I40" i="4" s="1"/>
  <c r="J40" i="4" s="1"/>
  <c r="U36" i="4"/>
  <c r="I36" i="4" s="1"/>
  <c r="J36" i="4" s="1"/>
  <c r="U32" i="4"/>
  <c r="I32" i="4" s="1"/>
  <c r="J32" i="4" s="1"/>
  <c r="U27" i="4"/>
  <c r="I27" i="4" s="1"/>
  <c r="J27" i="4" s="1"/>
  <c r="U31" i="4"/>
  <c r="I31" i="4" s="1"/>
  <c r="J31" i="4" s="1"/>
  <c r="G47" i="4"/>
  <c r="U25" i="4"/>
  <c r="I25" i="4" s="1"/>
  <c r="J25" i="4" s="1"/>
  <c r="U24" i="4"/>
  <c r="I24" i="4" s="1"/>
  <c r="J24" i="4" s="1"/>
  <c r="U23" i="4"/>
  <c r="I23" i="4" s="1"/>
  <c r="J23" i="4" s="1"/>
  <c r="U22" i="4"/>
  <c r="I22" i="4" s="1"/>
  <c r="J22" i="4" s="1"/>
  <c r="U21" i="4"/>
  <c r="I21" i="4" s="1"/>
  <c r="J21" i="4" s="1"/>
  <c r="U20" i="4"/>
  <c r="I20" i="4" s="1"/>
  <c r="J20" i="4" s="1"/>
  <c r="U19" i="4"/>
  <c r="I19" i="4" s="1"/>
  <c r="J19" i="4" s="1"/>
  <c r="U18" i="4"/>
  <c r="I18" i="4" s="1"/>
  <c r="J18" i="4" s="1"/>
  <c r="U17" i="4"/>
  <c r="I17" i="4" s="1"/>
  <c r="J17" i="4" s="1"/>
  <c r="U16" i="4"/>
  <c r="I16" i="4" s="1"/>
  <c r="J16" i="4" s="1"/>
  <c r="U15" i="4"/>
  <c r="I15" i="4" s="1"/>
  <c r="J15" i="4" s="1"/>
  <c r="U14" i="4"/>
  <c r="I14" i="4" s="1"/>
  <c r="J14" i="4" s="1"/>
  <c r="U13" i="4"/>
  <c r="I13" i="4" s="1"/>
  <c r="J13" i="4" s="1"/>
  <c r="U12" i="4"/>
  <c r="I12" i="4" s="1"/>
  <c r="J12" i="4" s="1"/>
  <c r="U43" i="4"/>
  <c r="I43" i="4" s="1"/>
  <c r="J43" i="4" s="1"/>
  <c r="U39" i="4"/>
  <c r="I39" i="4" s="1"/>
  <c r="J39" i="4" s="1"/>
  <c r="U35" i="4"/>
  <c r="I35" i="4" s="1"/>
  <c r="J35" i="4" s="1"/>
  <c r="U30" i="4"/>
  <c r="I30" i="4" s="1"/>
  <c r="J30" i="4" s="1"/>
  <c r="U26" i="4"/>
  <c r="I26" i="4" s="1"/>
  <c r="J26" i="4" s="1"/>
  <c r="T11" i="4"/>
  <c r="U11" i="4" s="1"/>
  <c r="I11" i="4" s="1"/>
  <c r="J11" i="4" s="1"/>
  <c r="S47" i="4"/>
  <c r="U45" i="4"/>
  <c r="I45" i="4" s="1"/>
  <c r="J45" i="4" s="1"/>
  <c r="O44" i="3"/>
  <c r="R44" i="3" s="1"/>
  <c r="N44" i="3"/>
  <c r="Q44" i="3" s="1"/>
  <c r="M44" i="3"/>
  <c r="P44" i="3" s="1"/>
  <c r="O43" i="3"/>
  <c r="N43" i="3"/>
  <c r="M43" i="3"/>
  <c r="P43" i="3" s="1"/>
  <c r="O42" i="3"/>
  <c r="R42" i="3" s="1"/>
  <c r="N42" i="3"/>
  <c r="Q42" i="3" s="1"/>
  <c r="M42" i="3"/>
  <c r="P42" i="3" s="1"/>
  <c r="O41" i="3"/>
  <c r="R41" i="3" s="1"/>
  <c r="N41" i="3"/>
  <c r="Q41" i="3" s="1"/>
  <c r="M41" i="3"/>
  <c r="O40" i="3"/>
  <c r="N40" i="3"/>
  <c r="M40" i="3"/>
  <c r="P40" i="3" s="1"/>
  <c r="O39" i="3"/>
  <c r="N39" i="3"/>
  <c r="M39" i="3"/>
  <c r="O38" i="3"/>
  <c r="N38" i="3"/>
  <c r="M38" i="3"/>
  <c r="P38" i="3" s="1"/>
  <c r="O37" i="3"/>
  <c r="R37" i="3" s="1"/>
  <c r="N37" i="3"/>
  <c r="M37" i="3"/>
  <c r="P37" i="3" s="1"/>
  <c r="O36" i="3"/>
  <c r="N36" i="3"/>
  <c r="Q36" i="3" s="1"/>
  <c r="M36" i="3"/>
  <c r="P36" i="3" s="1"/>
  <c r="O35" i="3"/>
  <c r="R35" i="3" s="1"/>
  <c r="N35" i="3"/>
  <c r="M35" i="3"/>
  <c r="O34" i="3"/>
  <c r="R34" i="3" s="1"/>
  <c r="N34" i="3"/>
  <c r="M34" i="3"/>
  <c r="P34" i="3" s="1"/>
  <c r="O33" i="3"/>
  <c r="R33" i="3" s="1"/>
  <c r="N33" i="3"/>
  <c r="Q33" i="3" s="1"/>
  <c r="M33" i="3"/>
  <c r="P33" i="3" s="1"/>
  <c r="O32" i="3"/>
  <c r="R32" i="3" s="1"/>
  <c r="N32" i="3"/>
  <c r="Q32" i="3" s="1"/>
  <c r="M32" i="3"/>
  <c r="P32" i="3" s="1"/>
  <c r="O31" i="3"/>
  <c r="R31" i="3" s="1"/>
  <c r="N31" i="3"/>
  <c r="Q31" i="3" s="1"/>
  <c r="M31" i="3"/>
  <c r="P31" i="3" s="1"/>
  <c r="O30" i="3"/>
  <c r="N30" i="3"/>
  <c r="M30" i="3"/>
  <c r="P30" i="3" s="1"/>
  <c r="O29" i="3"/>
  <c r="R29" i="3" s="1"/>
  <c r="N29" i="3"/>
  <c r="M29" i="3"/>
  <c r="O28" i="3"/>
  <c r="N28" i="3"/>
  <c r="M28" i="3"/>
  <c r="P28" i="3" s="1"/>
  <c r="O27" i="3"/>
  <c r="N27" i="3"/>
  <c r="M27" i="3"/>
  <c r="P27" i="3" s="1"/>
  <c r="O26" i="3"/>
  <c r="N26" i="3"/>
  <c r="M26" i="3"/>
  <c r="P26" i="3" s="1"/>
  <c r="O25" i="3"/>
  <c r="R25" i="3" s="1"/>
  <c r="N25" i="3"/>
  <c r="Q25" i="3" s="1"/>
  <c r="M25" i="3"/>
  <c r="P25" i="3" s="1"/>
  <c r="O24" i="3"/>
  <c r="R24" i="3" s="1"/>
  <c r="N24" i="3"/>
  <c r="Q24" i="3" s="1"/>
  <c r="M24" i="3"/>
  <c r="P24" i="3" s="1"/>
  <c r="O23" i="3"/>
  <c r="N23" i="3"/>
  <c r="M23" i="3"/>
  <c r="O22" i="3"/>
  <c r="N22" i="3"/>
  <c r="M22" i="3"/>
  <c r="P22" i="3" s="1"/>
  <c r="O21" i="3"/>
  <c r="N21" i="3"/>
  <c r="M21" i="3"/>
  <c r="O20" i="3"/>
  <c r="N20" i="3"/>
  <c r="M20" i="3"/>
  <c r="P20" i="3" s="1"/>
  <c r="O19" i="3"/>
  <c r="R19" i="3" s="1"/>
  <c r="N19" i="3"/>
  <c r="Q19" i="3" s="1"/>
  <c r="M19" i="3"/>
  <c r="P19" i="3" s="1"/>
  <c r="O18" i="3"/>
  <c r="R18" i="3" s="1"/>
  <c r="N18" i="3"/>
  <c r="Q18" i="3" s="1"/>
  <c r="M18" i="3"/>
  <c r="P18" i="3" s="1"/>
  <c r="O17" i="3"/>
  <c r="R17" i="3" s="1"/>
  <c r="N17" i="3"/>
  <c r="M17" i="3"/>
  <c r="O16" i="3"/>
  <c r="N16" i="3"/>
  <c r="Q16" i="3" s="1"/>
  <c r="M16" i="3"/>
  <c r="P16" i="3" s="1"/>
  <c r="O15" i="3"/>
  <c r="R15" i="3" s="1"/>
  <c r="N15" i="3"/>
  <c r="M15" i="3"/>
  <c r="O14" i="3"/>
  <c r="N14" i="3"/>
  <c r="M14" i="3"/>
  <c r="P14" i="3" s="1"/>
  <c r="O13" i="3"/>
  <c r="N13" i="3"/>
  <c r="M13" i="3"/>
  <c r="O12" i="3"/>
  <c r="N12" i="3"/>
  <c r="M12" i="3"/>
  <c r="P12" i="3" s="1"/>
  <c r="O11" i="3"/>
  <c r="O46" i="3" s="1"/>
  <c r="N11" i="3"/>
  <c r="M11" i="3"/>
  <c r="P11" i="3" s="1"/>
  <c r="G47" i="3"/>
  <c r="F47" i="3"/>
  <c r="E47" i="3"/>
  <c r="Q43" i="3"/>
  <c r="R43" i="3"/>
  <c r="P41" i="3"/>
  <c r="Q40" i="3"/>
  <c r="R40" i="3"/>
  <c r="Q39" i="3"/>
  <c r="R39" i="3"/>
  <c r="P39" i="3"/>
  <c r="Q38" i="3"/>
  <c r="R38" i="3"/>
  <c r="Q37" i="3"/>
  <c r="R36" i="3"/>
  <c r="Q35" i="3"/>
  <c r="P35" i="3"/>
  <c r="Q34" i="3"/>
  <c r="Q30" i="3"/>
  <c r="R30" i="3"/>
  <c r="Q29" i="3"/>
  <c r="P29" i="3"/>
  <c r="Q28" i="3"/>
  <c r="R28" i="3"/>
  <c r="Q27" i="3"/>
  <c r="R27" i="3"/>
  <c r="Q26" i="3"/>
  <c r="R26" i="3"/>
  <c r="R23" i="3"/>
  <c r="P23" i="3"/>
  <c r="Q23" i="3"/>
  <c r="R22" i="3"/>
  <c r="Q22" i="3"/>
  <c r="R21" i="3"/>
  <c r="P21" i="3"/>
  <c r="Q21" i="3"/>
  <c r="R20" i="3"/>
  <c r="Q20" i="3"/>
  <c r="P17" i="3"/>
  <c r="Q17" i="3"/>
  <c r="R16" i="3"/>
  <c r="P15" i="3"/>
  <c r="Q15" i="3"/>
  <c r="R14" i="3"/>
  <c r="Q14" i="3"/>
  <c r="R13" i="3"/>
  <c r="P13" i="3"/>
  <c r="Q13" i="3"/>
  <c r="R12" i="3"/>
  <c r="Q12" i="3"/>
  <c r="R11" i="3"/>
  <c r="N46" i="3" l="1"/>
  <c r="M46" i="3"/>
  <c r="R46" i="3"/>
  <c r="S13" i="3"/>
  <c r="S15" i="3"/>
  <c r="S17" i="3"/>
  <c r="S19" i="3"/>
  <c r="S21" i="3"/>
  <c r="S23" i="3"/>
  <c r="S25" i="3"/>
  <c r="I48" i="4"/>
  <c r="J48" i="4" s="1"/>
  <c r="T47" i="4"/>
  <c r="U47" i="4" s="1"/>
  <c r="I47" i="4" s="1"/>
  <c r="J47" i="4" s="1"/>
  <c r="G46" i="3"/>
  <c r="S12" i="3"/>
  <c r="S14" i="3"/>
  <c r="S16" i="3"/>
  <c r="S18" i="3"/>
  <c r="S20" i="3"/>
  <c r="S22" i="3"/>
  <c r="S24" i="3"/>
  <c r="P46" i="3"/>
  <c r="T12" i="3"/>
  <c r="T14" i="3"/>
  <c r="T16" i="3"/>
  <c r="T18" i="3"/>
  <c r="T20" i="3"/>
  <c r="T22" i="3"/>
  <c r="T24" i="3"/>
  <c r="E46" i="3"/>
  <c r="T13" i="3"/>
  <c r="U13" i="3" s="1"/>
  <c r="I13" i="3" s="1"/>
  <c r="J13" i="3" s="1"/>
  <c r="T15" i="3"/>
  <c r="U15" i="3" s="1"/>
  <c r="I15" i="3" s="1"/>
  <c r="J15" i="3" s="1"/>
  <c r="T17" i="3"/>
  <c r="U17" i="3" s="1"/>
  <c r="I17" i="3" s="1"/>
  <c r="J17" i="3" s="1"/>
  <c r="T19" i="3"/>
  <c r="T21" i="3"/>
  <c r="T23" i="3"/>
  <c r="U23" i="3" s="1"/>
  <c r="I23" i="3" s="1"/>
  <c r="J23" i="3" s="1"/>
  <c r="T25" i="3"/>
  <c r="U25" i="3" s="1"/>
  <c r="I25" i="3" s="1"/>
  <c r="J25" i="3" s="1"/>
  <c r="S46" i="3"/>
  <c r="Q11" i="3"/>
  <c r="Q46" i="3" s="1"/>
  <c r="F46" i="3" s="1"/>
  <c r="S11" i="3"/>
  <c r="T26" i="3"/>
  <c r="S26" i="3"/>
  <c r="T27" i="3"/>
  <c r="S27" i="3"/>
  <c r="T28" i="3"/>
  <c r="S28" i="3"/>
  <c r="T29" i="3"/>
  <c r="S29" i="3"/>
  <c r="T30" i="3"/>
  <c r="S30" i="3"/>
  <c r="T31" i="3"/>
  <c r="S31" i="3"/>
  <c r="T32" i="3"/>
  <c r="S32" i="3"/>
  <c r="T33" i="3"/>
  <c r="S33" i="3"/>
  <c r="T34" i="3"/>
  <c r="S34" i="3"/>
  <c r="T35" i="3"/>
  <c r="S35" i="3"/>
  <c r="T36" i="3"/>
  <c r="S36" i="3"/>
  <c r="T37" i="3"/>
  <c r="S37" i="3"/>
  <c r="T38" i="3"/>
  <c r="S38" i="3"/>
  <c r="T39" i="3"/>
  <c r="S39" i="3"/>
  <c r="T40" i="3"/>
  <c r="S40" i="3"/>
  <c r="T41" i="3"/>
  <c r="S41" i="3"/>
  <c r="T42" i="3"/>
  <c r="S42" i="3"/>
  <c r="T43" i="3"/>
  <c r="S43" i="3"/>
  <c r="T44" i="3"/>
  <c r="S44" i="3"/>
  <c r="T11" i="3" l="1"/>
  <c r="U20" i="3"/>
  <c r="I20" i="3" s="1"/>
  <c r="J20" i="3" s="1"/>
  <c r="U16" i="3"/>
  <c r="I16" i="3" s="1"/>
  <c r="J16" i="3" s="1"/>
  <c r="U14" i="3"/>
  <c r="I14" i="3" s="1"/>
  <c r="J14" i="3" s="1"/>
  <c r="U18" i="3"/>
  <c r="I18" i="3" s="1"/>
  <c r="J18" i="3" s="1"/>
  <c r="U21" i="3"/>
  <c r="I21" i="3" s="1"/>
  <c r="J21" i="3" s="1"/>
  <c r="U24" i="3"/>
  <c r="I24" i="3" s="1"/>
  <c r="J24" i="3" s="1"/>
  <c r="U12" i="3"/>
  <c r="I12" i="3" s="1"/>
  <c r="J12" i="3" s="1"/>
  <c r="U19" i="3"/>
  <c r="I19" i="3" s="1"/>
  <c r="J19" i="3" s="1"/>
  <c r="U22" i="3"/>
  <c r="I22" i="3" s="1"/>
  <c r="J22" i="3" s="1"/>
  <c r="U11" i="3"/>
  <c r="I11" i="3" s="1"/>
  <c r="J11" i="3" s="1"/>
  <c r="U44" i="3"/>
  <c r="I44" i="3" s="1"/>
  <c r="J44" i="3" s="1"/>
  <c r="U43" i="3"/>
  <c r="I43" i="3" s="1"/>
  <c r="J43" i="3" s="1"/>
  <c r="U42" i="3"/>
  <c r="I42" i="3" s="1"/>
  <c r="J42" i="3" s="1"/>
  <c r="U41" i="3"/>
  <c r="I41" i="3" s="1"/>
  <c r="J41" i="3" s="1"/>
  <c r="U40" i="3"/>
  <c r="I40" i="3" s="1"/>
  <c r="J40" i="3" s="1"/>
  <c r="U39" i="3"/>
  <c r="I39" i="3" s="1"/>
  <c r="J39" i="3" s="1"/>
  <c r="U38" i="3"/>
  <c r="I38" i="3" s="1"/>
  <c r="J38" i="3" s="1"/>
  <c r="U37" i="3"/>
  <c r="I37" i="3" s="1"/>
  <c r="J37" i="3" s="1"/>
  <c r="U36" i="3"/>
  <c r="I36" i="3" s="1"/>
  <c r="J36" i="3" s="1"/>
  <c r="U35" i="3"/>
  <c r="I35" i="3" s="1"/>
  <c r="J35" i="3" s="1"/>
  <c r="U34" i="3"/>
  <c r="I34" i="3" s="1"/>
  <c r="J34" i="3" s="1"/>
  <c r="U33" i="3"/>
  <c r="I33" i="3" s="1"/>
  <c r="J33" i="3" s="1"/>
  <c r="U32" i="3"/>
  <c r="I32" i="3" s="1"/>
  <c r="J32" i="3" s="1"/>
  <c r="U31" i="3"/>
  <c r="I31" i="3" s="1"/>
  <c r="J31" i="3" s="1"/>
  <c r="U30" i="3"/>
  <c r="I30" i="3" s="1"/>
  <c r="J30" i="3" s="1"/>
  <c r="U29" i="3"/>
  <c r="I29" i="3" s="1"/>
  <c r="J29" i="3" s="1"/>
  <c r="U28" i="3"/>
  <c r="I28" i="3" s="1"/>
  <c r="J28" i="3" s="1"/>
  <c r="U27" i="3"/>
  <c r="I27" i="3" s="1"/>
  <c r="J27" i="3" s="1"/>
  <c r="U26" i="3"/>
  <c r="I26" i="3" s="1"/>
  <c r="J26" i="3" s="1"/>
  <c r="T46" i="3"/>
  <c r="U46" i="3" s="1"/>
  <c r="I46" i="3" s="1"/>
  <c r="J46" i="3" s="1"/>
  <c r="I47" i="3" l="1"/>
  <c r="J47" i="3" s="1"/>
  <c r="O44" i="2" l="1"/>
  <c r="N44" i="2"/>
  <c r="M44" i="2"/>
  <c r="O43" i="2"/>
  <c r="N43" i="2"/>
  <c r="Q43" i="2" s="1"/>
  <c r="M43" i="2"/>
  <c r="P43" i="2" s="1"/>
  <c r="O42" i="2"/>
  <c r="N42" i="2"/>
  <c r="M42" i="2"/>
  <c r="O41" i="2"/>
  <c r="N41" i="2"/>
  <c r="M41" i="2"/>
  <c r="O40" i="2"/>
  <c r="N40" i="2"/>
  <c r="M40" i="2"/>
  <c r="O39" i="2"/>
  <c r="R39" i="2" s="1"/>
  <c r="N39" i="2"/>
  <c r="Q39" i="2" s="1"/>
  <c r="M39" i="2"/>
  <c r="P39" i="2" s="1"/>
  <c r="O38" i="2"/>
  <c r="R38" i="2" s="1"/>
  <c r="N38" i="2"/>
  <c r="Q38" i="2" s="1"/>
  <c r="M38" i="2"/>
  <c r="O37" i="2"/>
  <c r="N37" i="2"/>
  <c r="M37" i="2"/>
  <c r="O36" i="2"/>
  <c r="N36" i="2"/>
  <c r="Q36" i="2" s="1"/>
  <c r="M36" i="2"/>
  <c r="O35" i="2"/>
  <c r="N35" i="2"/>
  <c r="M35" i="2"/>
  <c r="O34" i="2"/>
  <c r="N34" i="2"/>
  <c r="M34" i="2"/>
  <c r="O33" i="2"/>
  <c r="N33" i="2"/>
  <c r="M33" i="2"/>
  <c r="P33" i="2" s="1"/>
  <c r="O32" i="2"/>
  <c r="R32" i="2" s="1"/>
  <c r="N32" i="2"/>
  <c r="Q32" i="2" s="1"/>
  <c r="M32" i="2"/>
  <c r="P32" i="2" s="1"/>
  <c r="O31" i="2"/>
  <c r="R31" i="2" s="1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R26" i="2" s="1"/>
  <c r="N26" i="2"/>
  <c r="M26" i="2"/>
  <c r="P26" i="2" s="1"/>
  <c r="O25" i="2"/>
  <c r="R25" i="2" s="1"/>
  <c r="N25" i="2"/>
  <c r="Q25" i="2" s="1"/>
  <c r="M25" i="2"/>
  <c r="S25" i="2" s="1"/>
  <c r="O24" i="2"/>
  <c r="N24" i="2"/>
  <c r="M24" i="2"/>
  <c r="O23" i="2"/>
  <c r="N23" i="2"/>
  <c r="M23" i="2"/>
  <c r="P23" i="2" s="1"/>
  <c r="O22" i="2"/>
  <c r="N22" i="2"/>
  <c r="M22" i="2"/>
  <c r="O21" i="2"/>
  <c r="N21" i="2"/>
  <c r="M21" i="2"/>
  <c r="S21" i="2" s="1"/>
  <c r="O20" i="2"/>
  <c r="R20" i="2" s="1"/>
  <c r="N20" i="2"/>
  <c r="Q20" i="2" s="1"/>
  <c r="M20" i="2"/>
  <c r="P20" i="2" s="1"/>
  <c r="O19" i="2"/>
  <c r="R19" i="2" s="1"/>
  <c r="N19" i="2"/>
  <c r="Q19" i="2" s="1"/>
  <c r="M19" i="2"/>
  <c r="P19" i="2" s="1"/>
  <c r="O18" i="2"/>
  <c r="R18" i="2" s="1"/>
  <c r="N18" i="2"/>
  <c r="S18" i="2" s="1"/>
  <c r="M18" i="2"/>
  <c r="O17" i="2"/>
  <c r="N17" i="2"/>
  <c r="M17" i="2"/>
  <c r="O16" i="2"/>
  <c r="N16" i="2"/>
  <c r="S16" i="2" s="1"/>
  <c r="M16" i="2"/>
  <c r="O15" i="2"/>
  <c r="N15" i="2"/>
  <c r="M15" i="2"/>
  <c r="P15" i="2" s="1"/>
  <c r="O14" i="2"/>
  <c r="N14" i="2"/>
  <c r="Q14" i="2" s="1"/>
  <c r="M14" i="2"/>
  <c r="P14" i="2" s="1"/>
  <c r="O13" i="2"/>
  <c r="R13" i="2" s="1"/>
  <c r="N13" i="2"/>
  <c r="Q13" i="2" s="1"/>
  <c r="M13" i="2"/>
  <c r="S13" i="2" s="1"/>
  <c r="O12" i="2"/>
  <c r="R12" i="2" s="1"/>
  <c r="N12" i="2"/>
  <c r="N46" i="2" s="1"/>
  <c r="M12" i="2"/>
  <c r="M46" i="2" s="1"/>
  <c r="O11" i="2"/>
  <c r="R11" i="2" s="1"/>
  <c r="R46" i="2" s="1"/>
  <c r="G46" i="2" s="1"/>
  <c r="N11" i="2"/>
  <c r="M11" i="2"/>
  <c r="G47" i="2"/>
  <c r="F47" i="2"/>
  <c r="E47" i="2"/>
  <c r="Q44" i="2"/>
  <c r="R44" i="2"/>
  <c r="P44" i="2"/>
  <c r="R43" i="2"/>
  <c r="Q42" i="2"/>
  <c r="R42" i="2"/>
  <c r="P42" i="2"/>
  <c r="Q41" i="2"/>
  <c r="R41" i="2"/>
  <c r="P41" i="2"/>
  <c r="Q40" i="2"/>
  <c r="R40" i="2"/>
  <c r="P40" i="2"/>
  <c r="P38" i="2"/>
  <c r="Q37" i="2"/>
  <c r="R37" i="2"/>
  <c r="P37" i="2"/>
  <c r="R36" i="2"/>
  <c r="P36" i="2"/>
  <c r="Q35" i="2"/>
  <c r="R35" i="2"/>
  <c r="P35" i="2"/>
  <c r="Q34" i="2"/>
  <c r="R34" i="2"/>
  <c r="P34" i="2"/>
  <c r="Q33" i="2"/>
  <c r="R33" i="2"/>
  <c r="Q31" i="2"/>
  <c r="P31" i="2"/>
  <c r="Q30" i="2"/>
  <c r="R30" i="2"/>
  <c r="P30" i="2"/>
  <c r="Q29" i="2"/>
  <c r="R29" i="2"/>
  <c r="P29" i="2"/>
  <c r="Q28" i="2"/>
  <c r="R28" i="2"/>
  <c r="P28" i="2"/>
  <c r="Q27" i="2"/>
  <c r="R27" i="2"/>
  <c r="P27" i="2"/>
  <c r="Q26" i="2"/>
  <c r="R24" i="2"/>
  <c r="P24" i="2"/>
  <c r="Q24" i="2"/>
  <c r="S24" i="2"/>
  <c r="R23" i="2"/>
  <c r="Q23" i="2"/>
  <c r="S23" i="2"/>
  <c r="R22" i="2"/>
  <c r="P22" i="2"/>
  <c r="Q22" i="2"/>
  <c r="S22" i="2"/>
  <c r="R21" i="2"/>
  <c r="P21" i="2"/>
  <c r="Q21" i="2"/>
  <c r="P18" i="2"/>
  <c r="R17" i="2"/>
  <c r="P17" i="2"/>
  <c r="Q17" i="2"/>
  <c r="S17" i="2"/>
  <c r="R16" i="2"/>
  <c r="P16" i="2"/>
  <c r="Q16" i="2"/>
  <c r="R15" i="2"/>
  <c r="Q15" i="2"/>
  <c r="S15" i="2"/>
  <c r="R14" i="2"/>
  <c r="P11" i="2"/>
  <c r="O46" i="2"/>
  <c r="S14" i="2" l="1"/>
  <c r="S12" i="2"/>
  <c r="Q18" i="2"/>
  <c r="P13" i="2"/>
  <c r="S19" i="2"/>
  <c r="Q12" i="2"/>
  <c r="P12" i="2"/>
  <c r="S20" i="2"/>
  <c r="P25" i="2"/>
  <c r="T25" i="2" s="1"/>
  <c r="U25" i="2" s="1"/>
  <c r="I25" i="2" s="1"/>
  <c r="J25" i="2" s="1"/>
  <c r="T12" i="2"/>
  <c r="U12" i="2" s="1"/>
  <c r="I12" i="2" s="1"/>
  <c r="J12" i="2" s="1"/>
  <c r="T14" i="2"/>
  <c r="U14" i="2" s="1"/>
  <c r="I14" i="2" s="1"/>
  <c r="J14" i="2" s="1"/>
  <c r="T16" i="2"/>
  <c r="U16" i="2" s="1"/>
  <c r="I16" i="2" s="1"/>
  <c r="J16" i="2" s="1"/>
  <c r="T18" i="2"/>
  <c r="U18" i="2" s="1"/>
  <c r="I18" i="2" s="1"/>
  <c r="J18" i="2" s="1"/>
  <c r="T20" i="2"/>
  <c r="U20" i="2" s="1"/>
  <c r="I20" i="2" s="1"/>
  <c r="J20" i="2" s="1"/>
  <c r="T22" i="2"/>
  <c r="U22" i="2" s="1"/>
  <c r="I22" i="2" s="1"/>
  <c r="J22" i="2" s="1"/>
  <c r="T24" i="2"/>
  <c r="U24" i="2" s="1"/>
  <c r="I24" i="2" s="1"/>
  <c r="J24" i="2" s="1"/>
  <c r="T13" i="2"/>
  <c r="U13" i="2" s="1"/>
  <c r="I13" i="2" s="1"/>
  <c r="J13" i="2" s="1"/>
  <c r="T15" i="2"/>
  <c r="U15" i="2" s="1"/>
  <c r="I15" i="2" s="1"/>
  <c r="J15" i="2" s="1"/>
  <c r="T17" i="2"/>
  <c r="U17" i="2" s="1"/>
  <c r="I17" i="2" s="1"/>
  <c r="J17" i="2" s="1"/>
  <c r="T19" i="2"/>
  <c r="T21" i="2"/>
  <c r="U21" i="2" s="1"/>
  <c r="I21" i="2" s="1"/>
  <c r="J21" i="2" s="1"/>
  <c r="T23" i="2"/>
  <c r="U23" i="2" s="1"/>
  <c r="I23" i="2" s="1"/>
  <c r="J23" i="2" s="1"/>
  <c r="S46" i="2"/>
  <c r="Q11" i="2"/>
  <c r="Q46" i="2" s="1"/>
  <c r="F46" i="2" s="1"/>
  <c r="S11" i="2"/>
  <c r="T26" i="2"/>
  <c r="S26" i="2"/>
  <c r="T27" i="2"/>
  <c r="S27" i="2"/>
  <c r="T28" i="2"/>
  <c r="S28" i="2"/>
  <c r="T29" i="2"/>
  <c r="S29" i="2"/>
  <c r="T30" i="2"/>
  <c r="S30" i="2"/>
  <c r="T31" i="2"/>
  <c r="S31" i="2"/>
  <c r="T32" i="2"/>
  <c r="S32" i="2"/>
  <c r="T33" i="2"/>
  <c r="S33" i="2"/>
  <c r="T34" i="2"/>
  <c r="S34" i="2"/>
  <c r="T35" i="2"/>
  <c r="S35" i="2"/>
  <c r="T36" i="2"/>
  <c r="S36" i="2"/>
  <c r="T37" i="2"/>
  <c r="S37" i="2"/>
  <c r="T38" i="2"/>
  <c r="S38" i="2"/>
  <c r="T39" i="2"/>
  <c r="S39" i="2"/>
  <c r="T40" i="2"/>
  <c r="S40" i="2"/>
  <c r="T41" i="2"/>
  <c r="S41" i="2"/>
  <c r="T42" i="2"/>
  <c r="S42" i="2"/>
  <c r="T43" i="2"/>
  <c r="S43" i="2"/>
  <c r="T44" i="2"/>
  <c r="S44" i="2"/>
  <c r="E47" i="1"/>
  <c r="F47" i="1"/>
  <c r="G47" i="1"/>
  <c r="P46" i="2" l="1"/>
  <c r="E46" i="2" s="1"/>
  <c r="U19" i="2"/>
  <c r="I19" i="2" s="1"/>
  <c r="J19" i="2" s="1"/>
  <c r="U30" i="2"/>
  <c r="I30" i="2" s="1"/>
  <c r="J30" i="2" s="1"/>
  <c r="U37" i="2"/>
  <c r="I37" i="2" s="1"/>
  <c r="J37" i="2" s="1"/>
  <c r="U28" i="2"/>
  <c r="I28" i="2" s="1"/>
  <c r="J28" i="2" s="1"/>
  <c r="U42" i="2"/>
  <c r="I42" i="2" s="1"/>
  <c r="J42" i="2" s="1"/>
  <c r="U33" i="2"/>
  <c r="I33" i="2" s="1"/>
  <c r="J33" i="2" s="1"/>
  <c r="U43" i="2"/>
  <c r="I43" i="2" s="1"/>
  <c r="J43" i="2" s="1"/>
  <c r="U40" i="2"/>
  <c r="I40" i="2" s="1"/>
  <c r="J40" i="2" s="1"/>
  <c r="U34" i="2"/>
  <c r="I34" i="2" s="1"/>
  <c r="J34" i="2" s="1"/>
  <c r="U31" i="2"/>
  <c r="I31" i="2" s="1"/>
  <c r="J31" i="2" s="1"/>
  <c r="U39" i="2"/>
  <c r="I39" i="2" s="1"/>
  <c r="J39" i="2" s="1"/>
  <c r="U36" i="2"/>
  <c r="I36" i="2" s="1"/>
  <c r="J36" i="2" s="1"/>
  <c r="U27" i="2"/>
  <c r="I27" i="2" s="1"/>
  <c r="J27" i="2" s="1"/>
  <c r="U44" i="2"/>
  <c r="I44" i="2" s="1"/>
  <c r="J44" i="2" s="1"/>
  <c r="U41" i="2"/>
  <c r="I41" i="2" s="1"/>
  <c r="J41" i="2" s="1"/>
  <c r="U38" i="2"/>
  <c r="I38" i="2" s="1"/>
  <c r="J38" i="2" s="1"/>
  <c r="U35" i="2"/>
  <c r="I35" i="2" s="1"/>
  <c r="J35" i="2" s="1"/>
  <c r="U32" i="2"/>
  <c r="I32" i="2" s="1"/>
  <c r="J32" i="2" s="1"/>
  <c r="U29" i="2"/>
  <c r="I29" i="2" s="1"/>
  <c r="J29" i="2" s="1"/>
  <c r="U26" i="2"/>
  <c r="I26" i="2" s="1"/>
  <c r="J26" i="2" s="1"/>
  <c r="T46" i="2"/>
  <c r="U46" i="2" s="1"/>
  <c r="I46" i="2" s="1"/>
  <c r="T11" i="2"/>
  <c r="U11" i="2" s="1"/>
  <c r="I11" i="2" s="1"/>
  <c r="O44" i="1"/>
  <c r="R44" i="1" s="1"/>
  <c r="N44" i="1"/>
  <c r="Q44" i="1" s="1"/>
  <c r="M44" i="1"/>
  <c r="P44" i="1" s="1"/>
  <c r="O43" i="1"/>
  <c r="R43" i="1" s="1"/>
  <c r="N43" i="1"/>
  <c r="Q43" i="1" s="1"/>
  <c r="M43" i="1"/>
  <c r="O42" i="1"/>
  <c r="R42" i="1" s="1"/>
  <c r="N42" i="1"/>
  <c r="Q42" i="1" s="1"/>
  <c r="M42" i="1"/>
  <c r="O41" i="1"/>
  <c r="R41" i="1" s="1"/>
  <c r="N41" i="1"/>
  <c r="Q41" i="1" s="1"/>
  <c r="M41" i="1"/>
  <c r="O40" i="1"/>
  <c r="R40" i="1" s="1"/>
  <c r="N40" i="1"/>
  <c r="Q40" i="1" s="1"/>
  <c r="M40" i="1"/>
  <c r="P40" i="1" s="1"/>
  <c r="O39" i="1"/>
  <c r="R39" i="1" s="1"/>
  <c r="N39" i="1"/>
  <c r="Q39" i="1" s="1"/>
  <c r="M39" i="1"/>
  <c r="O38" i="1"/>
  <c r="R38" i="1" s="1"/>
  <c r="N38" i="1"/>
  <c r="Q38" i="1" s="1"/>
  <c r="M38" i="1"/>
  <c r="O37" i="1"/>
  <c r="R37" i="1" s="1"/>
  <c r="N37" i="1"/>
  <c r="Q37" i="1" s="1"/>
  <c r="M37" i="1"/>
  <c r="O36" i="1"/>
  <c r="R36" i="1" s="1"/>
  <c r="N36" i="1"/>
  <c r="Q36" i="1" s="1"/>
  <c r="M36" i="1"/>
  <c r="P36" i="1" s="1"/>
  <c r="O35" i="1"/>
  <c r="R35" i="1" s="1"/>
  <c r="N35" i="1"/>
  <c r="Q35" i="1" s="1"/>
  <c r="M35" i="1"/>
  <c r="O34" i="1"/>
  <c r="R34" i="1" s="1"/>
  <c r="N34" i="1"/>
  <c r="Q34" i="1" s="1"/>
  <c r="M34" i="1"/>
  <c r="O33" i="1"/>
  <c r="R33" i="1" s="1"/>
  <c r="N33" i="1"/>
  <c r="Q33" i="1" s="1"/>
  <c r="M33" i="1"/>
  <c r="O32" i="1"/>
  <c r="R32" i="1" s="1"/>
  <c r="N32" i="1"/>
  <c r="Q32" i="1" s="1"/>
  <c r="M32" i="1"/>
  <c r="P32" i="1" s="1"/>
  <c r="O31" i="1"/>
  <c r="R31" i="1" s="1"/>
  <c r="N31" i="1"/>
  <c r="Q31" i="1" s="1"/>
  <c r="M31" i="1"/>
  <c r="O30" i="1"/>
  <c r="R30" i="1" s="1"/>
  <c r="N30" i="1"/>
  <c r="Q30" i="1" s="1"/>
  <c r="M30" i="1"/>
  <c r="O29" i="1"/>
  <c r="R29" i="1" s="1"/>
  <c r="N29" i="1"/>
  <c r="Q29" i="1" s="1"/>
  <c r="M29" i="1"/>
  <c r="O28" i="1"/>
  <c r="R28" i="1" s="1"/>
  <c r="N28" i="1"/>
  <c r="Q28" i="1" s="1"/>
  <c r="M28" i="1"/>
  <c r="P28" i="1" s="1"/>
  <c r="O27" i="1"/>
  <c r="R27" i="1" s="1"/>
  <c r="N27" i="1"/>
  <c r="Q27" i="1" s="1"/>
  <c r="M27" i="1"/>
  <c r="O26" i="1"/>
  <c r="R26" i="1" s="1"/>
  <c r="N26" i="1"/>
  <c r="Q26" i="1" s="1"/>
  <c r="M26" i="1"/>
  <c r="O25" i="1"/>
  <c r="R25" i="1" s="1"/>
  <c r="N25" i="1"/>
  <c r="Q25" i="1" s="1"/>
  <c r="M25" i="1"/>
  <c r="O24" i="1"/>
  <c r="R24" i="1" s="1"/>
  <c r="N24" i="1"/>
  <c r="Q24" i="1" s="1"/>
  <c r="M24" i="1"/>
  <c r="P24" i="1" s="1"/>
  <c r="O23" i="1"/>
  <c r="R23" i="1" s="1"/>
  <c r="N23" i="1"/>
  <c r="Q23" i="1" s="1"/>
  <c r="M23" i="1"/>
  <c r="O22" i="1"/>
  <c r="R22" i="1" s="1"/>
  <c r="N22" i="1"/>
  <c r="Q22" i="1" s="1"/>
  <c r="M22" i="1"/>
  <c r="O21" i="1"/>
  <c r="R21" i="1" s="1"/>
  <c r="N21" i="1"/>
  <c r="Q21" i="1" s="1"/>
  <c r="M21" i="1"/>
  <c r="O20" i="1"/>
  <c r="R20" i="1" s="1"/>
  <c r="N20" i="1"/>
  <c r="Q20" i="1" s="1"/>
  <c r="M20" i="1"/>
  <c r="P20" i="1" s="1"/>
  <c r="O19" i="1"/>
  <c r="R19" i="1" s="1"/>
  <c r="N19" i="1"/>
  <c r="Q19" i="1" s="1"/>
  <c r="M19" i="1"/>
  <c r="O18" i="1"/>
  <c r="R18" i="1" s="1"/>
  <c r="N18" i="1"/>
  <c r="Q18" i="1" s="1"/>
  <c r="M18" i="1"/>
  <c r="O17" i="1"/>
  <c r="R17" i="1" s="1"/>
  <c r="N17" i="1"/>
  <c r="Q17" i="1" s="1"/>
  <c r="M17" i="1"/>
  <c r="O16" i="1"/>
  <c r="R16" i="1" s="1"/>
  <c r="N16" i="1"/>
  <c r="Q16" i="1" s="1"/>
  <c r="M16" i="1"/>
  <c r="P16" i="1" s="1"/>
  <c r="O15" i="1"/>
  <c r="R15" i="1" s="1"/>
  <c r="N15" i="1"/>
  <c r="Q15" i="1" s="1"/>
  <c r="M15" i="1"/>
  <c r="O14" i="1"/>
  <c r="R14" i="1" s="1"/>
  <c r="N14" i="1"/>
  <c r="Q14" i="1" s="1"/>
  <c r="M14" i="1"/>
  <c r="O13" i="1"/>
  <c r="R13" i="1" s="1"/>
  <c r="N13" i="1"/>
  <c r="Q13" i="1" s="1"/>
  <c r="M13" i="1"/>
  <c r="O12" i="1"/>
  <c r="R12" i="1" s="1"/>
  <c r="N12" i="1"/>
  <c r="Q12" i="1" s="1"/>
  <c r="M12" i="1"/>
  <c r="P12" i="1" s="1"/>
  <c r="O11" i="1"/>
  <c r="N11" i="1"/>
  <c r="M11" i="1"/>
  <c r="Q11" i="1"/>
  <c r="Q46" i="1" l="1"/>
  <c r="M46" i="1"/>
  <c r="I47" i="2"/>
  <c r="J47" i="2" s="1"/>
  <c r="J11" i="2"/>
  <c r="N46" i="1"/>
  <c r="J46" i="2"/>
  <c r="R11" i="1"/>
  <c r="R46" i="1" s="1"/>
  <c r="O46" i="1"/>
  <c r="S11" i="1"/>
  <c r="S13" i="1"/>
  <c r="S15" i="1"/>
  <c r="S17" i="1"/>
  <c r="S19" i="1"/>
  <c r="S21" i="1"/>
  <c r="S23" i="1"/>
  <c r="S25" i="1"/>
  <c r="S27" i="1"/>
  <c r="S29" i="1"/>
  <c r="S31" i="1"/>
  <c r="S33" i="1"/>
  <c r="S35" i="1"/>
  <c r="S37" i="1"/>
  <c r="S39" i="1"/>
  <c r="S41" i="1"/>
  <c r="S43" i="1"/>
  <c r="S12" i="1"/>
  <c r="S14" i="1"/>
  <c r="S16" i="1"/>
  <c r="S18" i="1"/>
  <c r="S20" i="1"/>
  <c r="S22" i="1"/>
  <c r="S24" i="1"/>
  <c r="S26" i="1"/>
  <c r="S28" i="1"/>
  <c r="S30" i="1"/>
  <c r="S32" i="1"/>
  <c r="S34" i="1"/>
  <c r="S36" i="1"/>
  <c r="S38" i="1"/>
  <c r="S40" i="1"/>
  <c r="S42" i="1"/>
  <c r="S44" i="1"/>
  <c r="P14" i="1"/>
  <c r="P18" i="1"/>
  <c r="T18" i="1" s="1"/>
  <c r="P22" i="1"/>
  <c r="T22" i="1" s="1"/>
  <c r="P26" i="1"/>
  <c r="T26" i="1" s="1"/>
  <c r="U26" i="1" s="1"/>
  <c r="I26" i="1" s="1"/>
  <c r="P30" i="1"/>
  <c r="T30" i="1" s="1"/>
  <c r="P34" i="1"/>
  <c r="T34" i="1" s="1"/>
  <c r="P38" i="1"/>
  <c r="P42" i="1"/>
  <c r="T12" i="1"/>
  <c r="U12" i="1" s="1"/>
  <c r="I12" i="1" s="1"/>
  <c r="P13" i="1"/>
  <c r="T13" i="1" s="1"/>
  <c r="U13" i="1" s="1"/>
  <c r="I13" i="1" s="1"/>
  <c r="T14" i="1"/>
  <c r="P15" i="1"/>
  <c r="T15" i="1" s="1"/>
  <c r="T16" i="1"/>
  <c r="P17" i="1"/>
  <c r="T17" i="1" s="1"/>
  <c r="P19" i="1"/>
  <c r="T19" i="1" s="1"/>
  <c r="U19" i="1" s="1"/>
  <c r="I19" i="1" s="1"/>
  <c r="T20" i="1"/>
  <c r="P21" i="1"/>
  <c r="T21" i="1" s="1"/>
  <c r="P23" i="1"/>
  <c r="T23" i="1" s="1"/>
  <c r="U23" i="1" s="1"/>
  <c r="I23" i="1" s="1"/>
  <c r="T24" i="1"/>
  <c r="P25" i="1"/>
  <c r="T25" i="1" s="1"/>
  <c r="P27" i="1"/>
  <c r="T27" i="1" s="1"/>
  <c r="T28" i="1"/>
  <c r="P29" i="1"/>
  <c r="T29" i="1" s="1"/>
  <c r="P31" i="1"/>
  <c r="T31" i="1" s="1"/>
  <c r="T32" i="1"/>
  <c r="P33" i="1"/>
  <c r="T33" i="1" s="1"/>
  <c r="P35" i="1"/>
  <c r="T35" i="1" s="1"/>
  <c r="U35" i="1" s="1"/>
  <c r="I35" i="1" s="1"/>
  <c r="T36" i="1"/>
  <c r="P37" i="1"/>
  <c r="T37" i="1" s="1"/>
  <c r="T38" i="1"/>
  <c r="P39" i="1"/>
  <c r="T39" i="1" s="1"/>
  <c r="T40" i="1"/>
  <c r="P41" i="1"/>
  <c r="T41" i="1" s="1"/>
  <c r="U41" i="1" s="1"/>
  <c r="I41" i="1" s="1"/>
  <c r="T42" i="1"/>
  <c r="P43" i="1"/>
  <c r="T43" i="1" s="1"/>
  <c r="U43" i="1" s="1"/>
  <c r="I43" i="1" s="1"/>
  <c r="T44" i="1"/>
  <c r="U44" i="1" s="1"/>
  <c r="I44" i="1" s="1"/>
  <c r="P11" i="1"/>
  <c r="U36" i="1" l="1"/>
  <c r="I36" i="1" s="1"/>
  <c r="U32" i="1"/>
  <c r="I32" i="1" s="1"/>
  <c r="U34" i="1"/>
  <c r="I34" i="1" s="1"/>
  <c r="U31" i="1"/>
  <c r="I31" i="1" s="1"/>
  <c r="J31" i="18" s="1"/>
  <c r="U30" i="1"/>
  <c r="I30" i="1" s="1"/>
  <c r="U38" i="1"/>
  <c r="I38" i="1" s="1"/>
  <c r="J38" i="1" s="1"/>
  <c r="U29" i="1"/>
  <c r="I29" i="1" s="1"/>
  <c r="U22" i="1"/>
  <c r="I22" i="1" s="1"/>
  <c r="U24" i="1"/>
  <c r="I24" i="1" s="1"/>
  <c r="J24" i="18" s="1"/>
  <c r="U14" i="1"/>
  <c r="I14" i="1" s="1"/>
  <c r="U20" i="1"/>
  <c r="I20" i="1" s="1"/>
  <c r="J20" i="18" s="1"/>
  <c r="U37" i="1"/>
  <c r="I37" i="1" s="1"/>
  <c r="U25" i="1"/>
  <c r="I25" i="1" s="1"/>
  <c r="U17" i="1"/>
  <c r="I17" i="1" s="1"/>
  <c r="J17" i="1" s="1"/>
  <c r="U18" i="1"/>
  <c r="I18" i="1" s="1"/>
  <c r="J18" i="18" s="1"/>
  <c r="S46" i="1"/>
  <c r="U42" i="1"/>
  <c r="I42" i="1" s="1"/>
  <c r="J42" i="18" s="1"/>
  <c r="J22" i="18"/>
  <c r="J22" i="1"/>
  <c r="J18" i="1"/>
  <c r="J44" i="18"/>
  <c r="J44" i="1"/>
  <c r="J32" i="18"/>
  <c r="J32" i="1"/>
  <c r="J26" i="18"/>
  <c r="J26" i="1"/>
  <c r="J14" i="18"/>
  <c r="J14" i="1"/>
  <c r="J43" i="18"/>
  <c r="J43" i="1"/>
  <c r="J25" i="18"/>
  <c r="J25" i="1"/>
  <c r="J19" i="18"/>
  <c r="J19" i="1"/>
  <c r="J13" i="18"/>
  <c r="J13" i="1"/>
  <c r="J36" i="18"/>
  <c r="J36" i="1"/>
  <c r="J30" i="18"/>
  <c r="J30" i="1"/>
  <c r="J12" i="18"/>
  <c r="J12" i="1"/>
  <c r="J29" i="18"/>
  <c r="J29" i="1"/>
  <c r="J37" i="18"/>
  <c r="J37" i="1"/>
  <c r="J41" i="18"/>
  <c r="J41" i="1"/>
  <c r="J23" i="18"/>
  <c r="J23" i="1"/>
  <c r="U40" i="1"/>
  <c r="I40" i="1" s="1"/>
  <c r="U28" i="1"/>
  <c r="I28" i="1" s="1"/>
  <c r="U16" i="1"/>
  <c r="I16" i="1" s="1"/>
  <c r="G46" i="1"/>
  <c r="J31" i="1"/>
  <c r="J35" i="18"/>
  <c r="J35" i="1"/>
  <c r="J34" i="18"/>
  <c r="J34" i="1"/>
  <c r="U39" i="1"/>
  <c r="I39" i="1" s="1"/>
  <c r="U33" i="1"/>
  <c r="I33" i="1" s="1"/>
  <c r="U27" i="1"/>
  <c r="I27" i="1" s="1"/>
  <c r="U21" i="1"/>
  <c r="I21" i="1" s="1"/>
  <c r="U15" i="1"/>
  <c r="I15" i="1" s="1"/>
  <c r="F46" i="1"/>
  <c r="T11" i="1"/>
  <c r="U11" i="1" s="1"/>
  <c r="I11" i="1" s="1"/>
  <c r="P46" i="1"/>
  <c r="J20" i="1" l="1"/>
  <c r="J24" i="1"/>
  <c r="J17" i="18"/>
  <c r="J38" i="18"/>
  <c r="J42" i="1"/>
  <c r="J15" i="18"/>
  <c r="J15" i="1"/>
  <c r="J16" i="18"/>
  <c r="J16" i="1"/>
  <c r="J33" i="18"/>
  <c r="J33" i="1"/>
  <c r="J28" i="18"/>
  <c r="J28" i="1"/>
  <c r="J21" i="18"/>
  <c r="J21" i="1"/>
  <c r="J27" i="18"/>
  <c r="J27" i="1"/>
  <c r="I47" i="1"/>
  <c r="J11" i="18"/>
  <c r="J11" i="1"/>
  <c r="J39" i="18"/>
  <c r="J39" i="1"/>
  <c r="J40" i="18"/>
  <c r="J40" i="1"/>
  <c r="E46" i="1"/>
  <c r="T46" i="1"/>
  <c r="U46" i="1" s="1"/>
  <c r="I46" i="1" s="1"/>
  <c r="J46" i="18" l="1"/>
  <c r="J46" i="1"/>
  <c r="J47" i="18"/>
  <c r="J47" i="1"/>
</calcChain>
</file>

<file path=xl/sharedStrings.xml><?xml version="1.0" encoding="utf-8"?>
<sst xmlns="http://schemas.openxmlformats.org/spreadsheetml/2006/main" count="1986" uniqueCount="131">
  <si>
    <t>UNIVERSITY OF MISSOURI-COLUMBIA</t>
  </si>
  <si>
    <t>TABLE 3.32</t>
  </si>
  <si>
    <t>FACULTY SALARIES AT PUBLIC AAU INSTITUTIONS (2013-2014)</t>
  </si>
  <si>
    <t>PUBLIC AAU</t>
  </si>
  <si>
    <t>Average 9-Month Equivalent Salary ($ Thousands)</t>
  </si>
  <si>
    <t>Annual</t>
  </si>
  <si>
    <t>Prof.</t>
  </si>
  <si>
    <t>Assoc.</t>
  </si>
  <si>
    <t>Asst.</t>
  </si>
  <si>
    <t>Avg.</t>
  </si>
  <si>
    <t>Change</t>
  </si>
  <si>
    <t>Arizona, University of</t>
  </si>
  <si>
    <t>California, University of -- Berkeley</t>
  </si>
  <si>
    <t>California, University of -- Davis</t>
  </si>
  <si>
    <t>California, University of -- Irvine</t>
  </si>
  <si>
    <t>California, University of -- Los Angeles</t>
  </si>
  <si>
    <t xml:space="preserve">California, University of -- San Diego </t>
  </si>
  <si>
    <t>California, University of -- Santa Barbara</t>
  </si>
  <si>
    <t>Colorado, University of -- Boulder</t>
  </si>
  <si>
    <t>Florida, University of</t>
  </si>
  <si>
    <t>Georgia Institute of Technology</t>
  </si>
  <si>
    <t>Illinois, University of -- Urbana</t>
  </si>
  <si>
    <t>Indiana University -- Bloomington</t>
  </si>
  <si>
    <t>Iowa, University of</t>
  </si>
  <si>
    <t>Iowa State University</t>
  </si>
  <si>
    <t>Kansas, University of</t>
  </si>
  <si>
    <t>Maryland, University of -- College Park</t>
  </si>
  <si>
    <t>Michigan, University of -- Ann Arbor</t>
  </si>
  <si>
    <t>Michigan State University</t>
  </si>
  <si>
    <t>Minnesota, University of -- Twin Cities</t>
  </si>
  <si>
    <t>Missouri, University of -- Columbia</t>
  </si>
  <si>
    <t>Ohio State University</t>
  </si>
  <si>
    <t>Oregon, University of</t>
  </si>
  <si>
    <t>Pennsylvania State University</t>
  </si>
  <si>
    <t>Pittsburgh, University of</t>
  </si>
  <si>
    <t>Purdue University</t>
  </si>
  <si>
    <t>Rutgers, State University of New Jersey -- N. Br.</t>
  </si>
  <si>
    <t>Texas A &amp; M University</t>
  </si>
  <si>
    <t>Virginia, University of</t>
  </si>
  <si>
    <t>Washington, University of -- Seattle</t>
  </si>
  <si>
    <t>Wisconsin, University of -- Madison</t>
  </si>
  <si>
    <t>Number of Faculty</t>
  </si>
  <si>
    <t>PR</t>
  </si>
  <si>
    <t>AO</t>
  </si>
  <si>
    <t>AI</t>
  </si>
  <si>
    <t>North Carolina, University of -- Chapel Hill</t>
  </si>
  <si>
    <t>State University of New York -- Buffalo</t>
  </si>
  <si>
    <t>State University of New York -- Stony Brook</t>
  </si>
  <si>
    <t>Texas, University of -- Austin</t>
  </si>
  <si>
    <t>Total</t>
  </si>
  <si>
    <t>Faculty</t>
  </si>
  <si>
    <t>Salary Amount ($ Thousands)</t>
  </si>
  <si>
    <t>Salary</t>
  </si>
  <si>
    <t>Average</t>
  </si>
  <si>
    <t>Public AAU weighted Average</t>
  </si>
  <si>
    <t>Public AAU un-weighted Median</t>
  </si>
  <si>
    <t>Source: AAUP Faculty Salary Survey</t>
  </si>
  <si>
    <t>IR&amp;P 8/14</t>
  </si>
  <si>
    <t xml:space="preserve">Note: The annual change in average salary reflects additional faculty hired and/or promotions. </t>
  </si>
  <si>
    <t>FACULTY SALARIES AT PUBLIC AAU INSTITUTIONS (2012-2013)</t>
  </si>
  <si>
    <t>IR&amp;P 8/13</t>
  </si>
  <si>
    <t>FACULTY SALARIES AT PUBLIC AAU INSTITUTIONS (2011-2012)</t>
  </si>
  <si>
    <t>IR&amp;P 4/12</t>
  </si>
  <si>
    <t>FACULTY SALARIES AT PUBLIC AAU INSTITUTIONS (2010-2011)</t>
  </si>
  <si>
    <t>Nebraska, University of -- Lincoln</t>
  </si>
  <si>
    <t>IR&amp;P 4/11</t>
  </si>
  <si>
    <t>*</t>
  </si>
  <si>
    <t>* Georgia Institute of Technology became a member of the AAU in 2010.</t>
  </si>
  <si>
    <t>FACULTY SALARIES AT PUBLIC AAU INSTITUTIONS (2009-2010)</t>
  </si>
  <si>
    <t>IR&amp;P 4/10</t>
  </si>
  <si>
    <t>FACULTY SALARIES AT PUBLIC AAU INSTITUTIONS (2008-2009)</t>
  </si>
  <si>
    <t>IR&amp;P 4/09</t>
  </si>
  <si>
    <t>FACULTY SALARIES AT PUBLIC AAU INSTITUTIONS (2007-2008)</t>
  </si>
  <si>
    <t>FACULTY SALARIES AT PUBLIC AAU INSTITUTIONS (2006-2007)</t>
  </si>
  <si>
    <t>IR&amp;P 4/07</t>
  </si>
  <si>
    <t>IR&amp;P 8/08</t>
  </si>
  <si>
    <t>FACULTY SALARIES AT PUBLIC AAU INSTITUTIONS (2005-2006)</t>
  </si>
  <si>
    <t>IR&amp;P 4/06</t>
  </si>
  <si>
    <t>FACULTY SALARIES AT PUBLIC AAU INSTITUTIONS (2004-2005)</t>
  </si>
  <si>
    <t>IR&amp;P 4/05</t>
  </si>
  <si>
    <t>FACULTY SALARIES AT PUBLIC AAU INSTITUTIONS (2003-2004)</t>
  </si>
  <si>
    <t>IR&amp;P 4/04</t>
  </si>
  <si>
    <t>FACULTY SALARIES AT PUBLIC AAU INSTITUTIONS (2002-2003)</t>
  </si>
  <si>
    <t>IR&amp;P 5/03</t>
  </si>
  <si>
    <t>FACULTY SALARIES AT PUBLIC AAU INSTITUTIONS (2001-2002)</t>
  </si>
  <si>
    <t>* SUNY Stony Brook and Texas A&amp;M became members of the AAU in 2001.</t>
  </si>
  <si>
    <t>FACULTY SALARIES AT PUBLIC AAU INSTITUTIONS (2000-2001)</t>
  </si>
  <si>
    <t>IR&amp;P 5/01</t>
  </si>
  <si>
    <t>IR&amp;P 5/02</t>
  </si>
  <si>
    <t>FACULTY SALARIES AT PUBLIC AAU INSTITUTIONS (1999-2000)</t>
  </si>
  <si>
    <t>IR&amp;P 5/00</t>
  </si>
  <si>
    <t>FACULTY SALARIES AT PUBLIC AAU INSTITUTIONS (1998-1999)</t>
  </si>
  <si>
    <t>IR&amp;P 5/99</t>
  </si>
  <si>
    <t>FACULTY SALARIES AT PUBLIC AAU INSTITUTIONS (1997-1998)</t>
  </si>
  <si>
    <t>IR&amp;P 5/98</t>
  </si>
  <si>
    <t>FACULTY SALARIES AT PUBLIC AAU INSTITUTIONS (2014-2015)</t>
  </si>
  <si>
    <t>1996-1997</t>
  </si>
  <si>
    <t>IR&amp;P 8/15</t>
  </si>
  <si>
    <t>FACULTY SALARIES AT PUBLIC AAU INSTITUTIONS (2015-2016)</t>
  </si>
  <si>
    <t xml:space="preserve">Notes: The annual change in average salary reflects additional faculty hired and/or promotions. </t>
  </si>
  <si>
    <t xml:space="preserve">             Prior to FY16, includes only faculty identified as Instruction.  Starting FY16, includes Instruction</t>
  </si>
  <si>
    <t xml:space="preserve">             and those considered combined Instruction/Research/Public Service.</t>
  </si>
  <si>
    <t>Texas A &amp; M University -- College Station</t>
  </si>
  <si>
    <t>IR&amp;P 8/16</t>
  </si>
  <si>
    <t>FACULTY SALARIES AT PUBLIC AAU INSTITUTIONS (2016-2017)</t>
  </si>
  <si>
    <t>UM-IR 8/17</t>
  </si>
  <si>
    <t>FACULTY SALARIES AT PUBLIC AAU INSTITUTIONS (1989-1990)</t>
  </si>
  <si>
    <t>FACULTY SALARIES AT PUBLIC AAU INSTITUTIONS (1978-1979)</t>
  </si>
  <si>
    <t>FACULTY SALARIES AT PUBLIC AAU INSTITUTIONS (2017-2018)</t>
  </si>
  <si>
    <t>UM-IR 4/18</t>
  </si>
  <si>
    <t>FACULTY SALARIES AT PUBLIC AAU INSTITUTIONS (2018-2019)</t>
  </si>
  <si>
    <t>UM-IR 4/19</t>
  </si>
  <si>
    <t>FACULTY SALARIES AT PUBLIC AAU INSTITUTIONS (2019-2020)</t>
  </si>
  <si>
    <t>California, University of -- Santa Cruz</t>
  </si>
  <si>
    <t>Utah, University of</t>
  </si>
  <si>
    <t>* California-Santa Cruze and Utah became members of the AAU in 2019.</t>
  </si>
  <si>
    <t>UM-IR 8/20</t>
  </si>
  <si>
    <t>FACULTY SALARIES AT PUBLIC AAU INSTITUTIONS (2020-2021)</t>
  </si>
  <si>
    <t>UM-IR 7/21</t>
  </si>
  <si>
    <t>FACULTY SALARIES AT PUBLIC AAU INSTITUTIONS (2021-2022)</t>
  </si>
  <si>
    <t>UM-IR 7/22</t>
  </si>
  <si>
    <t>FACULTY SALARIES AT PUBLIC AAU INSTITUTIONS (2022-2023)</t>
  </si>
  <si>
    <t>UM-IR 8/23</t>
  </si>
  <si>
    <t>FACULTY SALARIES AT PUBLIC AAU INSTITUTIONS (2023-2024)</t>
  </si>
  <si>
    <t>California, University of -- Riverside</t>
  </si>
  <si>
    <t>South Florida, University of</t>
  </si>
  <si>
    <t>Arizona State University</t>
  </si>
  <si>
    <t>* Arizona State, California-Riverside, and South Florida became members of the AAU in 2023.</t>
  </si>
  <si>
    <t>UM-IR 8/24</t>
  </si>
  <si>
    <t>FACULTY SALARIES AT PUBLIC AAU INSTITUTIONS (2024-2025)</t>
  </si>
  <si>
    <t>UM-IR 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</si>
</sst>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ms Rmn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/>
    <xf numFmtId="0" fontId="5" fillId="0" borderId="0" xfId="0" applyFont="1"/>
    <xf numFmtId="3" fontId="5" fillId="2" borderId="0" xfId="0" applyNumberFormat="1" applyFont="1" applyFill="1" applyAlignment="1">
      <alignment vertical="center"/>
    </xf>
    <xf numFmtId="3" fontId="2" fillId="2" borderId="0" xfId="0" applyNumberFormat="1" applyFont="1" applyFill="1"/>
    <xf numFmtId="0" fontId="2" fillId="0" borderId="4" xfId="1" applyFont="1" applyBorder="1"/>
    <xf numFmtId="0" fontId="2" fillId="0" borderId="7" xfId="1" applyFont="1" applyBorder="1"/>
    <xf numFmtId="0" fontId="2" fillId="0" borderId="0" xfId="1" applyFont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8" xfId="1" applyFont="1" applyBorder="1"/>
    <xf numFmtId="0" fontId="2" fillId="0" borderId="8" xfId="1" applyFont="1" applyBorder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6" xfId="0" applyFont="1" applyBorder="1"/>
    <xf numFmtId="0" fontId="1" fillId="0" borderId="4" xfId="0" applyFont="1" applyBorder="1"/>
    <xf numFmtId="164" fontId="1" fillId="0" borderId="0" xfId="0" applyNumberFormat="1" applyFont="1"/>
    <xf numFmtId="0" fontId="1" fillId="0" borderId="9" xfId="0" applyFont="1" applyBorder="1"/>
    <xf numFmtId="0" fontId="1" fillId="0" borderId="5" xfId="0" applyFont="1" applyBorder="1"/>
    <xf numFmtId="0" fontId="1" fillId="0" borderId="10" xfId="0" applyFont="1" applyBorder="1"/>
    <xf numFmtId="0" fontId="1" fillId="3" borderId="0" xfId="0" applyFont="1" applyFill="1"/>
    <xf numFmtId="164" fontId="1" fillId="3" borderId="0" xfId="0" applyNumberFormat="1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5" fillId="2" borderId="0" xfId="0" applyNumberFormat="1" applyFont="1" applyFill="1" applyAlignment="1">
      <alignment horizontal="center" vertical="center"/>
    </xf>
    <xf numFmtId="0" fontId="1" fillId="0" borderId="5" xfId="0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1" fontId="2" fillId="0" borderId="0" xfId="1" applyNumberFormat="1" applyFont="1"/>
    <xf numFmtId="164" fontId="2" fillId="0" borderId="0" xfId="1" applyNumberFormat="1" applyFont="1"/>
    <xf numFmtId="1" fontId="2" fillId="0" borderId="0" xfId="0" applyNumberFormat="1" applyFont="1"/>
    <xf numFmtId="1" fontId="1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2" fillId="0" borderId="5" xfId="1" applyFont="1" applyBorder="1"/>
    <xf numFmtId="165" fontId="2" fillId="0" borderId="5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5" fontId="1" fillId="0" borderId="0" xfId="0" applyNumberFormat="1" applyFont="1"/>
    <xf numFmtId="165" fontId="7" fillId="0" borderId="0" xfId="0" applyNumberFormat="1" applyFont="1"/>
    <xf numFmtId="165" fontId="1" fillId="3" borderId="0" xfId="0" applyNumberFormat="1" applyFont="1" applyFill="1"/>
    <xf numFmtId="0" fontId="1" fillId="0" borderId="0" xfId="0" applyFont="1" applyAlignment="1">
      <alignment horizontal="right"/>
    </xf>
    <xf numFmtId="0" fontId="1" fillId="4" borderId="0" xfId="0" applyFont="1" applyFill="1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1" xfId="1" applyFont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0F80D-80BD-4ACB-876D-B912634684A1}">
  <dimension ref="A1:U56"/>
  <sheetViews>
    <sheetView tabSelected="1"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129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157.4</v>
      </c>
      <c r="F11" s="20">
        <v>111</v>
      </c>
      <c r="G11" s="20">
        <v>91.6</v>
      </c>
      <c r="I11" s="20">
        <f>U11</f>
        <v>124.28490230905862</v>
      </c>
      <c r="J11" s="45">
        <f>(I11/'AAU 23-24'!I11)-1</f>
        <v>4.8031148348461894E-3</v>
      </c>
      <c r="K11" s="18"/>
      <c r="M11" s="38">
        <f>456+222</f>
        <v>678</v>
      </c>
      <c r="N11" s="38">
        <f>281+265</f>
        <v>546</v>
      </c>
      <c r="O11" s="38">
        <f>228+237</f>
        <v>465</v>
      </c>
      <c r="P11" s="36">
        <f t="shared" ref="P11:R48" si="0">E11*M11</f>
        <v>106717.2</v>
      </c>
      <c r="Q11" s="36">
        <f t="shared" si="0"/>
        <v>60606</v>
      </c>
      <c r="R11" s="36">
        <f t="shared" si="0"/>
        <v>42594</v>
      </c>
      <c r="S11" s="36">
        <f t="shared" ref="S11:S48" si="1">M11+N11+O11</f>
        <v>1689</v>
      </c>
      <c r="T11" s="36">
        <f t="shared" ref="T11:T48" si="2">P11+Q11+R11</f>
        <v>209917.2</v>
      </c>
      <c r="U11" s="37">
        <f>T11/S11</f>
        <v>124.28490230905862</v>
      </c>
    </row>
    <row r="12" spans="1:21" ht="13.5" customHeight="1" x14ac:dyDescent="0.3">
      <c r="A12" s="19"/>
      <c r="B12" s="48"/>
      <c r="C12" s="31">
        <v>2</v>
      </c>
      <c r="D12" s="1" t="s">
        <v>126</v>
      </c>
      <c r="E12" s="20">
        <v>172.8</v>
      </c>
      <c r="F12" s="20">
        <v>121.2</v>
      </c>
      <c r="G12" s="20">
        <v>96.8</v>
      </c>
      <c r="I12" s="20">
        <f>U12</f>
        <v>132.82998809996033</v>
      </c>
      <c r="J12" s="45">
        <f>(I12/'AAU 23-24'!I12)-1</f>
        <v>2.6078833069854257E-2</v>
      </c>
      <c r="K12" s="18"/>
      <c r="M12" s="38">
        <f>590+339</f>
        <v>929</v>
      </c>
      <c r="N12" s="38">
        <f>453+376</f>
        <v>829</v>
      </c>
      <c r="O12" s="38">
        <f>332+431</f>
        <v>763</v>
      </c>
      <c r="P12" s="36">
        <f>E12*M12</f>
        <v>160531.20000000001</v>
      </c>
      <c r="Q12" s="36">
        <f t="shared" si="0"/>
        <v>100474.8</v>
      </c>
      <c r="R12" s="36">
        <f t="shared" si="0"/>
        <v>73858.399999999994</v>
      </c>
      <c r="S12" s="36">
        <f>M12+N12+O12</f>
        <v>2521</v>
      </c>
      <c r="T12" s="36">
        <f>P12+Q12+R12</f>
        <v>334864.40000000002</v>
      </c>
      <c r="U12" s="37">
        <f>T12/S12</f>
        <v>132.82998809996033</v>
      </c>
    </row>
    <row r="13" spans="1:21" ht="13.5" customHeight="1" x14ac:dyDescent="0.3">
      <c r="A13" s="19"/>
      <c r="C13" s="31">
        <v>3</v>
      </c>
      <c r="D13" s="1" t="s">
        <v>12</v>
      </c>
      <c r="E13" s="20">
        <v>232.8</v>
      </c>
      <c r="F13" s="20">
        <v>159.9</v>
      </c>
      <c r="G13" s="20">
        <v>138.6</v>
      </c>
      <c r="I13" s="20">
        <f t="shared" ref="I13:I48" si="3">U13</f>
        <v>195.69150881776616</v>
      </c>
      <c r="J13" s="45">
        <f>(I13/'AAU 23-24'!I13)-1</f>
        <v>5.843264585647967E-2</v>
      </c>
      <c r="K13" s="18"/>
      <c r="M13" s="38">
        <f>543+301</f>
        <v>844</v>
      </c>
      <c r="N13" s="38">
        <f>201+170</f>
        <v>371</v>
      </c>
      <c r="O13" s="38">
        <f>155+161</f>
        <v>316</v>
      </c>
      <c r="P13" s="36">
        <f>E13*M13</f>
        <v>196483.20000000001</v>
      </c>
      <c r="Q13" s="36">
        <f t="shared" si="0"/>
        <v>59322.9</v>
      </c>
      <c r="R13" s="36">
        <f>G13*O13</f>
        <v>43797.599999999999</v>
      </c>
      <c r="S13" s="36">
        <f>M13+N13+O13</f>
        <v>1531</v>
      </c>
      <c r="T13" s="36">
        <f>P13+Q13+R13</f>
        <v>299603.7</v>
      </c>
      <c r="U13" s="37">
        <f t="shared" ref="U13:U48" si="4">T13/S13</f>
        <v>195.69150881776616</v>
      </c>
    </row>
    <row r="14" spans="1:21" ht="13.5" customHeight="1" x14ac:dyDescent="0.3">
      <c r="A14" s="19"/>
      <c r="C14" s="31">
        <v>4</v>
      </c>
      <c r="D14" s="1" t="s">
        <v>13</v>
      </c>
      <c r="E14" s="20">
        <v>196.4</v>
      </c>
      <c r="F14" s="20">
        <v>134.69999999999999</v>
      </c>
      <c r="G14" s="20">
        <v>120.8</v>
      </c>
      <c r="I14" s="20">
        <f t="shared" si="3"/>
        <v>167.61295512277729</v>
      </c>
      <c r="J14" s="45">
        <f>(I14/'AAU 23-24'!I14)-1</f>
        <v>4.7175812209063084E-2</v>
      </c>
      <c r="K14" s="18"/>
      <c r="M14" s="38">
        <f>431+249</f>
        <v>680</v>
      </c>
      <c r="N14" s="38">
        <f>142+137</f>
        <v>279</v>
      </c>
      <c r="O14" s="38">
        <f>118+104</f>
        <v>222</v>
      </c>
      <c r="P14" s="36">
        <f t="shared" si="0"/>
        <v>133552</v>
      </c>
      <c r="Q14" s="36">
        <f t="shared" si="0"/>
        <v>37581.299999999996</v>
      </c>
      <c r="R14" s="36">
        <f t="shared" si="0"/>
        <v>26817.599999999999</v>
      </c>
      <c r="S14" s="36">
        <f t="shared" si="1"/>
        <v>1181</v>
      </c>
      <c r="T14" s="36">
        <f t="shared" si="2"/>
        <v>197950.9</v>
      </c>
      <c r="U14" s="37">
        <f t="shared" si="4"/>
        <v>167.61295512277729</v>
      </c>
    </row>
    <row r="15" spans="1:21" ht="13.5" customHeight="1" x14ac:dyDescent="0.3">
      <c r="A15" s="19"/>
      <c r="C15" s="31">
        <v>5</v>
      </c>
      <c r="D15" s="1" t="s">
        <v>14</v>
      </c>
      <c r="E15" s="20">
        <v>222.9</v>
      </c>
      <c r="F15" s="20">
        <v>152.5</v>
      </c>
      <c r="G15" s="20">
        <v>131.6</v>
      </c>
      <c r="I15" s="20">
        <f t="shared" si="3"/>
        <v>189.23093777388257</v>
      </c>
      <c r="J15" s="45">
        <f>(I15/'AAU 23-24'!I15)-1</f>
        <v>5.6270421011893612E-2</v>
      </c>
      <c r="K15" s="18"/>
      <c r="M15" s="38">
        <f>428+235</f>
        <v>663</v>
      </c>
      <c r="N15" s="38">
        <f>118+132</f>
        <v>250</v>
      </c>
      <c r="O15" s="38">
        <f>99+129</f>
        <v>228</v>
      </c>
      <c r="P15" s="36">
        <f t="shared" si="0"/>
        <v>147782.70000000001</v>
      </c>
      <c r="Q15" s="36">
        <f t="shared" si="0"/>
        <v>38125</v>
      </c>
      <c r="R15" s="36">
        <f t="shared" si="0"/>
        <v>30004.799999999999</v>
      </c>
      <c r="S15" s="36">
        <f t="shared" si="1"/>
        <v>1141</v>
      </c>
      <c r="T15" s="36">
        <f t="shared" si="2"/>
        <v>215912.5</v>
      </c>
      <c r="U15" s="37">
        <f t="shared" si="4"/>
        <v>189.23093777388257</v>
      </c>
    </row>
    <row r="16" spans="1:21" ht="13.5" customHeight="1" x14ac:dyDescent="0.3">
      <c r="A16" s="19"/>
      <c r="C16" s="31">
        <v>6</v>
      </c>
      <c r="D16" s="1" t="s">
        <v>15</v>
      </c>
      <c r="E16" s="20">
        <v>282.89999999999998</v>
      </c>
      <c r="F16" s="20">
        <v>171.8</v>
      </c>
      <c r="G16" s="20">
        <v>134.9</v>
      </c>
      <c r="I16" s="20">
        <f t="shared" si="3"/>
        <v>228.70066425120771</v>
      </c>
      <c r="J16" s="45">
        <f>(I16/'AAU 23-24'!I16)-1</f>
        <v>4.9413629620539412E-2</v>
      </c>
      <c r="K16" s="18"/>
      <c r="M16" s="38">
        <f>598+379</f>
        <v>977</v>
      </c>
      <c r="N16" s="38">
        <f>141+150</f>
        <v>291</v>
      </c>
      <c r="O16" s="38">
        <f>188+200</f>
        <v>388</v>
      </c>
      <c r="P16" s="36">
        <f t="shared" si="0"/>
        <v>276393.3</v>
      </c>
      <c r="Q16" s="36">
        <f t="shared" si="0"/>
        <v>49993.8</v>
      </c>
      <c r="R16" s="36">
        <f t="shared" si="0"/>
        <v>52341.200000000004</v>
      </c>
      <c r="S16" s="36">
        <f t="shared" si="1"/>
        <v>1656</v>
      </c>
      <c r="T16" s="36">
        <f t="shared" si="2"/>
        <v>378728.3</v>
      </c>
      <c r="U16" s="37">
        <f t="shared" si="4"/>
        <v>228.70066425120771</v>
      </c>
    </row>
    <row r="17" spans="1:21" ht="13.5" customHeight="1" x14ac:dyDescent="0.3">
      <c r="A17" s="19"/>
      <c r="B17" s="48"/>
      <c r="C17" s="31">
        <v>7</v>
      </c>
      <c r="D17" s="1" t="s">
        <v>124</v>
      </c>
      <c r="E17" s="20">
        <v>184.6</v>
      </c>
      <c r="F17" s="20">
        <v>136.1</v>
      </c>
      <c r="G17" s="20">
        <v>118.5</v>
      </c>
      <c r="I17" s="20">
        <f t="shared" si="3"/>
        <v>153.80102301790279</v>
      </c>
      <c r="J17" s="45">
        <f>(I17/'AAU 23-24'!I17)-1</f>
        <v>4.9210505248498126E-2</v>
      </c>
      <c r="K17" s="18"/>
      <c r="M17" s="38">
        <f>236+114</f>
        <v>350</v>
      </c>
      <c r="N17" s="38">
        <f>141+113</f>
        <v>254</v>
      </c>
      <c r="O17" s="38">
        <f>102+76</f>
        <v>178</v>
      </c>
      <c r="P17" s="36">
        <f>E17*M17</f>
        <v>64610</v>
      </c>
      <c r="Q17" s="36">
        <f>F17*N17</f>
        <v>34569.4</v>
      </c>
      <c r="R17" s="36">
        <f>G17*O17</f>
        <v>21093</v>
      </c>
      <c r="S17" s="36">
        <f>M17+N17+O17</f>
        <v>782</v>
      </c>
      <c r="T17" s="36">
        <f>P17+Q17+R17</f>
        <v>120272.4</v>
      </c>
      <c r="U17" s="37">
        <f>T17/S17</f>
        <v>153.80102301790279</v>
      </c>
    </row>
    <row r="18" spans="1:21" ht="13.5" customHeight="1" x14ac:dyDescent="0.3">
      <c r="A18" s="19"/>
      <c r="C18" s="31">
        <v>8</v>
      </c>
      <c r="D18" s="1" t="s">
        <v>16</v>
      </c>
      <c r="E18" s="20">
        <v>241.5</v>
      </c>
      <c r="F18" s="20">
        <v>163</v>
      </c>
      <c r="G18" s="20">
        <v>138</v>
      </c>
      <c r="I18" s="20">
        <f t="shared" si="3"/>
        <v>199.51782449725778</v>
      </c>
      <c r="J18" s="45">
        <f>(I18/'AAU 23-24'!I18)-1</f>
        <v>4.9720746263223203E-2</v>
      </c>
      <c r="K18" s="18"/>
      <c r="M18" s="38">
        <f>430+163</f>
        <v>593</v>
      </c>
      <c r="N18" s="38">
        <f>122+115</f>
        <v>237</v>
      </c>
      <c r="O18" s="38">
        <f>151+113</f>
        <v>264</v>
      </c>
      <c r="P18" s="36">
        <f t="shared" si="0"/>
        <v>143209.5</v>
      </c>
      <c r="Q18" s="36">
        <f t="shared" si="0"/>
        <v>38631</v>
      </c>
      <c r="R18" s="36">
        <f t="shared" si="0"/>
        <v>36432</v>
      </c>
      <c r="S18" s="36">
        <f t="shared" si="1"/>
        <v>1094</v>
      </c>
      <c r="T18" s="36">
        <f t="shared" si="2"/>
        <v>218272.5</v>
      </c>
      <c r="U18" s="37">
        <f t="shared" si="4"/>
        <v>199.51782449725778</v>
      </c>
    </row>
    <row r="19" spans="1:21" ht="13.5" customHeight="1" x14ac:dyDescent="0.3">
      <c r="A19" s="19"/>
      <c r="C19" s="31">
        <v>9</v>
      </c>
      <c r="D19" s="1" t="s">
        <v>17</v>
      </c>
      <c r="E19" s="20">
        <v>240.8</v>
      </c>
      <c r="F19" s="20">
        <v>149.1</v>
      </c>
      <c r="G19" s="20">
        <v>131.80000000000001</v>
      </c>
      <c r="I19" s="20">
        <f t="shared" si="3"/>
        <v>200.52040094339623</v>
      </c>
      <c r="J19" s="45">
        <f>(I19/'AAU 23-24'!I19)-1</f>
        <v>5.39577124410342E-2</v>
      </c>
      <c r="K19" s="18"/>
      <c r="M19" s="38">
        <f>313+191</f>
        <v>504</v>
      </c>
      <c r="N19" s="38">
        <f>105+88</f>
        <v>193</v>
      </c>
      <c r="O19" s="38">
        <f>82+69</f>
        <v>151</v>
      </c>
      <c r="P19" s="36">
        <f t="shared" si="0"/>
        <v>121363.20000000001</v>
      </c>
      <c r="Q19" s="36">
        <f t="shared" si="0"/>
        <v>28776.3</v>
      </c>
      <c r="R19" s="36">
        <f t="shared" si="0"/>
        <v>19901.800000000003</v>
      </c>
      <c r="S19" s="36">
        <f t="shared" si="1"/>
        <v>848</v>
      </c>
      <c r="T19" s="36">
        <f t="shared" si="2"/>
        <v>170041.3</v>
      </c>
      <c r="U19" s="37">
        <f t="shared" si="4"/>
        <v>200.52040094339623</v>
      </c>
    </row>
    <row r="20" spans="1:21" ht="13.5" customHeight="1" x14ac:dyDescent="0.3">
      <c r="A20" s="19"/>
      <c r="C20" s="31">
        <v>10</v>
      </c>
      <c r="D20" s="1" t="s">
        <v>113</v>
      </c>
      <c r="E20" s="20">
        <v>212.5</v>
      </c>
      <c r="F20" s="20">
        <v>152.1</v>
      </c>
      <c r="G20" s="20">
        <v>129.9</v>
      </c>
      <c r="I20" s="20">
        <f>U20</f>
        <v>177.37220447284346</v>
      </c>
      <c r="J20" s="45">
        <f>(I20/'AAU 23-24'!I20)-1</f>
        <v>5.8885853278006772E-2</v>
      </c>
      <c r="K20" s="18"/>
      <c r="M20" s="38">
        <f>190+130</f>
        <v>320</v>
      </c>
      <c r="N20" s="38">
        <f>76+72</f>
        <v>148</v>
      </c>
      <c r="O20" s="38">
        <f>71+87</f>
        <v>158</v>
      </c>
      <c r="P20" s="36">
        <f>E20*M20</f>
        <v>68000</v>
      </c>
      <c r="Q20" s="36">
        <f t="shared" si="0"/>
        <v>22510.799999999999</v>
      </c>
      <c r="R20" s="36">
        <f t="shared" si="0"/>
        <v>20524.2</v>
      </c>
      <c r="S20" s="36">
        <f>M20+N20+O20</f>
        <v>626</v>
      </c>
      <c r="T20" s="36">
        <f>P20+Q20+R20</f>
        <v>111035</v>
      </c>
      <c r="U20" s="37">
        <f>T20/S20</f>
        <v>177.37220447284346</v>
      </c>
    </row>
    <row r="21" spans="1:21" ht="13.5" customHeight="1" x14ac:dyDescent="0.3">
      <c r="A21" s="19"/>
      <c r="C21" s="31">
        <v>11</v>
      </c>
      <c r="D21" s="1" t="s">
        <v>18</v>
      </c>
      <c r="E21" s="20">
        <v>165.2</v>
      </c>
      <c r="F21" s="20">
        <v>120.7</v>
      </c>
      <c r="G21" s="20">
        <v>117.3</v>
      </c>
      <c r="I21" s="20">
        <f>U21</f>
        <v>139.16430379746834</v>
      </c>
      <c r="J21" s="45">
        <f>(I21/'AAU 23-24'!I21)-1</f>
        <v>3.7398266897814114E-2</v>
      </c>
      <c r="K21" s="18"/>
      <c r="M21" s="38">
        <f>356+158</f>
        <v>514</v>
      </c>
      <c r="N21" s="38">
        <f>217+162</f>
        <v>379</v>
      </c>
      <c r="O21" s="39">
        <f>144+148</f>
        <v>292</v>
      </c>
      <c r="P21" s="36">
        <f t="shared" si="0"/>
        <v>84912.799999999988</v>
      </c>
      <c r="Q21" s="36">
        <f t="shared" si="0"/>
        <v>45745.3</v>
      </c>
      <c r="R21" s="36">
        <f t="shared" si="0"/>
        <v>34251.599999999999</v>
      </c>
      <c r="S21" s="36">
        <f t="shared" si="1"/>
        <v>1185</v>
      </c>
      <c r="T21" s="36">
        <f t="shared" si="2"/>
        <v>164909.69999999998</v>
      </c>
      <c r="U21" s="37">
        <f t="shared" si="4"/>
        <v>139.16430379746834</v>
      </c>
    </row>
    <row r="22" spans="1:21" ht="13.5" customHeight="1" x14ac:dyDescent="0.3">
      <c r="A22" s="19"/>
      <c r="C22" s="31">
        <v>12</v>
      </c>
      <c r="D22" s="1" t="s">
        <v>19</v>
      </c>
      <c r="E22" s="20">
        <v>181.5</v>
      </c>
      <c r="F22" s="20">
        <v>125.1</v>
      </c>
      <c r="G22" s="20">
        <v>102.5</v>
      </c>
      <c r="I22" s="20">
        <f t="shared" si="3"/>
        <v>140.3531296205027</v>
      </c>
      <c r="J22" s="45">
        <f>(I22/'AAU 23-24'!I22)-1</f>
        <v>4.4941190679812504E-2</v>
      </c>
      <c r="K22" s="18"/>
      <c r="M22" s="38">
        <f>575+237</f>
        <v>812</v>
      </c>
      <c r="N22" s="38">
        <f>314+246</f>
        <v>560</v>
      </c>
      <c r="O22" s="38">
        <f>324+333</f>
        <v>657</v>
      </c>
      <c r="P22" s="36">
        <f t="shared" si="0"/>
        <v>147378</v>
      </c>
      <c r="Q22" s="36">
        <f t="shared" si="0"/>
        <v>70056</v>
      </c>
      <c r="R22" s="36">
        <f t="shared" si="0"/>
        <v>67342.5</v>
      </c>
      <c r="S22" s="36">
        <f t="shared" si="1"/>
        <v>2029</v>
      </c>
      <c r="T22" s="36">
        <f t="shared" si="2"/>
        <v>284776.5</v>
      </c>
      <c r="U22" s="37">
        <f t="shared" si="4"/>
        <v>140.3531296205027</v>
      </c>
    </row>
    <row r="23" spans="1:21" ht="13.5" customHeight="1" x14ac:dyDescent="0.3">
      <c r="A23" s="19"/>
      <c r="C23" s="31">
        <v>13</v>
      </c>
      <c r="D23" s="1" t="s">
        <v>20</v>
      </c>
      <c r="E23" s="20">
        <v>185.9</v>
      </c>
      <c r="F23" s="20">
        <v>134.30000000000001</v>
      </c>
      <c r="G23" s="20">
        <v>125.9</v>
      </c>
      <c r="I23" s="20">
        <f t="shared" si="3"/>
        <v>158.5631379962193</v>
      </c>
      <c r="J23" s="45">
        <f>(I23/'AAU 23-24'!I23)-1</f>
        <v>3.1606930510749365E-2</v>
      </c>
      <c r="K23" s="18"/>
      <c r="M23" s="38">
        <f>430+109</f>
        <v>539</v>
      </c>
      <c r="N23" s="38">
        <f>179+85</f>
        <v>264</v>
      </c>
      <c r="O23" s="38">
        <f>146+109</f>
        <v>255</v>
      </c>
      <c r="P23" s="36">
        <f t="shared" si="0"/>
        <v>100200.1</v>
      </c>
      <c r="Q23" s="36">
        <f t="shared" si="0"/>
        <v>35455.200000000004</v>
      </c>
      <c r="R23" s="36">
        <f t="shared" si="0"/>
        <v>32104.5</v>
      </c>
      <c r="S23" s="36">
        <f t="shared" si="1"/>
        <v>1058</v>
      </c>
      <c r="T23" s="36">
        <f t="shared" si="2"/>
        <v>167759.80000000002</v>
      </c>
      <c r="U23" s="37">
        <f t="shared" si="4"/>
        <v>158.5631379962193</v>
      </c>
    </row>
    <row r="24" spans="1:21" ht="13.5" customHeight="1" x14ac:dyDescent="0.3">
      <c r="A24" s="19"/>
      <c r="C24" s="31">
        <v>14</v>
      </c>
      <c r="D24" s="1" t="s">
        <v>21</v>
      </c>
      <c r="E24" s="20">
        <v>184.8</v>
      </c>
      <c r="F24" s="20">
        <v>127.2</v>
      </c>
      <c r="G24" s="20">
        <v>113.4</v>
      </c>
      <c r="I24" s="20">
        <f t="shared" si="3"/>
        <v>147.63724340175952</v>
      </c>
      <c r="J24" s="45">
        <f>(I24/'AAU 23-24'!I24)-1</f>
        <v>3.2036830322310195E-2</v>
      </c>
      <c r="K24" s="18"/>
      <c r="M24" s="38">
        <f>621+259</f>
        <v>880</v>
      </c>
      <c r="N24" s="38">
        <f>287+236</f>
        <v>523</v>
      </c>
      <c r="O24" s="38">
        <f>338+305</f>
        <v>643</v>
      </c>
      <c r="P24" s="36">
        <f t="shared" si="0"/>
        <v>162624</v>
      </c>
      <c r="Q24" s="36">
        <f t="shared" si="0"/>
        <v>66525.600000000006</v>
      </c>
      <c r="R24" s="36">
        <f t="shared" si="0"/>
        <v>72916.2</v>
      </c>
      <c r="S24" s="36">
        <f t="shared" si="1"/>
        <v>2046</v>
      </c>
      <c r="T24" s="36">
        <f t="shared" si="2"/>
        <v>302065.8</v>
      </c>
      <c r="U24" s="37">
        <f t="shared" si="4"/>
        <v>147.63724340175952</v>
      </c>
    </row>
    <row r="25" spans="1:21" ht="13.5" customHeight="1" x14ac:dyDescent="0.3">
      <c r="A25" s="19"/>
      <c r="C25" s="31">
        <v>15</v>
      </c>
      <c r="D25" s="1" t="s">
        <v>22</v>
      </c>
      <c r="E25" s="20">
        <v>156</v>
      </c>
      <c r="F25" s="20">
        <v>118.3</v>
      </c>
      <c r="G25" s="20">
        <v>113.8</v>
      </c>
      <c r="I25" s="20">
        <f t="shared" si="3"/>
        <v>133.8832521315469</v>
      </c>
      <c r="J25" s="45">
        <f>(I25/'AAU 23-24'!I25)-1</f>
        <v>3.3132318995317656E-2</v>
      </c>
      <c r="K25" s="18"/>
      <c r="M25" s="38">
        <f>498+233</f>
        <v>731</v>
      </c>
      <c r="N25" s="38">
        <f>282+191</f>
        <v>473</v>
      </c>
      <c r="O25" s="38">
        <f>183+255</f>
        <v>438</v>
      </c>
      <c r="P25" s="36">
        <f t="shared" si="0"/>
        <v>114036</v>
      </c>
      <c r="Q25" s="36">
        <f t="shared" si="0"/>
        <v>55955.9</v>
      </c>
      <c r="R25" s="36">
        <f t="shared" si="0"/>
        <v>49844.4</v>
      </c>
      <c r="S25" s="36">
        <f t="shared" si="1"/>
        <v>1642</v>
      </c>
      <c r="T25" s="36">
        <f t="shared" si="2"/>
        <v>219836.3</v>
      </c>
      <c r="U25" s="37">
        <f t="shared" si="4"/>
        <v>133.8832521315469</v>
      </c>
    </row>
    <row r="26" spans="1:21" ht="13.5" customHeight="1" x14ac:dyDescent="0.3">
      <c r="A26" s="19"/>
      <c r="C26" s="31">
        <v>16</v>
      </c>
      <c r="D26" s="1" t="s">
        <v>23</v>
      </c>
      <c r="E26" s="20">
        <v>164.3</v>
      </c>
      <c r="F26" s="20">
        <v>107.8</v>
      </c>
      <c r="G26" s="20">
        <v>92.5</v>
      </c>
      <c r="I26" s="20">
        <f t="shared" si="3"/>
        <v>122.27647918188458</v>
      </c>
      <c r="J26" s="45">
        <f>(I26/'AAU 23-24'!I26)-1</f>
        <v>-1.3358274321936814E-2</v>
      </c>
      <c r="K26" s="18"/>
      <c r="M26" s="38">
        <f>319+152</f>
        <v>471</v>
      </c>
      <c r="N26" s="38">
        <f>235+219</f>
        <v>454</v>
      </c>
      <c r="O26" s="38">
        <f>199+245</f>
        <v>444</v>
      </c>
      <c r="P26" s="36">
        <f t="shared" si="0"/>
        <v>77385.3</v>
      </c>
      <c r="Q26" s="36">
        <f t="shared" si="0"/>
        <v>48941.2</v>
      </c>
      <c r="R26" s="36">
        <f t="shared" si="0"/>
        <v>41070</v>
      </c>
      <c r="S26" s="36">
        <f t="shared" si="1"/>
        <v>1369</v>
      </c>
      <c r="T26" s="36">
        <f t="shared" si="2"/>
        <v>167396.5</v>
      </c>
      <c r="U26" s="37">
        <f t="shared" si="4"/>
        <v>122.27647918188458</v>
      </c>
    </row>
    <row r="27" spans="1:21" ht="13.5" customHeight="1" x14ac:dyDescent="0.3">
      <c r="A27" s="19"/>
      <c r="C27" s="31">
        <v>17</v>
      </c>
      <c r="D27" s="1" t="s">
        <v>25</v>
      </c>
      <c r="E27" s="20">
        <v>135.9</v>
      </c>
      <c r="F27" s="20">
        <v>99.9</v>
      </c>
      <c r="G27" s="20">
        <v>89.2</v>
      </c>
      <c r="I27" s="20">
        <f t="shared" si="3"/>
        <v>112.43877176901924</v>
      </c>
      <c r="J27" s="45">
        <f>(I27/'AAU 23-24'!I27)-1</f>
        <v>2.5145126562853504E-2</v>
      </c>
      <c r="K27" s="18"/>
      <c r="M27" s="38">
        <f>308+157</f>
        <v>465</v>
      </c>
      <c r="N27" s="38">
        <f>190+150</f>
        <v>340</v>
      </c>
      <c r="O27" s="38">
        <f>141+145</f>
        <v>286</v>
      </c>
      <c r="P27" s="36">
        <f t="shared" si="0"/>
        <v>63193.5</v>
      </c>
      <c r="Q27" s="36">
        <f t="shared" si="0"/>
        <v>33966</v>
      </c>
      <c r="R27" s="36">
        <f t="shared" si="0"/>
        <v>25511.200000000001</v>
      </c>
      <c r="S27" s="36">
        <f t="shared" si="1"/>
        <v>1091</v>
      </c>
      <c r="T27" s="36">
        <f t="shared" si="2"/>
        <v>122670.7</v>
      </c>
      <c r="U27" s="37">
        <f t="shared" si="4"/>
        <v>112.43877176901924</v>
      </c>
    </row>
    <row r="28" spans="1:21" ht="13.5" customHeight="1" x14ac:dyDescent="0.3">
      <c r="A28" s="19"/>
      <c r="C28" s="31">
        <v>18</v>
      </c>
      <c r="D28" s="1" t="s">
        <v>26</v>
      </c>
      <c r="E28" s="20">
        <v>216.3</v>
      </c>
      <c r="F28" s="20">
        <v>146.80000000000001</v>
      </c>
      <c r="G28" s="20">
        <v>125</v>
      </c>
      <c r="I28" s="20">
        <f t="shared" si="3"/>
        <v>175.16069841269839</v>
      </c>
      <c r="J28" s="45">
        <f>(I28/'AAU 23-24'!I28)-1</f>
        <v>4.4289451743171115E-2</v>
      </c>
      <c r="K28" s="18"/>
      <c r="M28" s="38">
        <f>536+219</f>
        <v>755</v>
      </c>
      <c r="N28" s="38">
        <f>238+224</f>
        <v>462</v>
      </c>
      <c r="O28" s="38">
        <f>187+171</f>
        <v>358</v>
      </c>
      <c r="P28" s="36">
        <f t="shared" si="0"/>
        <v>163306.5</v>
      </c>
      <c r="Q28" s="36">
        <f t="shared" si="0"/>
        <v>67821.600000000006</v>
      </c>
      <c r="R28" s="36">
        <f t="shared" si="0"/>
        <v>44750</v>
      </c>
      <c r="S28" s="36">
        <f t="shared" si="1"/>
        <v>1575</v>
      </c>
      <c r="T28" s="36">
        <f t="shared" si="2"/>
        <v>275878.09999999998</v>
      </c>
      <c r="U28" s="37">
        <f t="shared" si="4"/>
        <v>175.16069841269839</v>
      </c>
    </row>
    <row r="29" spans="1:21" ht="13.5" customHeight="1" x14ac:dyDescent="0.3">
      <c r="A29" s="19"/>
      <c r="C29" s="31">
        <v>19</v>
      </c>
      <c r="D29" s="1" t="s">
        <v>27</v>
      </c>
      <c r="E29" s="20">
        <v>202.5</v>
      </c>
      <c r="F29" s="20">
        <v>136.5</v>
      </c>
      <c r="G29" s="20">
        <v>116.3</v>
      </c>
      <c r="I29" s="20">
        <f t="shared" si="3"/>
        <v>163.50735171261485</v>
      </c>
      <c r="J29" s="45">
        <f>(I29/'AAU 23-24'!I29)-1</f>
        <v>4.4809546269006573E-2</v>
      </c>
      <c r="K29" s="18"/>
      <c r="M29" s="38">
        <f>765+405</f>
        <v>1170</v>
      </c>
      <c r="N29" s="38">
        <f>307+295</f>
        <v>602</v>
      </c>
      <c r="O29" s="38">
        <f>317+305</f>
        <v>622</v>
      </c>
      <c r="P29" s="36">
        <f t="shared" si="0"/>
        <v>236925</v>
      </c>
      <c r="Q29" s="36">
        <f t="shared" si="0"/>
        <v>82173</v>
      </c>
      <c r="R29" s="36">
        <f t="shared" si="0"/>
        <v>72338.599999999991</v>
      </c>
      <c r="S29" s="36">
        <f t="shared" si="1"/>
        <v>2394</v>
      </c>
      <c r="T29" s="36">
        <f t="shared" si="2"/>
        <v>391436.6</v>
      </c>
      <c r="U29" s="37">
        <f t="shared" si="4"/>
        <v>163.50735171261485</v>
      </c>
    </row>
    <row r="30" spans="1:21" ht="13.5" customHeight="1" x14ac:dyDescent="0.3">
      <c r="A30" s="19"/>
      <c r="C30" s="31">
        <v>20</v>
      </c>
      <c r="D30" s="1" t="s">
        <v>28</v>
      </c>
      <c r="E30" s="20">
        <v>182.1</v>
      </c>
      <c r="F30" s="20">
        <v>121.8</v>
      </c>
      <c r="G30" s="20">
        <v>96.1</v>
      </c>
      <c r="I30" s="20">
        <f t="shared" si="3"/>
        <v>134.65462616822427</v>
      </c>
      <c r="J30" s="45">
        <f>(I30/'AAU 23-24'!I30)-1</f>
        <v>2.5803612430924883E-2</v>
      </c>
      <c r="K30" s="18"/>
      <c r="M30" s="38">
        <f>538+237</f>
        <v>775</v>
      </c>
      <c r="N30" s="38">
        <f>335+282</f>
        <v>617</v>
      </c>
      <c r="O30" s="38">
        <f>341+407</f>
        <v>748</v>
      </c>
      <c r="P30" s="36">
        <f t="shared" si="0"/>
        <v>141127.5</v>
      </c>
      <c r="Q30" s="36">
        <f t="shared" si="0"/>
        <v>75150.599999999991</v>
      </c>
      <c r="R30" s="36">
        <f t="shared" si="0"/>
        <v>71882.8</v>
      </c>
      <c r="S30" s="36">
        <f t="shared" si="1"/>
        <v>2140</v>
      </c>
      <c r="T30" s="36">
        <f t="shared" si="2"/>
        <v>288160.89999999997</v>
      </c>
      <c r="U30" s="37">
        <f t="shared" si="4"/>
        <v>134.65462616822427</v>
      </c>
    </row>
    <row r="31" spans="1:21" ht="13.5" customHeight="1" x14ac:dyDescent="0.3">
      <c r="A31" s="19"/>
      <c r="C31" s="31">
        <v>21</v>
      </c>
      <c r="D31" s="1" t="s">
        <v>29</v>
      </c>
      <c r="E31" s="20">
        <v>165.8</v>
      </c>
      <c r="F31" s="20">
        <v>119.3</v>
      </c>
      <c r="G31" s="20">
        <v>101.3</v>
      </c>
      <c r="I31" s="20">
        <f t="shared" si="3"/>
        <v>135.64617236398649</v>
      </c>
      <c r="J31" s="45">
        <f>(I31/'AAU 23-24'!I31)-1</f>
        <v>2.9931501522435733E-2</v>
      </c>
      <c r="K31" s="18"/>
      <c r="M31" s="38">
        <f>628+310</f>
        <v>938</v>
      </c>
      <c r="N31" s="38">
        <f>314+288</f>
        <v>602</v>
      </c>
      <c r="O31" s="38">
        <f>235+302</f>
        <v>537</v>
      </c>
      <c r="P31" s="36">
        <f t="shared" si="0"/>
        <v>155520.40000000002</v>
      </c>
      <c r="Q31" s="36">
        <f t="shared" si="0"/>
        <v>71818.599999999991</v>
      </c>
      <c r="R31" s="36">
        <f t="shared" si="0"/>
        <v>54398.1</v>
      </c>
      <c r="S31" s="36">
        <f t="shared" si="1"/>
        <v>2077</v>
      </c>
      <c r="T31" s="36">
        <f t="shared" si="2"/>
        <v>281737.09999999998</v>
      </c>
      <c r="U31" s="37">
        <f t="shared" si="4"/>
        <v>135.64617236398649</v>
      </c>
    </row>
    <row r="32" spans="1:21" ht="13.5" customHeight="1" x14ac:dyDescent="0.3">
      <c r="A32" s="19"/>
      <c r="C32" s="31">
        <v>22</v>
      </c>
      <c r="D32" s="24" t="s">
        <v>30</v>
      </c>
      <c r="E32" s="25">
        <v>149.6</v>
      </c>
      <c r="F32" s="25">
        <v>106</v>
      </c>
      <c r="G32" s="25">
        <v>91.9</v>
      </c>
      <c r="H32" s="24"/>
      <c r="I32" s="25">
        <f t="shared" si="3"/>
        <v>113.93930421909697</v>
      </c>
      <c r="J32" s="47">
        <f>(I32/'AAU 23-24'!I32)-1</f>
        <v>1.1133664803840482E-2</v>
      </c>
      <c r="K32" s="18"/>
      <c r="M32" s="38">
        <f>266+143</f>
        <v>409</v>
      </c>
      <c r="N32" s="38">
        <f>249+189</f>
        <v>438</v>
      </c>
      <c r="O32" s="38">
        <f>205+299</f>
        <v>504</v>
      </c>
      <c r="P32" s="36">
        <f t="shared" si="0"/>
        <v>61186.399999999994</v>
      </c>
      <c r="Q32" s="36">
        <f t="shared" si="0"/>
        <v>46428</v>
      </c>
      <c r="R32" s="36">
        <f t="shared" si="0"/>
        <v>46317.600000000006</v>
      </c>
      <c r="S32" s="36">
        <f t="shared" si="1"/>
        <v>1351</v>
      </c>
      <c r="T32" s="36">
        <f t="shared" si="2"/>
        <v>153932</v>
      </c>
      <c r="U32" s="37">
        <f t="shared" si="4"/>
        <v>113.93930421909697</v>
      </c>
    </row>
    <row r="33" spans="1:21" ht="13.5" customHeight="1" x14ac:dyDescent="0.3">
      <c r="A33" s="19"/>
      <c r="C33" s="31">
        <v>23</v>
      </c>
      <c r="D33" s="1" t="s">
        <v>45</v>
      </c>
      <c r="E33" s="20">
        <v>179</v>
      </c>
      <c r="F33" s="20">
        <v>118.1</v>
      </c>
      <c r="G33" s="20">
        <v>102.7</v>
      </c>
      <c r="I33" s="20">
        <f t="shared" si="3"/>
        <v>139.49748311847759</v>
      </c>
      <c r="J33" s="45">
        <f>(I33/'AAU 23-24'!I33)-1</f>
        <v>2.842064329127636E-2</v>
      </c>
      <c r="K33" s="18"/>
      <c r="M33" s="38">
        <f>413+282</f>
        <v>695</v>
      </c>
      <c r="N33" s="38">
        <f>215+234</f>
        <v>449</v>
      </c>
      <c r="O33" s="38">
        <f>206+279</f>
        <v>485</v>
      </c>
      <c r="P33" s="36">
        <f t="shared" si="0"/>
        <v>124405</v>
      </c>
      <c r="Q33" s="36">
        <f t="shared" si="0"/>
        <v>53026.899999999994</v>
      </c>
      <c r="R33" s="36">
        <f t="shared" si="0"/>
        <v>49809.5</v>
      </c>
      <c r="S33" s="36">
        <f t="shared" si="1"/>
        <v>1629</v>
      </c>
      <c r="T33" s="36">
        <f t="shared" si="2"/>
        <v>227241.4</v>
      </c>
      <c r="U33" s="37">
        <f t="shared" si="4"/>
        <v>139.49748311847759</v>
      </c>
    </row>
    <row r="34" spans="1:21" ht="13.5" customHeight="1" x14ac:dyDescent="0.3">
      <c r="A34" s="19"/>
      <c r="C34" s="31">
        <v>24</v>
      </c>
      <c r="D34" s="1" t="s">
        <v>31</v>
      </c>
      <c r="E34" s="20">
        <v>176.5</v>
      </c>
      <c r="F34" s="20">
        <v>117.5</v>
      </c>
      <c r="G34" s="20">
        <v>104.5</v>
      </c>
      <c r="I34" s="20">
        <f t="shared" si="3"/>
        <v>140.11460101867573</v>
      </c>
      <c r="J34" s="45">
        <f>(I34/'AAU 23-24'!I34)-1</f>
        <v>2.789818345102657E-2</v>
      </c>
      <c r="K34" s="18"/>
      <c r="M34" s="38">
        <f>676+363</f>
        <v>1039</v>
      </c>
      <c r="N34" s="38">
        <f>349+351</f>
        <v>700</v>
      </c>
      <c r="O34" s="38">
        <f>281+336</f>
        <v>617</v>
      </c>
      <c r="P34" s="36">
        <f t="shared" si="0"/>
        <v>183383.5</v>
      </c>
      <c r="Q34" s="36">
        <f t="shared" si="0"/>
        <v>82250</v>
      </c>
      <c r="R34" s="36">
        <f t="shared" si="0"/>
        <v>64476.5</v>
      </c>
      <c r="S34" s="36">
        <f t="shared" si="1"/>
        <v>2356</v>
      </c>
      <c r="T34" s="36">
        <f t="shared" si="2"/>
        <v>330110</v>
      </c>
      <c r="U34" s="37">
        <f t="shared" si="4"/>
        <v>140.11460101867573</v>
      </c>
    </row>
    <row r="35" spans="1:21" ht="13.5" customHeight="1" x14ac:dyDescent="0.3">
      <c r="A35" s="19"/>
      <c r="C35" s="31">
        <v>25</v>
      </c>
      <c r="D35" s="1" t="s">
        <v>32</v>
      </c>
      <c r="E35" s="20">
        <v>150.1</v>
      </c>
      <c r="F35" s="20">
        <v>110.5</v>
      </c>
      <c r="G35" s="20">
        <v>100</v>
      </c>
      <c r="I35" s="20">
        <f t="shared" si="3"/>
        <v>124.03971631205674</v>
      </c>
      <c r="J35" s="45">
        <f>(I35/'AAU 23-24'!I35)-1</f>
        <v>8.7461004487046079E-3</v>
      </c>
      <c r="K35" s="18"/>
      <c r="M35" s="38">
        <f>205+141</f>
        <v>346</v>
      </c>
      <c r="N35" s="38">
        <f>153+133</f>
        <v>286</v>
      </c>
      <c r="O35" s="38">
        <f>100+114</f>
        <v>214</v>
      </c>
      <c r="P35" s="36">
        <f t="shared" si="0"/>
        <v>51934.6</v>
      </c>
      <c r="Q35" s="36">
        <f t="shared" si="0"/>
        <v>31603</v>
      </c>
      <c r="R35" s="36">
        <f t="shared" si="0"/>
        <v>21400</v>
      </c>
      <c r="S35" s="36">
        <f t="shared" si="1"/>
        <v>846</v>
      </c>
      <c r="T35" s="36">
        <f t="shared" si="2"/>
        <v>104937.60000000001</v>
      </c>
      <c r="U35" s="37">
        <f t="shared" si="4"/>
        <v>124.03971631205674</v>
      </c>
    </row>
    <row r="36" spans="1:21" ht="13.5" customHeight="1" x14ac:dyDescent="0.3">
      <c r="A36" s="19"/>
      <c r="C36" s="31">
        <v>26</v>
      </c>
      <c r="D36" s="1" t="s">
        <v>33</v>
      </c>
      <c r="E36" s="20">
        <v>180.1</v>
      </c>
      <c r="F36" s="20">
        <v>122.9</v>
      </c>
      <c r="G36" s="20">
        <v>112.9</v>
      </c>
      <c r="I36" s="20">
        <f t="shared" si="3"/>
        <v>149.08876651982379</v>
      </c>
      <c r="J36" s="45">
        <f>(I36/'AAU 23-24'!I36)-1</f>
        <v>2.7146637772271776E-2</v>
      </c>
      <c r="K36" s="18"/>
      <c r="M36" s="38">
        <f>651+253</f>
        <v>904</v>
      </c>
      <c r="N36" s="38">
        <f>284+213</f>
        <v>497</v>
      </c>
      <c r="O36" s="38">
        <f>208+207</f>
        <v>415</v>
      </c>
      <c r="P36" s="36">
        <f t="shared" si="0"/>
        <v>162810.4</v>
      </c>
      <c r="Q36" s="36">
        <f t="shared" si="0"/>
        <v>61081.3</v>
      </c>
      <c r="R36" s="36">
        <f t="shared" si="0"/>
        <v>46853.5</v>
      </c>
      <c r="S36" s="36">
        <f t="shared" si="1"/>
        <v>1816</v>
      </c>
      <c r="T36" s="36">
        <f t="shared" si="2"/>
        <v>270745.2</v>
      </c>
      <c r="U36" s="37">
        <f t="shared" si="4"/>
        <v>149.08876651982379</v>
      </c>
    </row>
    <row r="37" spans="1:21" ht="13.5" customHeight="1" x14ac:dyDescent="0.3">
      <c r="A37" s="19"/>
      <c r="C37" s="31">
        <v>27</v>
      </c>
      <c r="D37" s="1" t="s">
        <v>34</v>
      </c>
      <c r="E37" s="20">
        <v>160.19999999999999</v>
      </c>
      <c r="F37" s="20">
        <v>109.7</v>
      </c>
      <c r="G37" s="20">
        <v>92.3</v>
      </c>
      <c r="I37" s="20">
        <f t="shared" si="3"/>
        <v>119.29297177642501</v>
      </c>
      <c r="J37" s="45">
        <f>(I37/'AAU 23-24'!I37)-1</f>
        <v>5.1781173734244623E-2</v>
      </c>
      <c r="K37" s="18"/>
      <c r="M37" s="38">
        <f>358+223</f>
        <v>581</v>
      </c>
      <c r="N37" s="38">
        <f>273+263</f>
        <v>536</v>
      </c>
      <c r="O37" s="38">
        <f>285+405</f>
        <v>690</v>
      </c>
      <c r="P37" s="36">
        <f t="shared" si="0"/>
        <v>93076.2</v>
      </c>
      <c r="Q37" s="36">
        <f t="shared" si="0"/>
        <v>58799.200000000004</v>
      </c>
      <c r="R37" s="36">
        <f t="shared" si="0"/>
        <v>63687</v>
      </c>
      <c r="S37" s="36">
        <f t="shared" si="1"/>
        <v>1807</v>
      </c>
      <c r="T37" s="36">
        <f t="shared" si="2"/>
        <v>215562.4</v>
      </c>
      <c r="U37" s="37">
        <f t="shared" si="4"/>
        <v>119.29297177642501</v>
      </c>
    </row>
    <row r="38" spans="1:21" ht="13.5" customHeight="1" x14ac:dyDescent="0.3">
      <c r="A38" s="19"/>
      <c r="C38" s="31">
        <v>28</v>
      </c>
      <c r="D38" s="1" t="s">
        <v>35</v>
      </c>
      <c r="E38" s="20">
        <v>171.3</v>
      </c>
      <c r="F38" s="20">
        <v>122.3</v>
      </c>
      <c r="G38" s="20">
        <v>105.3</v>
      </c>
      <c r="I38" s="20">
        <f t="shared" si="3"/>
        <v>136.83164556962026</v>
      </c>
      <c r="J38" s="45">
        <f>(I38/'AAU 23-24'!I38)-1</f>
        <v>2.0672980434238264E-2</v>
      </c>
      <c r="K38" s="18"/>
      <c r="M38" s="38">
        <f>725+245</f>
        <v>970</v>
      </c>
      <c r="N38" s="38">
        <f>370+260</f>
        <v>630</v>
      </c>
      <c r="O38" s="38">
        <f>449+321</f>
        <v>770</v>
      </c>
      <c r="P38" s="36">
        <f t="shared" si="0"/>
        <v>166161</v>
      </c>
      <c r="Q38" s="36">
        <f t="shared" si="0"/>
        <v>77049</v>
      </c>
      <c r="R38" s="36">
        <f t="shared" si="0"/>
        <v>81081</v>
      </c>
      <c r="S38" s="36">
        <f t="shared" si="1"/>
        <v>2370</v>
      </c>
      <c r="T38" s="36">
        <f t="shared" si="2"/>
        <v>324291</v>
      </c>
      <c r="U38" s="37">
        <f t="shared" si="4"/>
        <v>136.83164556962026</v>
      </c>
    </row>
    <row r="39" spans="1:21" ht="13.5" customHeight="1" x14ac:dyDescent="0.3">
      <c r="A39" s="19"/>
      <c r="C39" s="31">
        <v>29</v>
      </c>
      <c r="D39" s="1" t="s">
        <v>36</v>
      </c>
      <c r="E39" s="20">
        <v>202.4</v>
      </c>
      <c r="F39" s="20">
        <v>132.1</v>
      </c>
      <c r="G39" s="20">
        <v>103.9</v>
      </c>
      <c r="I39" s="20">
        <f t="shared" si="3"/>
        <v>150.256446991404</v>
      </c>
      <c r="J39" s="45">
        <f>(I39/'AAU 23-24'!I39)-1</f>
        <v>2.6644118121907034E-2</v>
      </c>
      <c r="K39" s="18"/>
      <c r="M39" s="38">
        <f>533+283</f>
        <v>816</v>
      </c>
      <c r="N39" s="39">
        <f>253+339</f>
        <v>592</v>
      </c>
      <c r="O39" s="38">
        <f>285+401</f>
        <v>686</v>
      </c>
      <c r="P39" s="36">
        <f t="shared" si="0"/>
        <v>165158.39999999999</v>
      </c>
      <c r="Q39" s="36">
        <f t="shared" si="0"/>
        <v>78203.199999999997</v>
      </c>
      <c r="R39" s="36">
        <f t="shared" si="0"/>
        <v>71275.400000000009</v>
      </c>
      <c r="S39" s="36">
        <f t="shared" si="1"/>
        <v>2094</v>
      </c>
      <c r="T39" s="36">
        <f t="shared" si="2"/>
        <v>314637</v>
      </c>
      <c r="U39" s="37">
        <f t="shared" si="4"/>
        <v>150.256446991404</v>
      </c>
    </row>
    <row r="40" spans="1:21" ht="13.5" customHeight="1" x14ac:dyDescent="0.3">
      <c r="A40" s="19"/>
      <c r="B40" s="48"/>
      <c r="C40" s="31">
        <v>30</v>
      </c>
      <c r="D40" s="1" t="s">
        <v>125</v>
      </c>
      <c r="E40" s="20">
        <v>145.9</v>
      </c>
      <c r="F40" s="20">
        <v>106.7</v>
      </c>
      <c r="G40" s="20">
        <v>99.6</v>
      </c>
      <c r="I40" s="20">
        <f>U40</f>
        <v>120.79384164222874</v>
      </c>
      <c r="J40" s="45">
        <f>(I40/'AAU 23-24'!I40)-1</f>
        <v>1.4579386924486792E-2</v>
      </c>
      <c r="K40" s="18"/>
      <c r="M40" s="38">
        <f>274+138</f>
        <v>412</v>
      </c>
      <c r="N40" s="39">
        <f>204+163</f>
        <v>367</v>
      </c>
      <c r="O40" s="38">
        <f>123+121</f>
        <v>244</v>
      </c>
      <c r="P40" s="36">
        <f t="shared" si="0"/>
        <v>60110.8</v>
      </c>
      <c r="Q40" s="36">
        <f t="shared" si="0"/>
        <v>39158.9</v>
      </c>
      <c r="R40" s="36">
        <f t="shared" si="0"/>
        <v>24302.399999999998</v>
      </c>
      <c r="S40" s="36">
        <f t="shared" si="1"/>
        <v>1023</v>
      </c>
      <c r="T40" s="36">
        <f t="shared" si="2"/>
        <v>123572.1</v>
      </c>
      <c r="U40" s="37">
        <f t="shared" si="4"/>
        <v>120.79384164222874</v>
      </c>
    </row>
    <row r="41" spans="1:21" ht="13.5" customHeight="1" x14ac:dyDescent="0.3">
      <c r="A41" s="19"/>
      <c r="C41" s="31">
        <v>31</v>
      </c>
      <c r="D41" s="1" t="s">
        <v>46</v>
      </c>
      <c r="E41" s="20">
        <v>173.1</v>
      </c>
      <c r="F41" s="20">
        <v>115.4</v>
      </c>
      <c r="G41" s="20">
        <v>93.1</v>
      </c>
      <c r="I41" s="20">
        <f t="shared" si="3"/>
        <v>129.22922636103152</v>
      </c>
      <c r="J41" s="45">
        <f>(I41/'AAU 23-24'!I41)-1</f>
        <v>5.8130017524323563E-2</v>
      </c>
      <c r="K41" s="18"/>
      <c r="M41" s="38">
        <f>247+128</f>
        <v>375</v>
      </c>
      <c r="N41" s="38">
        <f>184+167</f>
        <v>351</v>
      </c>
      <c r="O41" s="38">
        <f>149+172</f>
        <v>321</v>
      </c>
      <c r="P41" s="36">
        <f t="shared" si="0"/>
        <v>64912.5</v>
      </c>
      <c r="Q41" s="36">
        <f t="shared" si="0"/>
        <v>40505.4</v>
      </c>
      <c r="R41" s="36">
        <f t="shared" si="0"/>
        <v>29885.1</v>
      </c>
      <c r="S41" s="36">
        <f t="shared" si="1"/>
        <v>1047</v>
      </c>
      <c r="T41" s="36">
        <f t="shared" si="2"/>
        <v>135303</v>
      </c>
      <c r="U41" s="37">
        <f t="shared" si="4"/>
        <v>129.22922636103152</v>
      </c>
    </row>
    <row r="42" spans="1:21" ht="13.5" customHeight="1" x14ac:dyDescent="0.3">
      <c r="A42" s="19"/>
      <c r="C42" s="31">
        <v>32</v>
      </c>
      <c r="D42" s="1" t="s">
        <v>47</v>
      </c>
      <c r="E42" s="20">
        <v>192.2</v>
      </c>
      <c r="F42" s="20">
        <v>133.6</v>
      </c>
      <c r="G42" s="20">
        <v>106.2</v>
      </c>
      <c r="I42" s="20">
        <f t="shared" si="3"/>
        <v>151.29930069930069</v>
      </c>
      <c r="J42" s="45">
        <f>(I42/'AAU 23-24'!I42)-1</f>
        <v>1.7323535052176098E-2</v>
      </c>
      <c r="K42" s="18"/>
      <c r="M42" s="38">
        <f>260+95</f>
        <v>355</v>
      </c>
      <c r="N42" s="38">
        <f>170+128</f>
        <v>298</v>
      </c>
      <c r="O42" s="38">
        <f>101+104</f>
        <v>205</v>
      </c>
      <c r="P42" s="36">
        <f t="shared" si="0"/>
        <v>68231</v>
      </c>
      <c r="Q42" s="36">
        <f t="shared" si="0"/>
        <v>39812.799999999996</v>
      </c>
      <c r="R42" s="36">
        <f t="shared" si="0"/>
        <v>21771</v>
      </c>
      <c r="S42" s="36">
        <f t="shared" si="1"/>
        <v>858</v>
      </c>
      <c r="T42" s="36">
        <f t="shared" si="2"/>
        <v>129814.79999999999</v>
      </c>
      <c r="U42" s="37">
        <f t="shared" si="4"/>
        <v>151.29930069930069</v>
      </c>
    </row>
    <row r="43" spans="1:21" ht="13.5" customHeight="1" x14ac:dyDescent="0.3">
      <c r="A43" s="19"/>
      <c r="C43" s="31">
        <v>33</v>
      </c>
      <c r="D43" s="1" t="s">
        <v>48</v>
      </c>
      <c r="E43" s="20">
        <v>214.1</v>
      </c>
      <c r="F43" s="20">
        <v>144.6</v>
      </c>
      <c r="G43" s="20">
        <v>125.4</v>
      </c>
      <c r="I43" s="20">
        <f t="shared" si="3"/>
        <v>176.73504983388705</v>
      </c>
      <c r="J43" s="45">
        <f>(I43/'AAU 23-24'!I43)-1</f>
        <v>2.4116581620877708E-2</v>
      </c>
      <c r="K43" s="18"/>
      <c r="M43" s="38">
        <f>657+288</f>
        <v>945</v>
      </c>
      <c r="N43" s="38">
        <f>257+206</f>
        <v>463</v>
      </c>
      <c r="O43" s="38">
        <f>206+192</f>
        <v>398</v>
      </c>
      <c r="P43" s="36">
        <f t="shared" si="0"/>
        <v>202324.5</v>
      </c>
      <c r="Q43" s="36">
        <f t="shared" si="0"/>
        <v>66949.8</v>
      </c>
      <c r="R43" s="36">
        <f t="shared" si="0"/>
        <v>49909.200000000004</v>
      </c>
      <c r="S43" s="36">
        <f t="shared" si="1"/>
        <v>1806</v>
      </c>
      <c r="T43" s="36">
        <f t="shared" si="2"/>
        <v>319183.5</v>
      </c>
      <c r="U43" s="37">
        <f t="shared" si="4"/>
        <v>176.73504983388705</v>
      </c>
    </row>
    <row r="44" spans="1:21" ht="13.5" customHeight="1" x14ac:dyDescent="0.3">
      <c r="A44" s="19"/>
      <c r="C44" s="31">
        <v>34</v>
      </c>
      <c r="D44" s="1" t="s">
        <v>102</v>
      </c>
      <c r="E44" s="20">
        <v>187.1</v>
      </c>
      <c r="F44" s="20">
        <v>125.2</v>
      </c>
      <c r="G44" s="20">
        <v>115.6</v>
      </c>
      <c r="I44" s="20">
        <f t="shared" si="3"/>
        <v>154.44094360086766</v>
      </c>
      <c r="J44" s="45">
        <f>(I44/'AAU 23-24'!I44)-1</f>
        <v>4.2841377205806941E-2</v>
      </c>
      <c r="K44" s="18"/>
      <c r="M44" s="38">
        <f>712+225</f>
        <v>937</v>
      </c>
      <c r="N44" s="38">
        <f>292+190</f>
        <v>482</v>
      </c>
      <c r="O44" s="38">
        <f>251+174</f>
        <v>425</v>
      </c>
      <c r="P44" s="36">
        <f t="shared" si="0"/>
        <v>175312.69999999998</v>
      </c>
      <c r="Q44" s="36">
        <f t="shared" si="0"/>
        <v>60346.400000000001</v>
      </c>
      <c r="R44" s="36">
        <f t="shared" si="0"/>
        <v>49130</v>
      </c>
      <c r="S44" s="36">
        <f t="shared" si="1"/>
        <v>1844</v>
      </c>
      <c r="T44" s="36">
        <f t="shared" si="2"/>
        <v>284789.09999999998</v>
      </c>
      <c r="U44" s="37">
        <f t="shared" si="4"/>
        <v>154.44094360086766</v>
      </c>
    </row>
    <row r="45" spans="1:21" ht="13.5" customHeight="1" x14ac:dyDescent="0.3">
      <c r="A45" s="19"/>
      <c r="C45" s="31">
        <v>35</v>
      </c>
      <c r="D45" s="1" t="s">
        <v>114</v>
      </c>
      <c r="E45" s="20">
        <v>153.19999999999999</v>
      </c>
      <c r="F45" s="20">
        <v>110.7</v>
      </c>
      <c r="G45" s="20">
        <v>100.1</v>
      </c>
      <c r="I45" s="20">
        <f t="shared" si="3"/>
        <v>124.83054577464789</v>
      </c>
      <c r="J45" s="45">
        <f>(I45/'AAU 23-24'!I45)-1</f>
        <v>1.0129992960293599E-2</v>
      </c>
      <c r="K45" s="18"/>
      <c r="M45" s="38">
        <f>319+144</f>
        <v>463</v>
      </c>
      <c r="N45" s="38">
        <f>190+141</f>
        <v>331</v>
      </c>
      <c r="O45" s="38">
        <f>185+157</f>
        <v>342</v>
      </c>
      <c r="P45" s="36">
        <f t="shared" si="0"/>
        <v>70931.599999999991</v>
      </c>
      <c r="Q45" s="36">
        <f t="shared" si="0"/>
        <v>36641.700000000004</v>
      </c>
      <c r="R45" s="36">
        <f t="shared" si="0"/>
        <v>34234.199999999997</v>
      </c>
      <c r="S45" s="36">
        <f t="shared" si="1"/>
        <v>1136</v>
      </c>
      <c r="T45" s="36">
        <f t="shared" si="2"/>
        <v>141807.5</v>
      </c>
      <c r="U45" s="37">
        <f t="shared" si="4"/>
        <v>124.83054577464789</v>
      </c>
    </row>
    <row r="46" spans="1:21" ht="13.5" customHeight="1" x14ac:dyDescent="0.3">
      <c r="A46" s="19"/>
      <c r="C46" s="31">
        <v>36</v>
      </c>
      <c r="D46" s="1" t="s">
        <v>38</v>
      </c>
      <c r="E46" s="20">
        <v>214.2</v>
      </c>
      <c r="F46" s="20">
        <v>139.5</v>
      </c>
      <c r="G46" s="20">
        <v>112</v>
      </c>
      <c r="I46" s="20">
        <f t="shared" si="3"/>
        <v>161.41333333333333</v>
      </c>
      <c r="J46" s="45">
        <f>(I46/'AAU 23-24'!I46)-1</f>
        <v>2.9641673193926632E-2</v>
      </c>
      <c r="K46" s="18"/>
      <c r="M46" s="38">
        <f>423+190</f>
        <v>613</v>
      </c>
      <c r="N46" s="38">
        <f>259+239</f>
        <v>498</v>
      </c>
      <c r="O46" s="38">
        <f>214+220</f>
        <v>434</v>
      </c>
      <c r="P46" s="36">
        <f t="shared" si="0"/>
        <v>131304.6</v>
      </c>
      <c r="Q46" s="36">
        <f t="shared" si="0"/>
        <v>69471</v>
      </c>
      <c r="R46" s="36">
        <f t="shared" si="0"/>
        <v>48608</v>
      </c>
      <c r="S46" s="36">
        <f t="shared" si="1"/>
        <v>1545</v>
      </c>
      <c r="T46" s="36">
        <f t="shared" si="2"/>
        <v>249383.6</v>
      </c>
      <c r="U46" s="37">
        <f t="shared" si="4"/>
        <v>161.41333333333333</v>
      </c>
    </row>
    <row r="47" spans="1:21" ht="13.5" customHeight="1" x14ac:dyDescent="0.3">
      <c r="A47" s="19"/>
      <c r="C47" s="31">
        <v>37</v>
      </c>
      <c r="D47" s="1" t="s">
        <v>39</v>
      </c>
      <c r="E47" s="20">
        <v>173.2</v>
      </c>
      <c r="F47" s="20">
        <v>127.2</v>
      </c>
      <c r="G47" s="20">
        <v>111.7</v>
      </c>
      <c r="I47" s="20">
        <f t="shared" si="3"/>
        <v>144.28741080530071</v>
      </c>
      <c r="J47" s="45">
        <f>(I47/'AAU 23-24'!I47)-1</f>
        <v>3.4751243700208656E-2</v>
      </c>
      <c r="K47" s="18"/>
      <c r="M47" s="38">
        <f>535+366</f>
        <v>901</v>
      </c>
      <c r="N47" s="38">
        <f>264+286</f>
        <v>550</v>
      </c>
      <c r="O47" s="38">
        <f>230+281</f>
        <v>511</v>
      </c>
      <c r="P47" s="36">
        <f t="shared" si="0"/>
        <v>156053.19999999998</v>
      </c>
      <c r="Q47" s="36">
        <f t="shared" si="0"/>
        <v>69960</v>
      </c>
      <c r="R47" s="36">
        <f t="shared" si="0"/>
        <v>57078.700000000004</v>
      </c>
      <c r="S47" s="36">
        <f t="shared" si="1"/>
        <v>1962</v>
      </c>
      <c r="T47" s="36">
        <f t="shared" si="2"/>
        <v>283091.89999999997</v>
      </c>
      <c r="U47" s="37">
        <f t="shared" si="4"/>
        <v>144.28741080530071</v>
      </c>
    </row>
    <row r="48" spans="1:21" ht="13.5" customHeight="1" x14ac:dyDescent="0.3">
      <c r="A48" s="19"/>
      <c r="C48" s="31">
        <v>38</v>
      </c>
      <c r="D48" s="1" t="s">
        <v>40</v>
      </c>
      <c r="E48" s="20">
        <v>190.1</v>
      </c>
      <c r="F48" s="20">
        <v>139.19999999999999</v>
      </c>
      <c r="G48" s="20">
        <v>114.7</v>
      </c>
      <c r="I48" s="20">
        <f t="shared" si="3"/>
        <v>157.46043727225404</v>
      </c>
      <c r="J48" s="45">
        <f>(I48/'AAU 23-24'!I48)-1</f>
        <v>3.7469447087126628E-2</v>
      </c>
      <c r="K48" s="18"/>
      <c r="M48" s="38">
        <f>623+354</f>
        <v>977</v>
      </c>
      <c r="N48" s="38">
        <f>164+182</f>
        <v>346</v>
      </c>
      <c r="O48" s="38">
        <f>286+312</f>
        <v>598</v>
      </c>
      <c r="P48" s="36">
        <f t="shared" si="0"/>
        <v>185727.69999999998</v>
      </c>
      <c r="Q48" s="36">
        <f t="shared" si="0"/>
        <v>48163.199999999997</v>
      </c>
      <c r="R48" s="36">
        <f t="shared" si="0"/>
        <v>68590.600000000006</v>
      </c>
      <c r="S48" s="36">
        <f t="shared" si="1"/>
        <v>1921</v>
      </c>
      <c r="T48" s="36">
        <f t="shared" si="2"/>
        <v>302481.5</v>
      </c>
      <c r="U48" s="37">
        <f t="shared" si="4"/>
        <v>157.46043727225404</v>
      </c>
    </row>
    <row r="49" spans="1:21" ht="13.5" customHeight="1" x14ac:dyDescent="0.3">
      <c r="A49" s="19"/>
      <c r="K49" s="18"/>
    </row>
    <row r="50" spans="1:21" ht="13.5" customHeight="1" x14ac:dyDescent="0.3">
      <c r="A50" s="19"/>
      <c r="D50" s="44" t="s">
        <v>54</v>
      </c>
      <c r="E50" s="41">
        <f>P50/M50</f>
        <v>189.48095039124817</v>
      </c>
      <c r="F50" s="41">
        <f t="shared" ref="F50:G50" si="5">Q50/N50</f>
        <v>126.37373241145073</v>
      </c>
      <c r="G50" s="41">
        <f t="shared" si="5"/>
        <v>108.29548918387412</v>
      </c>
      <c r="H50" s="40"/>
      <c r="I50" s="41">
        <f>U50</f>
        <v>149.51274075077004</v>
      </c>
      <c r="J50" s="46">
        <f>(I50/'AAU 23-24'!I50)-1</f>
        <v>3.3466552558816254E-2</v>
      </c>
      <c r="K50" s="18"/>
      <c r="M50" s="39">
        <f t="shared" ref="M50:R50" si="6">SUM(M11:M48)</f>
        <v>26326</v>
      </c>
      <c r="N50" s="39">
        <f t="shared" si="6"/>
        <v>16488</v>
      </c>
      <c r="O50" s="39">
        <f t="shared" si="6"/>
        <v>16272</v>
      </c>
      <c r="P50" s="39">
        <f t="shared" si="6"/>
        <v>4988275.4999999991</v>
      </c>
      <c r="Q50" s="39">
        <f t="shared" si="6"/>
        <v>2083650.0999999996</v>
      </c>
      <c r="R50" s="39">
        <f t="shared" si="6"/>
        <v>1762184.1999999997</v>
      </c>
      <c r="S50" s="36">
        <f>M50+N50+O50</f>
        <v>59086</v>
      </c>
      <c r="T50" s="36">
        <f>P50+Q50+R50</f>
        <v>8834109.7999999989</v>
      </c>
      <c r="U50" s="37">
        <f>T50/S50</f>
        <v>149.51274075077004</v>
      </c>
    </row>
    <row r="51" spans="1:21" ht="13.5" customHeight="1" x14ac:dyDescent="0.3">
      <c r="A51" s="19"/>
      <c r="D51" s="44" t="s">
        <v>55</v>
      </c>
      <c r="E51" s="41">
        <f>MEDIAN(E11:E48)</f>
        <v>181.8</v>
      </c>
      <c r="F51" s="41">
        <f>MEDIAN(F11:F48)</f>
        <v>125.15</v>
      </c>
      <c r="G51" s="41">
        <f>MEDIAN(G11:G48)</f>
        <v>111.85</v>
      </c>
      <c r="H51" s="40"/>
      <c r="I51" s="41">
        <f>MEDIAN(I11:I48)</f>
        <v>145.96232710353013</v>
      </c>
      <c r="J51" s="46">
        <f>(I51/'AAU 23-24'!I51)-1</f>
        <v>3.337668085353318E-2</v>
      </c>
      <c r="K51" s="18"/>
    </row>
    <row r="52" spans="1:21" ht="13.5" customHeight="1" x14ac:dyDescent="0.3">
      <c r="A52" s="19"/>
      <c r="B52" s="22"/>
      <c r="C52" s="33"/>
      <c r="D52" s="22"/>
      <c r="E52" s="22"/>
      <c r="F52" s="22"/>
      <c r="G52" s="22"/>
      <c r="H52" s="22"/>
      <c r="I52" s="22"/>
      <c r="J52" s="22"/>
      <c r="K52" s="18"/>
    </row>
    <row r="53" spans="1:21" ht="13.5" customHeight="1" x14ac:dyDescent="0.3">
      <c r="A53" s="19"/>
      <c r="K53" s="18"/>
    </row>
    <row r="54" spans="1:21" ht="13.5" customHeight="1" x14ac:dyDescent="0.3">
      <c r="A54" s="19"/>
      <c r="B54" s="16" t="s">
        <v>58</v>
      </c>
      <c r="K54" s="18"/>
    </row>
    <row r="55" spans="1:21" ht="13.5" customHeight="1" x14ac:dyDescent="0.3">
      <c r="A55" s="19"/>
      <c r="K55" s="18"/>
    </row>
    <row r="56" spans="1:21" ht="13.5" customHeight="1" x14ac:dyDescent="0.3">
      <c r="A56" s="21"/>
      <c r="B56" s="42" t="s">
        <v>56</v>
      </c>
      <c r="C56" s="33"/>
      <c r="D56" s="22"/>
      <c r="E56" s="22"/>
      <c r="F56" s="22"/>
      <c r="G56" s="22"/>
      <c r="H56" s="22"/>
      <c r="I56" s="22"/>
      <c r="J56" s="43" t="s">
        <v>130</v>
      </c>
      <c r="K56" s="23"/>
    </row>
  </sheetData>
  <mergeCells count="2">
    <mergeCell ref="A2:K2"/>
    <mergeCell ref="D7:I7"/>
  </mergeCells>
  <printOptions horizontalCentered="1"/>
  <pageMargins left="0.7" right="0.45" top="0.5" bottom="0.2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5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98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124.5</v>
      </c>
      <c r="F11" s="20">
        <v>86.9</v>
      </c>
      <c r="G11" s="20">
        <v>76.400000000000006</v>
      </c>
      <c r="I11" s="20">
        <f>U11</f>
        <v>100.94558404558406</v>
      </c>
      <c r="J11" s="45">
        <f>(I11/'AAU 14-15'!I11)-1</f>
        <v>1.2180378087160548E-2</v>
      </c>
      <c r="K11" s="18"/>
      <c r="M11" s="38">
        <f>438+187</f>
        <v>625</v>
      </c>
      <c r="N11" s="38">
        <f>250+169</f>
        <v>419</v>
      </c>
      <c r="O11" s="38">
        <f>181+179</f>
        <v>360</v>
      </c>
      <c r="P11" s="36">
        <f t="shared" ref="P11:R44" si="0">E11*M11</f>
        <v>77812.5</v>
      </c>
      <c r="Q11" s="36">
        <f t="shared" si="0"/>
        <v>36411.100000000006</v>
      </c>
      <c r="R11" s="36">
        <f t="shared" si="0"/>
        <v>27504.000000000004</v>
      </c>
      <c r="S11" s="36">
        <f t="shared" ref="S11:S44" si="1">M11+N11+O11</f>
        <v>1404</v>
      </c>
      <c r="T11" s="36">
        <f t="shared" ref="T11:T44" si="2">P11+Q11+R11</f>
        <v>141727.6</v>
      </c>
      <c r="U11" s="37">
        <f>T11/S11</f>
        <v>100.94558404558406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178.9</v>
      </c>
      <c r="F12" s="20">
        <v>115.9</v>
      </c>
      <c r="G12" s="20">
        <v>109.5</v>
      </c>
      <c r="I12" s="20">
        <f t="shared" ref="I12:I44" si="3">U12</f>
        <v>153.03277192982458</v>
      </c>
      <c r="J12" s="45">
        <f>(I12/'AAU 14-15'!I12)-1</f>
        <v>2.9890829212017467E-2</v>
      </c>
      <c r="K12" s="18"/>
      <c r="M12" s="38">
        <f>635+230</f>
        <v>865</v>
      </c>
      <c r="N12" s="38">
        <f>175+138</f>
        <v>313</v>
      </c>
      <c r="O12" s="38">
        <f>162+85</f>
        <v>247</v>
      </c>
      <c r="P12" s="36">
        <f>E12*M12</f>
        <v>154748.5</v>
      </c>
      <c r="Q12" s="36">
        <f t="shared" si="0"/>
        <v>36276.700000000004</v>
      </c>
      <c r="R12" s="36">
        <f>G12*O12</f>
        <v>27046.5</v>
      </c>
      <c r="S12" s="36">
        <f>M12+N12+O12</f>
        <v>1425</v>
      </c>
      <c r="T12" s="36">
        <f>P12+Q12+R12</f>
        <v>218071.7</v>
      </c>
      <c r="U12" s="37">
        <f t="shared" ref="U12:U44" si="4">T12/S12</f>
        <v>153.03277192982458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151.4</v>
      </c>
      <c r="F13" s="20">
        <v>105</v>
      </c>
      <c r="G13" s="20">
        <v>89.3</v>
      </c>
      <c r="I13" s="20">
        <f t="shared" si="3"/>
        <v>130.27219662058371</v>
      </c>
      <c r="J13" s="45">
        <f>(I13/'AAU 14-15'!I13)-1</f>
        <v>4.594592230790262E-2</v>
      </c>
      <c r="K13" s="18"/>
      <c r="M13" s="38">
        <f>568+221</f>
        <v>789</v>
      </c>
      <c r="N13" s="38">
        <f>147+130</f>
        <v>277</v>
      </c>
      <c r="O13" s="38">
        <f>122+114</f>
        <v>236</v>
      </c>
      <c r="P13" s="36">
        <f t="shared" si="0"/>
        <v>119454.6</v>
      </c>
      <c r="Q13" s="36">
        <f t="shared" si="0"/>
        <v>29085</v>
      </c>
      <c r="R13" s="36">
        <f t="shared" si="0"/>
        <v>21074.799999999999</v>
      </c>
      <c r="S13" s="36">
        <f t="shared" si="1"/>
        <v>1302</v>
      </c>
      <c r="T13" s="36">
        <f t="shared" si="2"/>
        <v>169614.4</v>
      </c>
      <c r="U13" s="37">
        <f t="shared" si="4"/>
        <v>130.27219662058371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159.4</v>
      </c>
      <c r="F14" s="20">
        <v>101.7</v>
      </c>
      <c r="G14" s="20">
        <v>90.7</v>
      </c>
      <c r="I14" s="20">
        <f t="shared" si="3"/>
        <v>132.28692468619246</v>
      </c>
      <c r="J14" s="45">
        <f>(I14/'AAU 14-15'!I14)-1</f>
        <v>4.7315776572162349E-2</v>
      </c>
      <c r="K14" s="18"/>
      <c r="M14" s="38">
        <f>400+143</f>
        <v>543</v>
      </c>
      <c r="N14" s="38">
        <f>116+107</f>
        <v>223</v>
      </c>
      <c r="O14" s="38">
        <f>104+86</f>
        <v>190</v>
      </c>
      <c r="P14" s="36">
        <f t="shared" si="0"/>
        <v>86554.2</v>
      </c>
      <c r="Q14" s="36">
        <f t="shared" si="0"/>
        <v>22679.100000000002</v>
      </c>
      <c r="R14" s="36">
        <f t="shared" si="0"/>
        <v>17233</v>
      </c>
      <c r="S14" s="36">
        <f t="shared" si="1"/>
        <v>956</v>
      </c>
      <c r="T14" s="36">
        <f t="shared" si="2"/>
        <v>126466.3</v>
      </c>
      <c r="U14" s="37">
        <f t="shared" si="4"/>
        <v>132.28692468619246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187.8</v>
      </c>
      <c r="F15" s="20">
        <v>122.6</v>
      </c>
      <c r="G15" s="20">
        <v>97.9</v>
      </c>
      <c r="I15" s="20">
        <f t="shared" si="3"/>
        <v>161.54493150684934</v>
      </c>
      <c r="J15" s="45">
        <f>(I15/'AAU 14-15'!I15)-1</f>
        <v>4.2516559348361627E-2</v>
      </c>
      <c r="K15" s="18"/>
      <c r="M15" s="38">
        <f>683+280</f>
        <v>963</v>
      </c>
      <c r="N15" s="38">
        <f>139+118</f>
        <v>257</v>
      </c>
      <c r="O15" s="38">
        <f>156+84</f>
        <v>240</v>
      </c>
      <c r="P15" s="36">
        <f t="shared" si="0"/>
        <v>180851.40000000002</v>
      </c>
      <c r="Q15" s="36">
        <f t="shared" si="0"/>
        <v>31508.199999999997</v>
      </c>
      <c r="R15" s="36">
        <f t="shared" si="0"/>
        <v>23496</v>
      </c>
      <c r="S15" s="36">
        <f t="shared" si="1"/>
        <v>1460</v>
      </c>
      <c r="T15" s="36">
        <f t="shared" si="2"/>
        <v>235855.60000000003</v>
      </c>
      <c r="U15" s="37">
        <f t="shared" si="4"/>
        <v>161.54493150684934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159.80000000000001</v>
      </c>
      <c r="F16" s="20">
        <v>108</v>
      </c>
      <c r="G16" s="20">
        <v>92.3</v>
      </c>
      <c r="I16" s="20">
        <f t="shared" si="3"/>
        <v>136.95645514223196</v>
      </c>
      <c r="J16" s="45">
        <f>(I16/'AAU 14-15'!I16)-1</f>
        <v>4.0577789795623653E-2</v>
      </c>
      <c r="K16" s="18"/>
      <c r="M16" s="38">
        <f>453+104</f>
        <v>557</v>
      </c>
      <c r="N16" s="38">
        <f>129+76</f>
        <v>205</v>
      </c>
      <c r="O16" s="38">
        <f>86+66</f>
        <v>152</v>
      </c>
      <c r="P16" s="36">
        <f t="shared" si="0"/>
        <v>89008.6</v>
      </c>
      <c r="Q16" s="36">
        <f t="shared" si="0"/>
        <v>22140</v>
      </c>
      <c r="R16" s="36">
        <f t="shared" si="0"/>
        <v>14029.6</v>
      </c>
      <c r="S16" s="36">
        <f t="shared" si="1"/>
        <v>914</v>
      </c>
      <c r="T16" s="36">
        <f t="shared" si="2"/>
        <v>125178.20000000001</v>
      </c>
      <c r="U16" s="37">
        <f t="shared" si="4"/>
        <v>136.95645514223196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161.30000000000001</v>
      </c>
      <c r="F17" s="20">
        <v>100.2</v>
      </c>
      <c r="G17" s="20">
        <v>85.7</v>
      </c>
      <c r="I17" s="20">
        <f t="shared" si="3"/>
        <v>137.92305732484078</v>
      </c>
      <c r="J17" s="45">
        <f>(I17/'AAU 14-15'!I17)-1</f>
        <v>4.988939392620706E-2</v>
      </c>
      <c r="K17" s="18"/>
      <c r="M17" s="38">
        <f>365+146</f>
        <v>511</v>
      </c>
      <c r="N17" s="38">
        <f>92+71</f>
        <v>163</v>
      </c>
      <c r="O17" s="38">
        <f>59+52</f>
        <v>111</v>
      </c>
      <c r="P17" s="36">
        <f t="shared" si="0"/>
        <v>82424.3</v>
      </c>
      <c r="Q17" s="36">
        <f t="shared" si="0"/>
        <v>16332.6</v>
      </c>
      <c r="R17" s="36">
        <f t="shared" si="0"/>
        <v>9512.7000000000007</v>
      </c>
      <c r="S17" s="36">
        <f t="shared" si="1"/>
        <v>785</v>
      </c>
      <c r="T17" s="36">
        <f t="shared" si="2"/>
        <v>108269.6</v>
      </c>
      <c r="U17" s="37">
        <f t="shared" si="4"/>
        <v>137.92305732484078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134.4</v>
      </c>
      <c r="F18" s="20">
        <v>96.4</v>
      </c>
      <c r="G18" s="20">
        <v>87.5</v>
      </c>
      <c r="I18" s="20">
        <f t="shared" si="3"/>
        <v>110.25159474671671</v>
      </c>
      <c r="J18" s="45">
        <f>(I18/'AAU 14-15'!I18)-1</f>
        <v>1.8561521857852314E-2</v>
      </c>
      <c r="K18" s="18"/>
      <c r="M18" s="38">
        <f>339+110</f>
        <v>449</v>
      </c>
      <c r="N18" s="38">
        <f>217+142</f>
        <v>359</v>
      </c>
      <c r="O18" s="39">
        <f>157+101</f>
        <v>258</v>
      </c>
      <c r="P18" s="36">
        <f t="shared" si="0"/>
        <v>60345.600000000006</v>
      </c>
      <c r="Q18" s="36">
        <f t="shared" si="0"/>
        <v>34607.599999999999</v>
      </c>
      <c r="R18" s="36">
        <f t="shared" si="0"/>
        <v>22575</v>
      </c>
      <c r="S18" s="36">
        <f t="shared" si="1"/>
        <v>1066</v>
      </c>
      <c r="T18" s="36">
        <f t="shared" si="2"/>
        <v>117528.20000000001</v>
      </c>
      <c r="U18" s="37">
        <f t="shared" si="4"/>
        <v>110.25159474671671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133.9</v>
      </c>
      <c r="F19" s="20">
        <v>89.3</v>
      </c>
      <c r="G19" s="20">
        <v>79.099999999999994</v>
      </c>
      <c r="I19" s="20">
        <f t="shared" si="3"/>
        <v>106.12822440717179</v>
      </c>
      <c r="J19" s="45">
        <f>(I19/'AAU 14-15'!I19)-1</f>
        <v>6.8502867558519753E-3</v>
      </c>
      <c r="K19" s="18"/>
      <c r="M19" s="38">
        <f>573+172</f>
        <v>745</v>
      </c>
      <c r="N19" s="38">
        <f>361+218</f>
        <v>579</v>
      </c>
      <c r="O19" s="38">
        <f>206+199</f>
        <v>405</v>
      </c>
      <c r="P19" s="36">
        <f t="shared" si="0"/>
        <v>99755.5</v>
      </c>
      <c r="Q19" s="36">
        <f t="shared" si="0"/>
        <v>51704.7</v>
      </c>
      <c r="R19" s="36">
        <f t="shared" si="0"/>
        <v>32035.499999999996</v>
      </c>
      <c r="S19" s="36">
        <f t="shared" si="1"/>
        <v>1729</v>
      </c>
      <c r="T19" s="36">
        <f t="shared" si="2"/>
        <v>183495.7</v>
      </c>
      <c r="U19" s="37">
        <f t="shared" si="4"/>
        <v>106.12822440717179</v>
      </c>
    </row>
    <row r="20" spans="1:21" ht="13.5" customHeight="1" x14ac:dyDescent="0.3">
      <c r="A20" s="19"/>
      <c r="C20" s="31">
        <v>10</v>
      </c>
      <c r="D20" s="1" t="s">
        <v>20</v>
      </c>
      <c r="E20" s="20">
        <v>154.4</v>
      </c>
      <c r="F20" s="20">
        <v>107</v>
      </c>
      <c r="G20" s="20">
        <v>99.5</v>
      </c>
      <c r="I20" s="20">
        <f t="shared" si="3"/>
        <v>127.97035830618893</v>
      </c>
      <c r="J20" s="45">
        <f>(I20/'AAU 14-15'!I20)-1</f>
        <v>2.3809795676902556E-2</v>
      </c>
      <c r="K20" s="18"/>
      <c r="M20" s="38">
        <f>369+69</f>
        <v>438</v>
      </c>
      <c r="N20" s="38">
        <f>219+71</f>
        <v>290</v>
      </c>
      <c r="O20" s="38">
        <f>133+60</f>
        <v>193</v>
      </c>
      <c r="P20" s="36">
        <f t="shared" si="0"/>
        <v>67627.199999999997</v>
      </c>
      <c r="Q20" s="36">
        <f t="shared" si="0"/>
        <v>31030</v>
      </c>
      <c r="R20" s="36">
        <f t="shared" si="0"/>
        <v>19203.5</v>
      </c>
      <c r="S20" s="36">
        <f t="shared" si="1"/>
        <v>921</v>
      </c>
      <c r="T20" s="36">
        <f t="shared" si="2"/>
        <v>117860.7</v>
      </c>
      <c r="U20" s="37">
        <f t="shared" si="4"/>
        <v>127.97035830618893</v>
      </c>
    </row>
    <row r="21" spans="1:21" ht="13.5" customHeight="1" x14ac:dyDescent="0.3">
      <c r="A21" s="19"/>
      <c r="C21" s="31">
        <v>11</v>
      </c>
      <c r="D21" s="1" t="s">
        <v>21</v>
      </c>
      <c r="E21" s="20">
        <v>148</v>
      </c>
      <c r="F21" s="20">
        <v>99.5</v>
      </c>
      <c r="G21" s="20">
        <v>91.3</v>
      </c>
      <c r="I21" s="20">
        <f t="shared" si="3"/>
        <v>118.98927801724139</v>
      </c>
      <c r="J21" s="45">
        <f>(I21/'AAU 14-15'!I21)-1</f>
        <v>-4.4268827612802264E-3</v>
      </c>
      <c r="K21" s="18"/>
      <c r="M21" s="38">
        <f>628+201</f>
        <v>829</v>
      </c>
      <c r="N21" s="38">
        <f>324+211</f>
        <v>535</v>
      </c>
      <c r="O21" s="38">
        <f>278+214</f>
        <v>492</v>
      </c>
      <c r="P21" s="36">
        <f t="shared" si="0"/>
        <v>122692</v>
      </c>
      <c r="Q21" s="36">
        <f t="shared" si="0"/>
        <v>53232.5</v>
      </c>
      <c r="R21" s="36">
        <f t="shared" si="0"/>
        <v>44919.6</v>
      </c>
      <c r="S21" s="36">
        <f t="shared" si="1"/>
        <v>1856</v>
      </c>
      <c r="T21" s="36">
        <f t="shared" si="2"/>
        <v>220844.1</v>
      </c>
      <c r="U21" s="37">
        <f t="shared" si="4"/>
        <v>118.98927801724139</v>
      </c>
    </row>
    <row r="22" spans="1:21" ht="13.5" customHeight="1" x14ac:dyDescent="0.3">
      <c r="A22" s="19"/>
      <c r="C22" s="31">
        <v>12</v>
      </c>
      <c r="D22" s="1" t="s">
        <v>22</v>
      </c>
      <c r="E22" s="20">
        <v>138.80000000000001</v>
      </c>
      <c r="F22" s="20">
        <v>94.1</v>
      </c>
      <c r="G22" s="20">
        <v>91.8</v>
      </c>
      <c r="I22" s="20">
        <f t="shared" si="3"/>
        <v>113.39814323607429</v>
      </c>
      <c r="J22" s="45">
        <f>(I22/'AAU 14-15'!I22)-1</f>
        <v>3.0218403357648027E-2</v>
      </c>
      <c r="K22" s="18"/>
      <c r="M22" s="38">
        <f>495+174</f>
        <v>669</v>
      </c>
      <c r="N22" s="38">
        <f>270+220</f>
        <v>490</v>
      </c>
      <c r="O22" s="38">
        <f>196+153</f>
        <v>349</v>
      </c>
      <c r="P22" s="36">
        <f t="shared" si="0"/>
        <v>92857.200000000012</v>
      </c>
      <c r="Q22" s="36">
        <f t="shared" si="0"/>
        <v>46109</v>
      </c>
      <c r="R22" s="36">
        <f t="shared" si="0"/>
        <v>32038.2</v>
      </c>
      <c r="S22" s="36">
        <f t="shared" si="1"/>
        <v>1508</v>
      </c>
      <c r="T22" s="36">
        <f t="shared" si="2"/>
        <v>171004.40000000002</v>
      </c>
      <c r="U22" s="37">
        <f t="shared" si="4"/>
        <v>113.39814323607429</v>
      </c>
    </row>
    <row r="23" spans="1:21" ht="13.5" customHeight="1" x14ac:dyDescent="0.3">
      <c r="A23" s="19"/>
      <c r="C23" s="31">
        <v>13</v>
      </c>
      <c r="D23" s="1" t="s">
        <v>23</v>
      </c>
      <c r="E23" s="20">
        <v>136.80000000000001</v>
      </c>
      <c r="F23" s="20">
        <v>93.4</v>
      </c>
      <c r="G23" s="20">
        <v>83.8</v>
      </c>
      <c r="I23" s="20">
        <f t="shared" si="3"/>
        <v>108.36756287944495</v>
      </c>
      <c r="J23" s="45">
        <f>(I23/'AAU 14-15'!I23)-1</f>
        <v>2.1240044538081371E-2</v>
      </c>
      <c r="K23" s="18"/>
      <c r="M23" s="38">
        <f>343+121</f>
        <v>464</v>
      </c>
      <c r="N23" s="38">
        <f>214+175</f>
        <v>389</v>
      </c>
      <c r="O23" s="38">
        <f>159+141</f>
        <v>300</v>
      </c>
      <c r="P23" s="36">
        <f t="shared" si="0"/>
        <v>63475.200000000004</v>
      </c>
      <c r="Q23" s="36">
        <f t="shared" si="0"/>
        <v>36332.600000000006</v>
      </c>
      <c r="R23" s="36">
        <f t="shared" si="0"/>
        <v>25140</v>
      </c>
      <c r="S23" s="36">
        <f t="shared" si="1"/>
        <v>1153</v>
      </c>
      <c r="T23" s="36">
        <f t="shared" si="2"/>
        <v>124947.80000000002</v>
      </c>
      <c r="U23" s="37">
        <f t="shared" si="4"/>
        <v>108.36756287944495</v>
      </c>
    </row>
    <row r="24" spans="1:21" ht="13.5" customHeight="1" x14ac:dyDescent="0.3">
      <c r="A24" s="19"/>
      <c r="C24" s="31">
        <v>14</v>
      </c>
      <c r="D24" s="1" t="s">
        <v>24</v>
      </c>
      <c r="E24" s="20">
        <v>126.7</v>
      </c>
      <c r="F24" s="20">
        <v>92.4</v>
      </c>
      <c r="G24" s="20">
        <v>82</v>
      </c>
      <c r="I24" s="20">
        <f t="shared" si="3"/>
        <v>102.83169276659211</v>
      </c>
      <c r="J24" s="45">
        <f>(I24/'AAU 14-15'!I24)-1</f>
        <v>-5.6113536323765256E-4</v>
      </c>
      <c r="K24" s="18"/>
      <c r="M24" s="38">
        <f>420+107</f>
        <v>527</v>
      </c>
      <c r="N24" s="38">
        <f>274+147</f>
        <v>421</v>
      </c>
      <c r="O24" s="38">
        <f>213+180</f>
        <v>393</v>
      </c>
      <c r="P24" s="36">
        <f t="shared" si="0"/>
        <v>66770.900000000009</v>
      </c>
      <c r="Q24" s="36">
        <f t="shared" si="0"/>
        <v>38900.400000000001</v>
      </c>
      <c r="R24" s="36">
        <f t="shared" si="0"/>
        <v>32226</v>
      </c>
      <c r="S24" s="36">
        <f t="shared" si="1"/>
        <v>1341</v>
      </c>
      <c r="T24" s="36">
        <f t="shared" si="2"/>
        <v>137897.30000000002</v>
      </c>
      <c r="U24" s="37">
        <f t="shared" si="4"/>
        <v>102.83169276659211</v>
      </c>
    </row>
    <row r="25" spans="1:21" ht="13.5" customHeight="1" x14ac:dyDescent="0.3">
      <c r="A25" s="19"/>
      <c r="C25" s="31">
        <v>15</v>
      </c>
      <c r="D25" s="1" t="s">
        <v>25</v>
      </c>
      <c r="E25" s="20">
        <v>126</v>
      </c>
      <c r="F25" s="20">
        <v>82.6</v>
      </c>
      <c r="G25" s="20">
        <v>76.8</v>
      </c>
      <c r="I25" s="20">
        <f t="shared" si="3"/>
        <v>99.117771373679147</v>
      </c>
      <c r="J25" s="45">
        <f>(I25/'AAU 14-15'!I25)-1</f>
        <v>8.9371670814795134E-3</v>
      </c>
      <c r="K25" s="18"/>
      <c r="M25" s="38">
        <f>320+106</f>
        <v>426</v>
      </c>
      <c r="N25" s="38">
        <f>225+167</f>
        <v>392</v>
      </c>
      <c r="O25" s="38">
        <f>134+89</f>
        <v>223</v>
      </c>
      <c r="P25" s="36">
        <f t="shared" si="0"/>
        <v>53676</v>
      </c>
      <c r="Q25" s="36">
        <f t="shared" si="0"/>
        <v>32379.199999999997</v>
      </c>
      <c r="R25" s="36">
        <f t="shared" si="0"/>
        <v>17126.399999999998</v>
      </c>
      <c r="S25" s="36">
        <f t="shared" si="1"/>
        <v>1041</v>
      </c>
      <c r="T25" s="36">
        <f t="shared" si="2"/>
        <v>103181.59999999999</v>
      </c>
      <c r="U25" s="37">
        <f t="shared" si="4"/>
        <v>99.117771373679147</v>
      </c>
    </row>
    <row r="26" spans="1:21" ht="13.5" customHeight="1" x14ac:dyDescent="0.3">
      <c r="A26" s="19"/>
      <c r="C26" s="31">
        <v>16</v>
      </c>
      <c r="D26" s="1" t="s">
        <v>26</v>
      </c>
      <c r="E26" s="20">
        <v>154.5</v>
      </c>
      <c r="F26" s="20">
        <v>106.6</v>
      </c>
      <c r="G26" s="20">
        <v>89.7</v>
      </c>
      <c r="I26" s="20">
        <f t="shared" ref="I26" si="5">U26</f>
        <v>124.15187870797627</v>
      </c>
      <c r="J26" s="45">
        <f>(I26/'AAU 14-15'!I26)-1</f>
        <v>-1.1207008753679304E-2</v>
      </c>
      <c r="K26" s="18"/>
      <c r="M26" s="38">
        <f>520+171</f>
        <v>691</v>
      </c>
      <c r="N26" s="38">
        <f>278+165</f>
        <v>443</v>
      </c>
      <c r="O26" s="38">
        <f>198+185</f>
        <v>383</v>
      </c>
      <c r="P26" s="36">
        <f t="shared" si="0"/>
        <v>106759.5</v>
      </c>
      <c r="Q26" s="36">
        <f t="shared" si="0"/>
        <v>47223.799999999996</v>
      </c>
      <c r="R26" s="36">
        <f t="shared" si="0"/>
        <v>34355.1</v>
      </c>
      <c r="S26" s="36">
        <f t="shared" si="1"/>
        <v>1517</v>
      </c>
      <c r="T26" s="36">
        <f t="shared" si="2"/>
        <v>188338.4</v>
      </c>
      <c r="U26" s="37">
        <f t="shared" si="4"/>
        <v>124.15187870797627</v>
      </c>
    </row>
    <row r="27" spans="1:21" ht="13.5" customHeight="1" x14ac:dyDescent="0.3">
      <c r="A27" s="19"/>
      <c r="C27" s="31">
        <v>17</v>
      </c>
      <c r="D27" s="1" t="s">
        <v>27</v>
      </c>
      <c r="E27" s="20">
        <v>164.8</v>
      </c>
      <c r="F27" s="20">
        <v>109.2</v>
      </c>
      <c r="G27" s="20">
        <v>92.2</v>
      </c>
      <c r="I27" s="20">
        <f t="shared" si="3"/>
        <v>132.42514489522958</v>
      </c>
      <c r="J27" s="45">
        <f>(I27/'AAU 14-15'!I27)-1</f>
        <v>2.1519026046188383E-2</v>
      </c>
      <c r="K27" s="18"/>
      <c r="M27" s="38">
        <f>798+312</f>
        <v>1110</v>
      </c>
      <c r="N27" s="38">
        <f>326+241</f>
        <v>567</v>
      </c>
      <c r="O27" s="38">
        <f>293+273</f>
        <v>566</v>
      </c>
      <c r="P27" s="36">
        <f t="shared" si="0"/>
        <v>182928</v>
      </c>
      <c r="Q27" s="36">
        <f t="shared" si="0"/>
        <v>61916.4</v>
      </c>
      <c r="R27" s="36">
        <f t="shared" si="0"/>
        <v>52185.200000000004</v>
      </c>
      <c r="S27" s="36">
        <f t="shared" si="1"/>
        <v>2243</v>
      </c>
      <c r="T27" s="36">
        <f t="shared" si="2"/>
        <v>297029.59999999998</v>
      </c>
      <c r="U27" s="37">
        <f t="shared" si="4"/>
        <v>132.42514489522958</v>
      </c>
    </row>
    <row r="28" spans="1:21" ht="13.5" customHeight="1" x14ac:dyDescent="0.3">
      <c r="A28" s="19"/>
      <c r="C28" s="31">
        <v>18</v>
      </c>
      <c r="D28" s="1" t="s">
        <v>28</v>
      </c>
      <c r="E28" s="20">
        <v>145.4</v>
      </c>
      <c r="F28" s="20">
        <v>97.2</v>
      </c>
      <c r="G28" s="20">
        <v>76.599999999999994</v>
      </c>
      <c r="I28" s="20">
        <f t="shared" si="3"/>
        <v>110.38039024390244</v>
      </c>
      <c r="J28" s="45">
        <f>(I28/'AAU 14-15'!I28)-1</f>
        <v>4.1376794501216452E-2</v>
      </c>
      <c r="K28" s="18"/>
      <c r="M28" s="38">
        <f>623+197</f>
        <v>820</v>
      </c>
      <c r="N28" s="38">
        <f>362+261</f>
        <v>623</v>
      </c>
      <c r="O28" s="38">
        <f>315+292</f>
        <v>607</v>
      </c>
      <c r="P28" s="36">
        <f t="shared" si="0"/>
        <v>119228</v>
      </c>
      <c r="Q28" s="36">
        <f t="shared" si="0"/>
        <v>60555.6</v>
      </c>
      <c r="R28" s="36">
        <f t="shared" si="0"/>
        <v>46496.2</v>
      </c>
      <c r="S28" s="36">
        <f t="shared" si="1"/>
        <v>2050</v>
      </c>
      <c r="T28" s="36">
        <f t="shared" si="2"/>
        <v>226279.8</v>
      </c>
      <c r="U28" s="37">
        <f t="shared" si="4"/>
        <v>110.38039024390244</v>
      </c>
    </row>
    <row r="29" spans="1:21" ht="13.5" customHeight="1" x14ac:dyDescent="0.3">
      <c r="A29" s="19"/>
      <c r="C29" s="31">
        <v>19</v>
      </c>
      <c r="D29" s="1" t="s">
        <v>29</v>
      </c>
      <c r="E29" s="20">
        <v>138</v>
      </c>
      <c r="F29" s="20">
        <v>95.8</v>
      </c>
      <c r="G29" s="20">
        <v>85.8</v>
      </c>
      <c r="I29" s="20">
        <f t="shared" si="3"/>
        <v>112.13911386374464</v>
      </c>
      <c r="J29" s="45">
        <f>(I29/'AAU 14-15'!I29)-1</f>
        <v>3.3187362987641356E-2</v>
      </c>
      <c r="K29" s="18"/>
      <c r="M29" s="38">
        <f>676+263</f>
        <v>939</v>
      </c>
      <c r="N29" s="38">
        <f>358+269</f>
        <v>627</v>
      </c>
      <c r="O29" s="38">
        <f>283+250</f>
        <v>533</v>
      </c>
      <c r="P29" s="36">
        <f t="shared" si="0"/>
        <v>129582</v>
      </c>
      <c r="Q29" s="36">
        <f t="shared" si="0"/>
        <v>60066.6</v>
      </c>
      <c r="R29" s="36">
        <f t="shared" si="0"/>
        <v>45731.4</v>
      </c>
      <c r="S29" s="36">
        <f t="shared" si="1"/>
        <v>2099</v>
      </c>
      <c r="T29" s="36">
        <f t="shared" si="2"/>
        <v>235380</v>
      </c>
      <c r="U29" s="37">
        <f t="shared" si="4"/>
        <v>112.13911386374464</v>
      </c>
    </row>
    <row r="30" spans="1:21" ht="13.5" customHeight="1" x14ac:dyDescent="0.3">
      <c r="A30" s="19"/>
      <c r="C30" s="31">
        <v>20</v>
      </c>
      <c r="D30" s="24" t="s">
        <v>30</v>
      </c>
      <c r="E30" s="25">
        <v>123</v>
      </c>
      <c r="F30" s="25">
        <v>80.8</v>
      </c>
      <c r="G30" s="25">
        <v>69.599999999999994</v>
      </c>
      <c r="H30" s="24"/>
      <c r="I30" s="25">
        <f t="shared" si="3"/>
        <v>90.650643776824026</v>
      </c>
      <c r="J30" s="47">
        <f>(I30/'AAU 14-15'!I30)-1</f>
        <v>-9.423680660861633E-4</v>
      </c>
      <c r="K30" s="18"/>
      <c r="M30" s="38">
        <f>267+105</f>
        <v>372</v>
      </c>
      <c r="N30" s="38">
        <f>241+175</f>
        <v>416</v>
      </c>
      <c r="O30" s="38">
        <f>178+199</f>
        <v>377</v>
      </c>
      <c r="P30" s="36">
        <f t="shared" si="0"/>
        <v>45756</v>
      </c>
      <c r="Q30" s="36">
        <f t="shared" si="0"/>
        <v>33612.799999999996</v>
      </c>
      <c r="R30" s="36">
        <f t="shared" si="0"/>
        <v>26239.199999999997</v>
      </c>
      <c r="S30" s="36">
        <f t="shared" si="1"/>
        <v>1165</v>
      </c>
      <c r="T30" s="36">
        <f t="shared" si="2"/>
        <v>105607.99999999999</v>
      </c>
      <c r="U30" s="37">
        <f t="shared" si="4"/>
        <v>90.650643776824026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150.6</v>
      </c>
      <c r="F31" s="20">
        <v>101.8</v>
      </c>
      <c r="G31" s="20">
        <v>87.1</v>
      </c>
      <c r="I31" s="20">
        <f t="shared" si="3"/>
        <v>118.56751484308737</v>
      </c>
      <c r="J31" s="45">
        <f>(I31/'AAU 14-15'!I31)-1</f>
        <v>2.04258798223802E-2</v>
      </c>
      <c r="K31" s="18"/>
      <c r="M31" s="38">
        <f>351+152</f>
        <v>503</v>
      </c>
      <c r="N31" s="38">
        <f>196+155</f>
        <v>351</v>
      </c>
      <c r="O31" s="38">
        <f>155+170</f>
        <v>325</v>
      </c>
      <c r="P31" s="36">
        <f t="shared" si="0"/>
        <v>75751.8</v>
      </c>
      <c r="Q31" s="36">
        <f t="shared" si="0"/>
        <v>35731.799999999996</v>
      </c>
      <c r="R31" s="36">
        <f t="shared" si="0"/>
        <v>28307.499999999996</v>
      </c>
      <c r="S31" s="36">
        <f t="shared" si="1"/>
        <v>1179</v>
      </c>
      <c r="T31" s="36">
        <f t="shared" si="2"/>
        <v>139791.1</v>
      </c>
      <c r="U31" s="37">
        <f t="shared" si="4"/>
        <v>118.56751484308737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145.5</v>
      </c>
      <c r="F32" s="20">
        <v>98</v>
      </c>
      <c r="G32" s="20">
        <v>86</v>
      </c>
      <c r="I32" s="20">
        <f t="shared" si="3"/>
        <v>115.76203451407811</v>
      </c>
      <c r="J32" s="45">
        <f>(I32/'AAU 14-15'!I32)-1</f>
        <v>1.9037633190684744E-2</v>
      </c>
      <c r="K32" s="18"/>
      <c r="M32" s="38">
        <f>693+259</f>
        <v>952</v>
      </c>
      <c r="N32" s="38">
        <f>433+308</f>
        <v>741</v>
      </c>
      <c r="O32" s="38">
        <f>252+257</f>
        <v>509</v>
      </c>
      <c r="P32" s="36">
        <f t="shared" si="0"/>
        <v>138516</v>
      </c>
      <c r="Q32" s="36">
        <f t="shared" si="0"/>
        <v>72618</v>
      </c>
      <c r="R32" s="36">
        <f t="shared" si="0"/>
        <v>43774</v>
      </c>
      <c r="S32" s="36">
        <f t="shared" si="1"/>
        <v>2202</v>
      </c>
      <c r="T32" s="36">
        <f t="shared" si="2"/>
        <v>254908</v>
      </c>
      <c r="U32" s="37">
        <f t="shared" si="4"/>
        <v>115.76203451407811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127.5</v>
      </c>
      <c r="F33" s="20">
        <v>91.5</v>
      </c>
      <c r="G33" s="20">
        <v>84.3</v>
      </c>
      <c r="I33" s="20">
        <f t="shared" si="3"/>
        <v>103.17331536388141</v>
      </c>
      <c r="J33" s="45">
        <f>(I33/'AAU 14-15'!I33)-1</f>
        <v>1.0456115163892665E-2</v>
      </c>
      <c r="K33" s="18"/>
      <c r="M33" s="38">
        <f>194+87</f>
        <v>281</v>
      </c>
      <c r="N33" s="38">
        <f>147+112</f>
        <v>259</v>
      </c>
      <c r="O33" s="38">
        <f>116+86</f>
        <v>202</v>
      </c>
      <c r="P33" s="36">
        <f t="shared" si="0"/>
        <v>35827.5</v>
      </c>
      <c r="Q33" s="36">
        <f t="shared" si="0"/>
        <v>23698.5</v>
      </c>
      <c r="R33" s="36">
        <f t="shared" si="0"/>
        <v>17028.599999999999</v>
      </c>
      <c r="S33" s="36">
        <f t="shared" si="1"/>
        <v>742</v>
      </c>
      <c r="T33" s="36">
        <f t="shared" si="2"/>
        <v>76554.600000000006</v>
      </c>
      <c r="U33" s="37">
        <f t="shared" si="4"/>
        <v>103.17331536388141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150.9</v>
      </c>
      <c r="F34" s="20">
        <v>101.5</v>
      </c>
      <c r="G34" s="20">
        <v>89.1</v>
      </c>
      <c r="I34" s="20">
        <f t="shared" si="3"/>
        <v>121.79641082274985</v>
      </c>
      <c r="J34" s="45">
        <f>(I34/'AAU 14-15'!I34)-1</f>
        <v>2.1669816302125389E-2</v>
      </c>
      <c r="K34" s="18"/>
      <c r="M34" s="38">
        <f>661+191</f>
        <v>852</v>
      </c>
      <c r="N34" s="38">
        <f>314+215</f>
        <v>529</v>
      </c>
      <c r="O34" s="38">
        <f>254+176</f>
        <v>430</v>
      </c>
      <c r="P34" s="36">
        <f t="shared" si="0"/>
        <v>128566.8</v>
      </c>
      <c r="Q34" s="36">
        <f t="shared" si="0"/>
        <v>53693.5</v>
      </c>
      <c r="R34" s="36">
        <f t="shared" si="0"/>
        <v>38313</v>
      </c>
      <c r="S34" s="36">
        <f t="shared" si="1"/>
        <v>1811</v>
      </c>
      <c r="T34" s="36">
        <f t="shared" si="2"/>
        <v>220573.3</v>
      </c>
      <c r="U34" s="37">
        <f t="shared" si="4"/>
        <v>121.79641082274985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146.30000000000001</v>
      </c>
      <c r="F35" s="20">
        <v>98.2</v>
      </c>
      <c r="G35" s="20">
        <v>80.2</v>
      </c>
      <c r="I35" s="20">
        <f t="shared" ref="I35" si="6">U35</f>
        <v>106.80908465244322</v>
      </c>
      <c r="J35" s="45">
        <f>(I35/'AAU 14-15'!I35)-1</f>
        <v>5.4182172013184093E-4</v>
      </c>
      <c r="K35" s="18"/>
      <c r="M35" s="38">
        <f>349+121</f>
        <v>470</v>
      </c>
      <c r="N35" s="38">
        <f>240+182</f>
        <v>422</v>
      </c>
      <c r="O35" s="38">
        <f>271+290</f>
        <v>561</v>
      </c>
      <c r="P35" s="36">
        <f t="shared" si="0"/>
        <v>68761</v>
      </c>
      <c r="Q35" s="36">
        <f t="shared" si="0"/>
        <v>41440.400000000001</v>
      </c>
      <c r="R35" s="36">
        <f t="shared" si="0"/>
        <v>44992.200000000004</v>
      </c>
      <c r="S35" s="36">
        <f t="shared" si="1"/>
        <v>1453</v>
      </c>
      <c r="T35" s="36">
        <f t="shared" si="2"/>
        <v>155193.60000000001</v>
      </c>
      <c r="U35" s="37">
        <f t="shared" si="4"/>
        <v>106.80908465244322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134.80000000000001</v>
      </c>
      <c r="F36" s="20">
        <v>95.4</v>
      </c>
      <c r="G36" s="20">
        <v>84.9</v>
      </c>
      <c r="I36" s="20">
        <f t="shared" si="3"/>
        <v>109.89890274314216</v>
      </c>
      <c r="J36" s="45">
        <f>(I36/'AAU 14-15'!I36)-1</f>
        <v>3.3105235306911229E-2</v>
      </c>
      <c r="K36" s="18"/>
      <c r="M36" s="38">
        <f>709+173</f>
        <v>882</v>
      </c>
      <c r="N36" s="38">
        <f>382+200</f>
        <v>582</v>
      </c>
      <c r="O36" s="38">
        <f>293+248</f>
        <v>541</v>
      </c>
      <c r="P36" s="36">
        <f t="shared" si="0"/>
        <v>118893.6</v>
      </c>
      <c r="Q36" s="36">
        <f t="shared" si="0"/>
        <v>55522.8</v>
      </c>
      <c r="R36" s="36">
        <f t="shared" si="0"/>
        <v>45930.9</v>
      </c>
      <c r="S36" s="36">
        <f t="shared" si="1"/>
        <v>2005</v>
      </c>
      <c r="T36" s="36">
        <f t="shared" si="2"/>
        <v>220347.30000000002</v>
      </c>
      <c r="U36" s="37">
        <f t="shared" si="4"/>
        <v>109.89890274314216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158.80000000000001</v>
      </c>
      <c r="F37" s="20">
        <v>104</v>
      </c>
      <c r="G37" s="20">
        <v>83.5</v>
      </c>
      <c r="I37" s="20">
        <f t="shared" si="3"/>
        <v>122.52272240085746</v>
      </c>
      <c r="J37" s="45">
        <f>(I37/'AAU 14-15'!I37)-1</f>
        <v>3.4418619477896595E-2</v>
      </c>
      <c r="K37" s="18"/>
      <c r="M37" s="38">
        <f>601+222</f>
        <v>823</v>
      </c>
      <c r="N37" s="39">
        <f>241+288</f>
        <v>529</v>
      </c>
      <c r="O37" s="38">
        <f>216+298</f>
        <v>514</v>
      </c>
      <c r="P37" s="36">
        <f t="shared" si="0"/>
        <v>130692.40000000001</v>
      </c>
      <c r="Q37" s="36">
        <f t="shared" si="0"/>
        <v>55016</v>
      </c>
      <c r="R37" s="36">
        <f t="shared" si="0"/>
        <v>42919</v>
      </c>
      <c r="S37" s="36">
        <f t="shared" si="1"/>
        <v>1866</v>
      </c>
      <c r="T37" s="36">
        <f t="shared" si="2"/>
        <v>228627.40000000002</v>
      </c>
      <c r="U37" s="37">
        <f t="shared" si="4"/>
        <v>122.52272240085746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137.69999999999999</v>
      </c>
      <c r="F38" s="20">
        <v>94.6</v>
      </c>
      <c r="G38" s="20">
        <v>82.3</v>
      </c>
      <c r="I38" s="20">
        <f t="shared" si="3"/>
        <v>104.45850585058506</v>
      </c>
      <c r="J38" s="45">
        <f>(I38/'AAU 14-15'!I38)-1</f>
        <v>1.5698088262645848E-2</v>
      </c>
      <c r="K38" s="18"/>
      <c r="M38" s="38">
        <f>275+87</f>
        <v>362</v>
      </c>
      <c r="N38" s="38">
        <f>214+157</f>
        <v>371</v>
      </c>
      <c r="O38" s="38">
        <f>211+167</f>
        <v>378</v>
      </c>
      <c r="P38" s="36">
        <f t="shared" si="0"/>
        <v>49847.399999999994</v>
      </c>
      <c r="Q38" s="36">
        <f t="shared" si="0"/>
        <v>35096.6</v>
      </c>
      <c r="R38" s="36">
        <f t="shared" si="0"/>
        <v>31109.399999999998</v>
      </c>
      <c r="S38" s="36">
        <f t="shared" si="1"/>
        <v>1111</v>
      </c>
      <c r="T38" s="36">
        <f t="shared" si="2"/>
        <v>116053.4</v>
      </c>
      <c r="U38" s="37">
        <f t="shared" si="4"/>
        <v>104.45850585058506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150.4</v>
      </c>
      <c r="F39" s="20">
        <v>103.6</v>
      </c>
      <c r="G39" s="20">
        <v>88.4</v>
      </c>
      <c r="I39" s="20">
        <f t="shared" si="3"/>
        <v>116.14285714285714</v>
      </c>
      <c r="J39" s="45">
        <f>(I39/'AAU 14-15'!I39)-1</f>
        <v>2.2289114415406264E-2</v>
      </c>
      <c r="K39" s="18"/>
      <c r="M39" s="38">
        <f>274+74</f>
        <v>348</v>
      </c>
      <c r="N39" s="38">
        <f>161+106</f>
        <v>267</v>
      </c>
      <c r="O39" s="38">
        <f>176+133</f>
        <v>309</v>
      </c>
      <c r="P39" s="36">
        <f t="shared" si="0"/>
        <v>52339.200000000004</v>
      </c>
      <c r="Q39" s="36">
        <f t="shared" si="0"/>
        <v>27661.199999999997</v>
      </c>
      <c r="R39" s="36">
        <f t="shared" si="0"/>
        <v>27315.600000000002</v>
      </c>
      <c r="S39" s="36">
        <f t="shared" si="1"/>
        <v>924</v>
      </c>
      <c r="T39" s="36">
        <f t="shared" si="2"/>
        <v>107316</v>
      </c>
      <c r="U39" s="37">
        <f t="shared" si="4"/>
        <v>116.14285714285714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154.80000000000001</v>
      </c>
      <c r="F40" s="20">
        <v>100.5</v>
      </c>
      <c r="G40" s="20">
        <v>93.9</v>
      </c>
      <c r="I40" s="20">
        <f t="shared" si="3"/>
        <v>127.94482200647249</v>
      </c>
      <c r="J40" s="45">
        <f>(I40/'AAU 14-15'!I40)-1</f>
        <v>4.1946119396397252E-2</v>
      </c>
      <c r="K40" s="18"/>
      <c r="M40" s="38">
        <f>756+223</f>
        <v>979</v>
      </c>
      <c r="N40" s="38">
        <f>309+221</f>
        <v>530</v>
      </c>
      <c r="O40" s="38">
        <f>194+151</f>
        <v>345</v>
      </c>
      <c r="P40" s="36">
        <f t="shared" si="0"/>
        <v>151549.20000000001</v>
      </c>
      <c r="Q40" s="36">
        <f t="shared" si="0"/>
        <v>53265</v>
      </c>
      <c r="R40" s="36">
        <f t="shared" si="0"/>
        <v>32395.500000000004</v>
      </c>
      <c r="S40" s="36">
        <f t="shared" si="1"/>
        <v>1854</v>
      </c>
      <c r="T40" s="36">
        <f t="shared" si="2"/>
        <v>237209.7</v>
      </c>
      <c r="U40" s="37">
        <f t="shared" si="4"/>
        <v>127.94482200647249</v>
      </c>
    </row>
    <row r="41" spans="1:21" ht="13.5" customHeight="1" x14ac:dyDescent="0.3">
      <c r="A41" s="19"/>
      <c r="C41" s="31">
        <v>31</v>
      </c>
      <c r="D41" s="1" t="s">
        <v>102</v>
      </c>
      <c r="E41" s="20">
        <v>138.4</v>
      </c>
      <c r="F41" s="20">
        <v>96.1</v>
      </c>
      <c r="G41" s="20">
        <v>86.9</v>
      </c>
      <c r="I41" s="20">
        <f t="shared" si="3"/>
        <v>115.68119034250419</v>
      </c>
      <c r="J41" s="45">
        <f>(I41/'AAU 14-15'!I41)-1</f>
        <v>5.2298282867631718E-2</v>
      </c>
      <c r="K41" s="18"/>
      <c r="M41" s="38">
        <f>751+140</f>
        <v>891</v>
      </c>
      <c r="N41" s="38">
        <f>404+180</f>
        <v>584</v>
      </c>
      <c r="O41" s="38">
        <f>190+116</f>
        <v>306</v>
      </c>
      <c r="P41" s="36">
        <f t="shared" si="0"/>
        <v>123314.40000000001</v>
      </c>
      <c r="Q41" s="36">
        <f t="shared" si="0"/>
        <v>56122.399999999994</v>
      </c>
      <c r="R41" s="36">
        <f t="shared" si="0"/>
        <v>26591.4</v>
      </c>
      <c r="S41" s="36">
        <f t="shared" si="1"/>
        <v>1781</v>
      </c>
      <c r="T41" s="36">
        <f t="shared" si="2"/>
        <v>206028.19999999998</v>
      </c>
      <c r="U41" s="37">
        <f t="shared" si="4"/>
        <v>115.68119034250419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164.9</v>
      </c>
      <c r="F42" s="20">
        <v>111.3</v>
      </c>
      <c r="G42" s="20">
        <v>94.9</v>
      </c>
      <c r="I42" s="20">
        <f t="shared" si="3"/>
        <v>133.50311640696609</v>
      </c>
      <c r="J42" s="45">
        <f>(I42/'AAU 14-15'!I42)-1</f>
        <v>4.8779585967680505E-2</v>
      </c>
      <c r="K42" s="18"/>
      <c r="M42" s="38">
        <f>398+124</f>
        <v>522</v>
      </c>
      <c r="N42" s="38">
        <f>201+139</f>
        <v>340</v>
      </c>
      <c r="O42" s="38">
        <f>122+107</f>
        <v>229</v>
      </c>
      <c r="P42" s="36">
        <f t="shared" si="0"/>
        <v>86077.8</v>
      </c>
      <c r="Q42" s="36">
        <f t="shared" si="0"/>
        <v>37842</v>
      </c>
      <c r="R42" s="36">
        <f t="shared" si="0"/>
        <v>21732.100000000002</v>
      </c>
      <c r="S42" s="36">
        <f t="shared" si="1"/>
        <v>1091</v>
      </c>
      <c r="T42" s="36">
        <f t="shared" si="2"/>
        <v>145651.9</v>
      </c>
      <c r="U42" s="37">
        <f t="shared" si="4"/>
        <v>133.50311640696609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133.80000000000001</v>
      </c>
      <c r="F43" s="20">
        <v>104.8</v>
      </c>
      <c r="G43" s="20">
        <v>98.1</v>
      </c>
      <c r="I43" s="20">
        <f t="shared" si="3"/>
        <v>116.80476889214967</v>
      </c>
      <c r="J43" s="45">
        <f>(I43/'AAU 14-15'!I43)-1</f>
        <v>1.9529957635519235E-2</v>
      </c>
      <c r="K43" s="18"/>
      <c r="M43" s="38">
        <f>429+208</f>
        <v>637</v>
      </c>
      <c r="N43" s="38">
        <f>228+183</f>
        <v>411</v>
      </c>
      <c r="O43" s="38">
        <f>159+156</f>
        <v>315</v>
      </c>
      <c r="P43" s="36">
        <f t="shared" si="0"/>
        <v>85230.6</v>
      </c>
      <c r="Q43" s="36">
        <f t="shared" si="0"/>
        <v>43072.799999999996</v>
      </c>
      <c r="R43" s="36">
        <f t="shared" si="0"/>
        <v>30901.5</v>
      </c>
      <c r="S43" s="36">
        <f t="shared" si="1"/>
        <v>1363</v>
      </c>
      <c r="T43" s="36">
        <f t="shared" si="2"/>
        <v>159204.9</v>
      </c>
      <c r="U43" s="37">
        <f t="shared" si="4"/>
        <v>116.80476889214967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129.5</v>
      </c>
      <c r="F44" s="20">
        <v>99.7</v>
      </c>
      <c r="G44" s="20">
        <v>85.5</v>
      </c>
      <c r="I44" s="20">
        <f t="shared" si="3"/>
        <v>113.3098083427283</v>
      </c>
      <c r="J44" s="45">
        <f>(I44/'AAU 14-15'!I44)-1</f>
        <v>2.283754399407667E-2</v>
      </c>
      <c r="K44" s="18"/>
      <c r="M44" s="38">
        <f>720+297</f>
        <v>1017</v>
      </c>
      <c r="N44" s="38">
        <f>169+154</f>
        <v>323</v>
      </c>
      <c r="O44" s="38">
        <f>232+202</f>
        <v>434</v>
      </c>
      <c r="P44" s="36">
        <f t="shared" si="0"/>
        <v>131701.5</v>
      </c>
      <c r="Q44" s="36">
        <f t="shared" si="0"/>
        <v>32203.100000000002</v>
      </c>
      <c r="R44" s="36">
        <f t="shared" si="0"/>
        <v>37107</v>
      </c>
      <c r="S44" s="36">
        <f t="shared" si="1"/>
        <v>1774</v>
      </c>
      <c r="T44" s="36">
        <f t="shared" si="2"/>
        <v>201011.6</v>
      </c>
      <c r="U44" s="37">
        <f t="shared" si="4"/>
        <v>113.3098083427283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147.88746225548115</v>
      </c>
      <c r="F46" s="41">
        <f t="shared" ref="F46:G46" si="7">Q46/N46</f>
        <v>98.762072116398414</v>
      </c>
      <c r="G46" s="41">
        <f t="shared" si="7"/>
        <v>86.455140264713222</v>
      </c>
      <c r="H46" s="40"/>
      <c r="I46" s="41">
        <f>U46</f>
        <v>118.61746552321199</v>
      </c>
      <c r="J46" s="46">
        <f>(I46/'AAU 14-15'!I46)-1</f>
        <v>2.487641698125187E-2</v>
      </c>
      <c r="K46" s="18"/>
      <c r="M46" s="39">
        <f>SUM(M11:M44)</f>
        <v>22851</v>
      </c>
      <c r="N46" s="39">
        <f t="shared" ref="N46:O46" si="8">SUM(N11:N44)</f>
        <v>14227</v>
      </c>
      <c r="O46" s="39">
        <f t="shared" si="8"/>
        <v>12013</v>
      </c>
      <c r="P46" s="39">
        <f>SUM(P11:P44)</f>
        <v>3379376.4</v>
      </c>
      <c r="Q46" s="39">
        <f t="shared" ref="Q46:R46" si="9">SUM(Q11:Q44)</f>
        <v>1405088.0000000002</v>
      </c>
      <c r="R46" s="39">
        <f t="shared" si="9"/>
        <v>1038585.6</v>
      </c>
      <c r="S46" s="36">
        <f>M46+N46+O46</f>
        <v>49091</v>
      </c>
      <c r="T46" s="36">
        <f>P46+Q46+R46</f>
        <v>5823050</v>
      </c>
      <c r="U46" s="37">
        <f>T46/S46</f>
        <v>118.61746552321199</v>
      </c>
    </row>
    <row r="47" spans="1:21" ht="13.5" customHeight="1" x14ac:dyDescent="0.3">
      <c r="A47" s="19"/>
      <c r="D47" s="44" t="s">
        <v>55</v>
      </c>
      <c r="E47" s="41">
        <f>MEDIAN(E11:E44)</f>
        <v>145.9</v>
      </c>
      <c r="F47" s="41">
        <f t="shared" ref="F47:G47" si="10">MEDIAN(F11:F44)</f>
        <v>99.6</v>
      </c>
      <c r="G47" s="41">
        <f t="shared" si="10"/>
        <v>87</v>
      </c>
      <c r="H47" s="40"/>
      <c r="I47" s="41">
        <f>MEDIAN(I11:I44)</f>
        <v>115.95244582846763</v>
      </c>
      <c r="J47" s="46">
        <f>(I47/'AAU 14-15'!I47)-1</f>
        <v>2.0663453989047342E-2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99</v>
      </c>
      <c r="K50" s="18"/>
    </row>
    <row r="51" spans="1:11" ht="13.5" customHeight="1" x14ac:dyDescent="0.3">
      <c r="A51" s="19"/>
      <c r="B51" s="16"/>
      <c r="K51" s="18"/>
    </row>
    <row r="52" spans="1:11" ht="13.5" customHeight="1" x14ac:dyDescent="0.3">
      <c r="A52" s="19"/>
      <c r="B52" s="16" t="s">
        <v>100</v>
      </c>
      <c r="K52" s="18"/>
    </row>
    <row r="53" spans="1:11" ht="13.5" customHeight="1" x14ac:dyDescent="0.3">
      <c r="A53" s="19"/>
      <c r="B53" s="16" t="s">
        <v>101</v>
      </c>
      <c r="K53" s="18"/>
    </row>
    <row r="54" spans="1:11" ht="13.5" customHeight="1" x14ac:dyDescent="0.3">
      <c r="A54" s="19"/>
      <c r="K54" s="18"/>
    </row>
    <row r="55" spans="1:11" ht="13.5" customHeight="1" x14ac:dyDescent="0.3">
      <c r="A55" s="21"/>
      <c r="B55" s="42" t="s">
        <v>56</v>
      </c>
      <c r="C55" s="33"/>
      <c r="D55" s="22"/>
      <c r="E55" s="22"/>
      <c r="F55" s="22"/>
      <c r="G55" s="22"/>
      <c r="H55" s="22"/>
      <c r="I55" s="22"/>
      <c r="J55" s="43" t="s">
        <v>103</v>
      </c>
      <c r="K55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95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123.7</v>
      </c>
      <c r="F11" s="20">
        <v>85.1</v>
      </c>
      <c r="G11" s="20">
        <v>74.5</v>
      </c>
      <c r="I11" s="20">
        <f>U11</f>
        <v>99.730824891461651</v>
      </c>
      <c r="J11" s="45">
        <f>(I11/'AAU 13-14'!I11)-1</f>
        <v>1.5690998856623395E-3</v>
      </c>
      <c r="K11" s="18"/>
      <c r="M11" s="38">
        <f>443+172</f>
        <v>615</v>
      </c>
      <c r="N11" s="38">
        <f>263+172</f>
        <v>435</v>
      </c>
      <c r="O11" s="38">
        <f>164+168</f>
        <v>332</v>
      </c>
      <c r="P11" s="36">
        <f t="shared" ref="P11:R44" si="0">E11*M11</f>
        <v>76075.5</v>
      </c>
      <c r="Q11" s="36">
        <f t="shared" si="0"/>
        <v>37018.5</v>
      </c>
      <c r="R11" s="36">
        <f t="shared" si="0"/>
        <v>24734</v>
      </c>
      <c r="S11" s="36">
        <f t="shared" ref="S11:S44" si="1">M11+N11+O11</f>
        <v>1382</v>
      </c>
      <c r="T11" s="36">
        <f t="shared" ref="T11:T44" si="2">P11+Q11+R11</f>
        <v>137828</v>
      </c>
      <c r="U11" s="37">
        <f>T11/S11</f>
        <v>99.730824891461651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172.7</v>
      </c>
      <c r="F12" s="20">
        <v>115.5</v>
      </c>
      <c r="G12" s="20">
        <v>103</v>
      </c>
      <c r="I12" s="20">
        <f t="shared" ref="I12:I46" si="3">U12</f>
        <v>148.59125607217211</v>
      </c>
      <c r="J12" s="45">
        <f>(I12/'AAU 13-14'!I12)-1</f>
        <v>4.2443654325570623E-2</v>
      </c>
      <c r="K12" s="18"/>
      <c r="M12" s="38">
        <f>660+225</f>
        <v>885</v>
      </c>
      <c r="N12" s="38">
        <f>182+139</f>
        <v>321</v>
      </c>
      <c r="O12" s="38">
        <f>145+90</f>
        <v>235</v>
      </c>
      <c r="P12" s="36">
        <f>E12*M12</f>
        <v>152839.5</v>
      </c>
      <c r="Q12" s="36">
        <f t="shared" si="0"/>
        <v>37075.5</v>
      </c>
      <c r="R12" s="36">
        <f>G12*O12</f>
        <v>24205</v>
      </c>
      <c r="S12" s="36">
        <f>M12+N12+O12</f>
        <v>1441</v>
      </c>
      <c r="T12" s="36">
        <f>P12+Q12+R12</f>
        <v>214120</v>
      </c>
      <c r="U12" s="37">
        <f t="shared" ref="U12:U44" si="4">T12/S12</f>
        <v>148.59125607217211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144</v>
      </c>
      <c r="F13" s="20">
        <v>98.3</v>
      </c>
      <c r="G13" s="20">
        <v>86.8</v>
      </c>
      <c r="I13" s="20">
        <f t="shared" si="3"/>
        <v>124.54964816262705</v>
      </c>
      <c r="J13" s="45">
        <f>(I13/'AAU 13-14'!I13)-1</f>
        <v>4.8898900178350191E-2</v>
      </c>
      <c r="K13" s="18"/>
      <c r="M13" s="38">
        <f>566+223</f>
        <v>789</v>
      </c>
      <c r="N13" s="38">
        <f>154+120</f>
        <v>274</v>
      </c>
      <c r="O13" s="38">
        <f>115+101</f>
        <v>216</v>
      </c>
      <c r="P13" s="36">
        <f t="shared" si="0"/>
        <v>113616</v>
      </c>
      <c r="Q13" s="36">
        <f t="shared" si="0"/>
        <v>26934.2</v>
      </c>
      <c r="R13" s="36">
        <f t="shared" si="0"/>
        <v>18748.8</v>
      </c>
      <c r="S13" s="36">
        <f t="shared" si="1"/>
        <v>1279</v>
      </c>
      <c r="T13" s="36">
        <f t="shared" si="2"/>
        <v>159299</v>
      </c>
      <c r="U13" s="37">
        <f t="shared" si="4"/>
        <v>124.54964816262705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152.6</v>
      </c>
      <c r="F14" s="20">
        <v>99</v>
      </c>
      <c r="G14" s="20">
        <v>86.8</v>
      </c>
      <c r="I14" s="20">
        <f t="shared" si="3"/>
        <v>126.31044776119403</v>
      </c>
      <c r="J14" s="45">
        <f>(I14/'AAU 13-14'!I14)-1</f>
        <v>3.6866401901733958E-2</v>
      </c>
      <c r="K14" s="18"/>
      <c r="M14" s="38">
        <f>384+139</f>
        <v>523</v>
      </c>
      <c r="N14" s="38">
        <f>119+98</f>
        <v>217</v>
      </c>
      <c r="O14" s="38">
        <f>105+93</f>
        <v>198</v>
      </c>
      <c r="P14" s="36">
        <f t="shared" si="0"/>
        <v>79809.8</v>
      </c>
      <c r="Q14" s="36">
        <f t="shared" si="0"/>
        <v>21483</v>
      </c>
      <c r="R14" s="36">
        <f t="shared" si="0"/>
        <v>17186.399999999998</v>
      </c>
      <c r="S14" s="36">
        <f t="shared" si="1"/>
        <v>938</v>
      </c>
      <c r="T14" s="36">
        <f t="shared" si="2"/>
        <v>118479.2</v>
      </c>
      <c r="U14" s="37">
        <f t="shared" si="4"/>
        <v>126.31044776119403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181</v>
      </c>
      <c r="F15" s="20">
        <v>117.7</v>
      </c>
      <c r="G15" s="20">
        <v>97.1</v>
      </c>
      <c r="I15" s="20">
        <f t="shared" si="3"/>
        <v>154.95670553935861</v>
      </c>
      <c r="J15" s="45">
        <f>(I15/'AAU 13-14'!I15)-1</f>
        <v>4.9874417093330958E-2</v>
      </c>
      <c r="K15" s="18"/>
      <c r="M15" s="38">
        <f>633+251</f>
        <v>884</v>
      </c>
      <c r="N15" s="38">
        <f>143+110</f>
        <v>253</v>
      </c>
      <c r="O15" s="38">
        <f>138+97</f>
        <v>235</v>
      </c>
      <c r="P15" s="36">
        <f t="shared" si="0"/>
        <v>160004</v>
      </c>
      <c r="Q15" s="36">
        <f t="shared" si="0"/>
        <v>29778.100000000002</v>
      </c>
      <c r="R15" s="36">
        <f t="shared" si="0"/>
        <v>22818.5</v>
      </c>
      <c r="S15" s="36">
        <f t="shared" si="1"/>
        <v>1372</v>
      </c>
      <c r="T15" s="36">
        <f t="shared" si="2"/>
        <v>212600.6</v>
      </c>
      <c r="U15" s="37">
        <f t="shared" si="4"/>
        <v>154.95670553935861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153.9</v>
      </c>
      <c r="F16" s="20">
        <v>100.9</v>
      </c>
      <c r="G16" s="20">
        <v>91.8</v>
      </c>
      <c r="I16" s="20">
        <f t="shared" si="3"/>
        <v>131.61577777777777</v>
      </c>
      <c r="J16" s="45">
        <f>(I16/'AAU 13-14'!I16)-1</f>
        <v>4.1346449701540999E-2</v>
      </c>
      <c r="K16" s="18"/>
      <c r="M16" s="38">
        <f>446+101</f>
        <v>547</v>
      </c>
      <c r="N16" s="38">
        <f>132+73</f>
        <v>205</v>
      </c>
      <c r="O16" s="38">
        <f>92+56</f>
        <v>148</v>
      </c>
      <c r="P16" s="36">
        <f t="shared" si="0"/>
        <v>84183.3</v>
      </c>
      <c r="Q16" s="36">
        <f t="shared" si="0"/>
        <v>20684.5</v>
      </c>
      <c r="R16" s="36">
        <f t="shared" si="0"/>
        <v>13586.4</v>
      </c>
      <c r="S16" s="36">
        <f t="shared" si="1"/>
        <v>900</v>
      </c>
      <c r="T16" s="36">
        <f t="shared" si="2"/>
        <v>118454.2</v>
      </c>
      <c r="U16" s="37">
        <f t="shared" si="4"/>
        <v>131.61577777777777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152.80000000000001</v>
      </c>
      <c r="F17" s="20">
        <v>93.6</v>
      </c>
      <c r="G17" s="20">
        <v>81.2</v>
      </c>
      <c r="I17" s="20">
        <f t="shared" si="3"/>
        <v>131.36913099870299</v>
      </c>
      <c r="J17" s="45">
        <f>(I17/'AAU 13-14'!I17)-1</f>
        <v>4.5490360854161027E-2</v>
      </c>
      <c r="K17" s="18"/>
      <c r="M17" s="38">
        <f>366+146</f>
        <v>512</v>
      </c>
      <c r="N17" s="38">
        <f>92+71</f>
        <v>163</v>
      </c>
      <c r="O17" s="38">
        <f>55+41</f>
        <v>96</v>
      </c>
      <c r="P17" s="36">
        <f t="shared" si="0"/>
        <v>78233.600000000006</v>
      </c>
      <c r="Q17" s="36">
        <f t="shared" si="0"/>
        <v>15256.8</v>
      </c>
      <c r="R17" s="36">
        <f t="shared" si="0"/>
        <v>7795.2000000000007</v>
      </c>
      <c r="S17" s="36">
        <f t="shared" si="1"/>
        <v>771</v>
      </c>
      <c r="T17" s="36">
        <f t="shared" si="2"/>
        <v>101285.6</v>
      </c>
      <c r="U17" s="37">
        <f t="shared" si="4"/>
        <v>131.36913099870299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131.6</v>
      </c>
      <c r="F18" s="20">
        <v>95.5</v>
      </c>
      <c r="G18" s="20">
        <v>86</v>
      </c>
      <c r="I18" s="20">
        <f t="shared" si="3"/>
        <v>108.24245014245012</v>
      </c>
      <c r="J18" s="45">
        <f>(I18/'AAU 13-14'!I18)-1</f>
        <v>2.3622944083037556E-2</v>
      </c>
      <c r="K18" s="18"/>
      <c r="M18" s="38">
        <f>338+100</f>
        <v>438</v>
      </c>
      <c r="N18" s="38">
        <f>228+135</f>
        <v>363</v>
      </c>
      <c r="O18" s="39">
        <f>149+103</f>
        <v>252</v>
      </c>
      <c r="P18" s="36">
        <f t="shared" si="0"/>
        <v>57640.799999999996</v>
      </c>
      <c r="Q18" s="36">
        <f t="shared" si="0"/>
        <v>34666.5</v>
      </c>
      <c r="R18" s="36">
        <f t="shared" si="0"/>
        <v>21672</v>
      </c>
      <c r="S18" s="36">
        <f t="shared" si="1"/>
        <v>1053</v>
      </c>
      <c r="T18" s="36">
        <f t="shared" si="2"/>
        <v>113979.29999999999</v>
      </c>
      <c r="U18" s="37">
        <f t="shared" si="4"/>
        <v>108.24245014245012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133.69999999999999</v>
      </c>
      <c r="F19" s="20">
        <v>89.4</v>
      </c>
      <c r="G19" s="20">
        <v>79.2</v>
      </c>
      <c r="I19" s="20">
        <f t="shared" si="3"/>
        <v>105.40616197183097</v>
      </c>
      <c r="J19" s="45">
        <f>(I19/'AAU 13-14'!I19)-1</f>
        <v>4.3536527509751233E-2</v>
      </c>
      <c r="K19" s="18"/>
      <c r="M19" s="38">
        <f>550+161</f>
        <v>711</v>
      </c>
      <c r="N19" s="38">
        <f>360+219</f>
        <v>579</v>
      </c>
      <c r="O19" s="38">
        <f>207+207</f>
        <v>414</v>
      </c>
      <c r="P19" s="36">
        <f t="shared" si="0"/>
        <v>95060.7</v>
      </c>
      <c r="Q19" s="36">
        <f t="shared" si="0"/>
        <v>51762.600000000006</v>
      </c>
      <c r="R19" s="36">
        <f t="shared" si="0"/>
        <v>32788.800000000003</v>
      </c>
      <c r="S19" s="36">
        <f t="shared" si="1"/>
        <v>1704</v>
      </c>
      <c r="T19" s="36">
        <f t="shared" si="2"/>
        <v>179612.09999999998</v>
      </c>
      <c r="U19" s="37">
        <f t="shared" si="4"/>
        <v>105.40616197183097</v>
      </c>
    </row>
    <row r="20" spans="1:21" ht="13.5" customHeight="1" x14ac:dyDescent="0.3">
      <c r="A20" s="19"/>
      <c r="C20" s="31">
        <v>10</v>
      </c>
      <c r="D20" s="1" t="s">
        <v>20</v>
      </c>
      <c r="E20" s="20">
        <v>151.69999999999999</v>
      </c>
      <c r="F20" s="20">
        <v>103.3</v>
      </c>
      <c r="G20" s="20">
        <v>96.9</v>
      </c>
      <c r="I20" s="20">
        <f t="shared" si="3"/>
        <v>124.99427027027026</v>
      </c>
      <c r="J20" s="45">
        <f>(I20/'AAU 13-14'!I20)-1</f>
        <v>3.8908106782369112E-2</v>
      </c>
      <c r="K20" s="18"/>
      <c r="M20" s="38">
        <f>378+62</f>
        <v>440</v>
      </c>
      <c r="N20" s="38">
        <f>220+73</f>
        <v>293</v>
      </c>
      <c r="O20" s="38">
        <f>138+54</f>
        <v>192</v>
      </c>
      <c r="P20" s="36">
        <f t="shared" si="0"/>
        <v>66748</v>
      </c>
      <c r="Q20" s="36">
        <f t="shared" si="0"/>
        <v>30266.899999999998</v>
      </c>
      <c r="R20" s="36">
        <f t="shared" si="0"/>
        <v>18604.800000000003</v>
      </c>
      <c r="S20" s="36">
        <f t="shared" si="1"/>
        <v>925</v>
      </c>
      <c r="T20" s="36">
        <f t="shared" si="2"/>
        <v>115619.7</v>
      </c>
      <c r="U20" s="37">
        <f t="shared" si="4"/>
        <v>124.99427027027026</v>
      </c>
    </row>
    <row r="21" spans="1:21" ht="13.5" customHeight="1" x14ac:dyDescent="0.3">
      <c r="A21" s="19"/>
      <c r="C21" s="31">
        <v>11</v>
      </c>
      <c r="D21" s="1" t="s">
        <v>21</v>
      </c>
      <c r="E21" s="20">
        <v>149.1</v>
      </c>
      <c r="F21" s="20">
        <v>99.3</v>
      </c>
      <c r="G21" s="20">
        <v>91.9</v>
      </c>
      <c r="I21" s="20">
        <f t="shared" si="3"/>
        <v>119.51837183718369</v>
      </c>
      <c r="J21" s="45">
        <f>(I21/'AAU 13-14'!I21)-1</f>
        <v>1.9023903530362984E-2</v>
      </c>
      <c r="K21" s="18"/>
      <c r="M21" s="38">
        <f>621+185</f>
        <v>806</v>
      </c>
      <c r="N21" s="38">
        <f>339+216</f>
        <v>555</v>
      </c>
      <c r="O21" s="38">
        <f>262+195</f>
        <v>457</v>
      </c>
      <c r="P21" s="36">
        <f t="shared" si="0"/>
        <v>120174.59999999999</v>
      </c>
      <c r="Q21" s="36">
        <f t="shared" si="0"/>
        <v>55111.5</v>
      </c>
      <c r="R21" s="36">
        <f t="shared" si="0"/>
        <v>41998.3</v>
      </c>
      <c r="S21" s="36">
        <f t="shared" si="1"/>
        <v>1818</v>
      </c>
      <c r="T21" s="36">
        <f t="shared" si="2"/>
        <v>217284.39999999997</v>
      </c>
      <c r="U21" s="37">
        <f t="shared" si="4"/>
        <v>119.51837183718369</v>
      </c>
    </row>
    <row r="22" spans="1:21" ht="13.5" customHeight="1" x14ac:dyDescent="0.3">
      <c r="A22" s="19"/>
      <c r="C22" s="31">
        <v>12</v>
      </c>
      <c r="D22" s="1" t="s">
        <v>22</v>
      </c>
      <c r="E22" s="20">
        <v>135</v>
      </c>
      <c r="F22" s="20">
        <v>92.4</v>
      </c>
      <c r="G22" s="20">
        <v>87.7</v>
      </c>
      <c r="I22" s="20">
        <f t="shared" si="3"/>
        <v>110.07194480946123</v>
      </c>
      <c r="J22" s="45">
        <f>(I22/'AAU 13-14'!I22)-1</f>
        <v>2.4070501883317608E-2</v>
      </c>
      <c r="K22" s="18"/>
      <c r="M22" s="38">
        <f>501+168</f>
        <v>669</v>
      </c>
      <c r="N22" s="38">
        <f>283+229</f>
        <v>512</v>
      </c>
      <c r="O22" s="38">
        <f>190+151</f>
        <v>341</v>
      </c>
      <c r="P22" s="36">
        <f t="shared" si="0"/>
        <v>90315</v>
      </c>
      <c r="Q22" s="36">
        <f t="shared" si="0"/>
        <v>47308.800000000003</v>
      </c>
      <c r="R22" s="36">
        <f t="shared" si="0"/>
        <v>29905.7</v>
      </c>
      <c r="S22" s="36">
        <f t="shared" si="1"/>
        <v>1522</v>
      </c>
      <c r="T22" s="36">
        <f t="shared" si="2"/>
        <v>167529.5</v>
      </c>
      <c r="U22" s="37">
        <f t="shared" si="4"/>
        <v>110.07194480946123</v>
      </c>
    </row>
    <row r="23" spans="1:21" ht="13.5" customHeight="1" x14ac:dyDescent="0.3">
      <c r="A23" s="19"/>
      <c r="C23" s="31">
        <v>13</v>
      </c>
      <c r="D23" s="1" t="s">
        <v>23</v>
      </c>
      <c r="E23" s="20">
        <v>136.69999999999999</v>
      </c>
      <c r="F23" s="20">
        <v>91.7</v>
      </c>
      <c r="G23" s="20">
        <v>78.900000000000006</v>
      </c>
      <c r="I23" s="20">
        <f t="shared" si="3"/>
        <v>106.1137030995106</v>
      </c>
      <c r="J23" s="45">
        <f>(I23/'AAU 13-14'!I23)-1</f>
        <v>1.4441386739483031E-2</v>
      </c>
      <c r="K23" s="18"/>
      <c r="M23" s="38">
        <f>356+128</f>
        <v>484</v>
      </c>
      <c r="N23" s="38">
        <f>231+190</f>
        <v>421</v>
      </c>
      <c r="O23" s="38">
        <f>171+150</f>
        <v>321</v>
      </c>
      <c r="P23" s="36">
        <f t="shared" si="0"/>
        <v>66162.799999999988</v>
      </c>
      <c r="Q23" s="36">
        <f t="shared" si="0"/>
        <v>38605.700000000004</v>
      </c>
      <c r="R23" s="36">
        <f t="shared" si="0"/>
        <v>25326.9</v>
      </c>
      <c r="S23" s="36">
        <f t="shared" si="1"/>
        <v>1226</v>
      </c>
      <c r="T23" s="36">
        <f t="shared" si="2"/>
        <v>130095.4</v>
      </c>
      <c r="U23" s="37">
        <f t="shared" si="4"/>
        <v>106.1137030995106</v>
      </c>
    </row>
    <row r="24" spans="1:21" ht="13.5" customHeight="1" x14ac:dyDescent="0.3">
      <c r="A24" s="19"/>
      <c r="C24" s="31">
        <v>14</v>
      </c>
      <c r="D24" s="1" t="s">
        <v>24</v>
      </c>
      <c r="E24" s="20">
        <v>125.7</v>
      </c>
      <c r="F24" s="20">
        <v>91.5</v>
      </c>
      <c r="G24" s="20">
        <v>82</v>
      </c>
      <c r="I24" s="20">
        <f t="shared" si="3"/>
        <v>102.88942766295708</v>
      </c>
      <c r="J24" s="45">
        <f>(I24/'AAU 13-14'!I24)-1</f>
        <v>2.4508309682888862E-2</v>
      </c>
      <c r="K24" s="18"/>
      <c r="M24" s="38">
        <f>408+104</f>
        <v>512</v>
      </c>
      <c r="N24" s="38">
        <f>272+139</f>
        <v>411</v>
      </c>
      <c r="O24" s="38">
        <f>180+155</f>
        <v>335</v>
      </c>
      <c r="P24" s="36">
        <f t="shared" si="0"/>
        <v>64358.400000000001</v>
      </c>
      <c r="Q24" s="36">
        <f t="shared" si="0"/>
        <v>37606.5</v>
      </c>
      <c r="R24" s="36">
        <f t="shared" si="0"/>
        <v>27470</v>
      </c>
      <c r="S24" s="36">
        <f t="shared" si="1"/>
        <v>1258</v>
      </c>
      <c r="T24" s="36">
        <f t="shared" si="2"/>
        <v>129434.9</v>
      </c>
      <c r="U24" s="37">
        <f t="shared" si="4"/>
        <v>102.88942766295708</v>
      </c>
    </row>
    <row r="25" spans="1:21" ht="13.5" customHeight="1" x14ac:dyDescent="0.3">
      <c r="A25" s="19"/>
      <c r="C25" s="31">
        <v>15</v>
      </c>
      <c r="D25" s="1" t="s">
        <v>25</v>
      </c>
      <c r="E25" s="20">
        <v>125.4</v>
      </c>
      <c r="F25" s="20">
        <v>83.5</v>
      </c>
      <c r="G25" s="20">
        <v>74.7</v>
      </c>
      <c r="I25" s="20">
        <f t="shared" si="3"/>
        <v>98.239785992217904</v>
      </c>
      <c r="J25" s="45">
        <f>(I25/'AAU 13-14'!I25)-1</f>
        <v>2.2037900492149598E-2</v>
      </c>
      <c r="K25" s="18"/>
      <c r="M25" s="38">
        <f>308+99</f>
        <v>407</v>
      </c>
      <c r="N25" s="38">
        <f>243+162</f>
        <v>405</v>
      </c>
      <c r="O25" s="38">
        <f>120+96</f>
        <v>216</v>
      </c>
      <c r="P25" s="36">
        <f t="shared" si="0"/>
        <v>51037.8</v>
      </c>
      <c r="Q25" s="36">
        <f t="shared" si="0"/>
        <v>33817.5</v>
      </c>
      <c r="R25" s="36">
        <f t="shared" si="0"/>
        <v>16135.2</v>
      </c>
      <c r="S25" s="36">
        <f t="shared" si="1"/>
        <v>1028</v>
      </c>
      <c r="T25" s="36">
        <f t="shared" si="2"/>
        <v>100990.5</v>
      </c>
      <c r="U25" s="37">
        <f t="shared" si="4"/>
        <v>98.239785992217904</v>
      </c>
    </row>
    <row r="26" spans="1:21" ht="13.5" customHeight="1" x14ac:dyDescent="0.3">
      <c r="A26" s="19"/>
      <c r="C26" s="31">
        <v>16</v>
      </c>
      <c r="D26" s="1" t="s">
        <v>26</v>
      </c>
      <c r="E26" s="20">
        <v>154.19999999999999</v>
      </c>
      <c r="F26" s="20">
        <v>107.6</v>
      </c>
      <c r="G26" s="20">
        <v>92.6</v>
      </c>
      <c r="I26" s="20">
        <f t="shared" si="3"/>
        <v>125.55901974132064</v>
      </c>
      <c r="J26" s="45">
        <f>(I26/'AAU 13-14'!I26)-1</f>
        <v>8.5102918157835328E-2</v>
      </c>
      <c r="K26" s="18"/>
      <c r="M26" s="38">
        <f>513+160</f>
        <v>673</v>
      </c>
      <c r="N26" s="38">
        <f>295+169</f>
        <v>464</v>
      </c>
      <c r="O26" s="38">
        <f>168+164</f>
        <v>332</v>
      </c>
      <c r="P26" s="36">
        <f t="shared" si="0"/>
        <v>103776.59999999999</v>
      </c>
      <c r="Q26" s="36">
        <f t="shared" si="0"/>
        <v>49926.399999999994</v>
      </c>
      <c r="R26" s="36">
        <f t="shared" si="0"/>
        <v>30743.199999999997</v>
      </c>
      <c r="S26" s="36">
        <f t="shared" si="1"/>
        <v>1469</v>
      </c>
      <c r="T26" s="36">
        <f t="shared" si="2"/>
        <v>184446.2</v>
      </c>
      <c r="U26" s="37">
        <f t="shared" si="4"/>
        <v>125.55901974132064</v>
      </c>
    </row>
    <row r="27" spans="1:21" ht="13.5" customHeight="1" x14ac:dyDescent="0.3">
      <c r="A27" s="19"/>
      <c r="C27" s="31">
        <v>17</v>
      </c>
      <c r="D27" s="1" t="s">
        <v>27</v>
      </c>
      <c r="E27" s="20">
        <v>160.9</v>
      </c>
      <c r="F27" s="20">
        <v>106.8</v>
      </c>
      <c r="G27" s="20">
        <v>91.4</v>
      </c>
      <c r="I27" s="20">
        <f t="shared" si="3"/>
        <v>129.63551487414188</v>
      </c>
      <c r="J27" s="45">
        <f>(I27/'AAU 13-14'!I27)-1</f>
        <v>2.5863199755127741E-2</v>
      </c>
      <c r="K27" s="18"/>
      <c r="M27" s="38">
        <f>791+285</f>
        <v>1076</v>
      </c>
      <c r="N27" s="38">
        <f>331+238</f>
        <v>569</v>
      </c>
      <c r="O27" s="38">
        <f>288+252</f>
        <v>540</v>
      </c>
      <c r="P27" s="36">
        <f t="shared" si="0"/>
        <v>173128.4</v>
      </c>
      <c r="Q27" s="36">
        <f t="shared" si="0"/>
        <v>60769.2</v>
      </c>
      <c r="R27" s="36">
        <f t="shared" si="0"/>
        <v>49356</v>
      </c>
      <c r="S27" s="36">
        <f t="shared" si="1"/>
        <v>2185</v>
      </c>
      <c r="T27" s="36">
        <f t="shared" si="2"/>
        <v>283253.59999999998</v>
      </c>
      <c r="U27" s="37">
        <f t="shared" si="4"/>
        <v>129.63551487414188</v>
      </c>
    </row>
    <row r="28" spans="1:21" ht="13.5" customHeight="1" x14ac:dyDescent="0.3">
      <c r="A28" s="19"/>
      <c r="C28" s="31">
        <v>18</v>
      </c>
      <c r="D28" s="1" t="s">
        <v>28</v>
      </c>
      <c r="E28" s="20">
        <v>139.5</v>
      </c>
      <c r="F28" s="20">
        <v>93.7</v>
      </c>
      <c r="G28" s="20">
        <v>74.2</v>
      </c>
      <c r="I28" s="20">
        <f t="shared" si="3"/>
        <v>105.99467054263566</v>
      </c>
      <c r="J28" s="45">
        <f>(I28/'AAU 13-14'!I28)-1</f>
        <v>1.9493311996729545E-2</v>
      </c>
      <c r="K28" s="18"/>
      <c r="M28" s="38">
        <f>634+190</f>
        <v>824</v>
      </c>
      <c r="N28" s="38">
        <f>363+243</f>
        <v>606</v>
      </c>
      <c r="O28" s="38">
        <f>316+318</f>
        <v>634</v>
      </c>
      <c r="P28" s="36">
        <f t="shared" si="0"/>
        <v>114948</v>
      </c>
      <c r="Q28" s="36">
        <f t="shared" si="0"/>
        <v>56782.200000000004</v>
      </c>
      <c r="R28" s="36">
        <f t="shared" si="0"/>
        <v>47042.8</v>
      </c>
      <c r="S28" s="36">
        <f t="shared" si="1"/>
        <v>2064</v>
      </c>
      <c r="T28" s="36">
        <f t="shared" si="2"/>
        <v>218773</v>
      </c>
      <c r="U28" s="37">
        <f t="shared" si="4"/>
        <v>105.99467054263566</v>
      </c>
    </row>
    <row r="29" spans="1:21" ht="13.5" customHeight="1" x14ac:dyDescent="0.3">
      <c r="A29" s="19"/>
      <c r="C29" s="31">
        <v>19</v>
      </c>
      <c r="D29" s="1" t="s">
        <v>29</v>
      </c>
      <c r="E29" s="20">
        <v>135.30000000000001</v>
      </c>
      <c r="F29" s="20">
        <v>93.6</v>
      </c>
      <c r="G29" s="20">
        <v>84.9</v>
      </c>
      <c r="I29" s="20">
        <f t="shared" si="3"/>
        <v>108.53705521472394</v>
      </c>
      <c r="J29" s="45">
        <f>(I29/'AAU 13-14'!I29)-1</f>
        <v>-3.9467458200010963E-3</v>
      </c>
      <c r="K29" s="18"/>
      <c r="M29" s="38">
        <f>482+192</f>
        <v>674</v>
      </c>
      <c r="N29" s="38">
        <f>294+230</f>
        <v>524</v>
      </c>
      <c r="O29" s="38">
        <f>237+195</f>
        <v>432</v>
      </c>
      <c r="P29" s="36">
        <f t="shared" si="0"/>
        <v>91192.200000000012</v>
      </c>
      <c r="Q29" s="36">
        <f t="shared" si="0"/>
        <v>49046.399999999994</v>
      </c>
      <c r="R29" s="36">
        <f t="shared" si="0"/>
        <v>36676.800000000003</v>
      </c>
      <c r="S29" s="36">
        <f t="shared" si="1"/>
        <v>1630</v>
      </c>
      <c r="T29" s="36">
        <f t="shared" si="2"/>
        <v>176915.40000000002</v>
      </c>
      <c r="U29" s="37">
        <f t="shared" si="4"/>
        <v>108.53705521472394</v>
      </c>
    </row>
    <row r="30" spans="1:21" ht="13.5" customHeight="1" x14ac:dyDescent="0.3">
      <c r="A30" s="19"/>
      <c r="C30" s="31">
        <v>20</v>
      </c>
      <c r="D30" s="24" t="s">
        <v>30</v>
      </c>
      <c r="E30" s="25">
        <v>121.9</v>
      </c>
      <c r="F30" s="25">
        <v>80.7</v>
      </c>
      <c r="G30" s="25">
        <v>67.5</v>
      </c>
      <c r="H30" s="24"/>
      <c r="I30" s="25">
        <f t="shared" si="3"/>
        <v>90.736150627615075</v>
      </c>
      <c r="J30" s="47">
        <f>(I30/'AAU 13-14'!I30)-1</f>
        <v>3.9384011588523338E-2</v>
      </c>
      <c r="K30" s="18"/>
      <c r="M30" s="38">
        <f>301+108</f>
        <v>409</v>
      </c>
      <c r="N30" s="38">
        <f>242+176</f>
        <v>418</v>
      </c>
      <c r="O30" s="38">
        <f>176+192</f>
        <v>368</v>
      </c>
      <c r="P30" s="36">
        <f t="shared" si="0"/>
        <v>49857.100000000006</v>
      </c>
      <c r="Q30" s="36">
        <f t="shared" si="0"/>
        <v>33732.6</v>
      </c>
      <c r="R30" s="36">
        <f t="shared" si="0"/>
        <v>24840</v>
      </c>
      <c r="S30" s="36">
        <f t="shared" si="1"/>
        <v>1195</v>
      </c>
      <c r="T30" s="36">
        <f t="shared" si="2"/>
        <v>108429.70000000001</v>
      </c>
      <c r="U30" s="37">
        <f t="shared" si="4"/>
        <v>90.736150627615075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146.6</v>
      </c>
      <c r="F31" s="20">
        <v>98.9</v>
      </c>
      <c r="G31" s="20">
        <v>84.5</v>
      </c>
      <c r="I31" s="20">
        <f t="shared" si="3"/>
        <v>116.19414715719063</v>
      </c>
      <c r="J31" s="45">
        <f>(I31/'AAU 13-14'!I31)-1</f>
        <v>1.7837779463536485E-3</v>
      </c>
      <c r="K31" s="18"/>
      <c r="M31" s="38">
        <f>379+147</f>
        <v>526</v>
      </c>
      <c r="N31" s="38">
        <f>202+162</f>
        <v>364</v>
      </c>
      <c r="O31" s="38">
        <f>156+150</f>
        <v>306</v>
      </c>
      <c r="P31" s="36">
        <f t="shared" si="0"/>
        <v>77111.599999999991</v>
      </c>
      <c r="Q31" s="36">
        <f t="shared" si="0"/>
        <v>35999.599999999999</v>
      </c>
      <c r="R31" s="36">
        <f t="shared" si="0"/>
        <v>25857</v>
      </c>
      <c r="S31" s="36">
        <f t="shared" si="1"/>
        <v>1196</v>
      </c>
      <c r="T31" s="36">
        <f t="shared" si="2"/>
        <v>138968.19999999998</v>
      </c>
      <c r="U31" s="37">
        <f t="shared" si="4"/>
        <v>116.19414715719063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142.19999999999999</v>
      </c>
      <c r="F32" s="20">
        <v>96.1</v>
      </c>
      <c r="G32" s="20">
        <v>85.2</v>
      </c>
      <c r="I32" s="20">
        <f t="shared" si="3"/>
        <v>113.59937135159407</v>
      </c>
      <c r="J32" s="45">
        <f>(I32/'AAU 13-14'!I32)-1</f>
        <v>2.1144965749051892E-2</v>
      </c>
      <c r="K32" s="18"/>
      <c r="M32" s="38">
        <f>721+244</f>
        <v>965</v>
      </c>
      <c r="N32" s="38">
        <f>444+312</f>
        <v>756</v>
      </c>
      <c r="O32" s="38">
        <f>253+253</f>
        <v>506</v>
      </c>
      <c r="P32" s="36">
        <f t="shared" si="0"/>
        <v>137223</v>
      </c>
      <c r="Q32" s="36">
        <f t="shared" si="0"/>
        <v>72651.599999999991</v>
      </c>
      <c r="R32" s="36">
        <f t="shared" si="0"/>
        <v>43111.200000000004</v>
      </c>
      <c r="S32" s="36">
        <f t="shared" si="1"/>
        <v>2227</v>
      </c>
      <c r="T32" s="36">
        <f t="shared" si="2"/>
        <v>252985.8</v>
      </c>
      <c r="U32" s="37">
        <f t="shared" si="4"/>
        <v>113.59937135159407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126.2</v>
      </c>
      <c r="F33" s="20">
        <v>92</v>
      </c>
      <c r="G33" s="20">
        <v>83.8</v>
      </c>
      <c r="I33" s="20">
        <f t="shared" si="3"/>
        <v>102.10568654646326</v>
      </c>
      <c r="J33" s="45">
        <f>(I33/'AAU 13-14'!I33)-1</f>
        <v>0.11822208777684118</v>
      </c>
      <c r="K33" s="18"/>
      <c r="M33" s="38">
        <f>180+81</f>
        <v>261</v>
      </c>
      <c r="N33" s="38">
        <f>148+112</f>
        <v>260</v>
      </c>
      <c r="O33" s="38">
        <f>121+79</f>
        <v>200</v>
      </c>
      <c r="P33" s="36">
        <f t="shared" si="0"/>
        <v>32938.200000000004</v>
      </c>
      <c r="Q33" s="36">
        <f t="shared" si="0"/>
        <v>23920</v>
      </c>
      <c r="R33" s="36">
        <f t="shared" si="0"/>
        <v>16760</v>
      </c>
      <c r="S33" s="36">
        <f t="shared" si="1"/>
        <v>721</v>
      </c>
      <c r="T33" s="36">
        <f t="shared" si="2"/>
        <v>73618.200000000012</v>
      </c>
      <c r="U33" s="37">
        <f t="shared" si="4"/>
        <v>102.10568654646326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147</v>
      </c>
      <c r="F34" s="20">
        <v>99.2</v>
      </c>
      <c r="G34" s="20">
        <v>87.2</v>
      </c>
      <c r="I34" s="20">
        <f t="shared" si="3"/>
        <v>119.21308516638466</v>
      </c>
      <c r="J34" s="45">
        <f>(I34/'AAU 13-14'!I34)-1</f>
        <v>3.7955380865568822E-2</v>
      </c>
      <c r="K34" s="18"/>
      <c r="M34" s="38">
        <f>663+181</f>
        <v>844</v>
      </c>
      <c r="N34" s="38">
        <f>313+211</f>
        <v>524</v>
      </c>
      <c r="O34" s="38">
        <f>233+172</f>
        <v>405</v>
      </c>
      <c r="P34" s="36">
        <f t="shared" si="0"/>
        <v>124068</v>
      </c>
      <c r="Q34" s="36">
        <f t="shared" si="0"/>
        <v>51980.800000000003</v>
      </c>
      <c r="R34" s="36">
        <f t="shared" si="0"/>
        <v>35316</v>
      </c>
      <c r="S34" s="36">
        <f t="shared" si="1"/>
        <v>1773</v>
      </c>
      <c r="T34" s="36">
        <f t="shared" si="2"/>
        <v>211364.8</v>
      </c>
      <c r="U34" s="37">
        <f t="shared" si="4"/>
        <v>119.21308516638466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144.19999999999999</v>
      </c>
      <c r="F35" s="20">
        <v>96.4</v>
      </c>
      <c r="G35" s="20">
        <v>80.900000000000006</v>
      </c>
      <c r="I35" s="20">
        <f t="shared" si="3"/>
        <v>106.75124450951685</v>
      </c>
      <c r="J35" s="45">
        <f>(I35/'AAU 13-14'!I35)-1</f>
        <v>3.4175406635525762E-2</v>
      </c>
      <c r="K35" s="18"/>
      <c r="M35" s="38">
        <f>341+115</f>
        <v>456</v>
      </c>
      <c r="N35" s="38">
        <f>244+172</f>
        <v>416</v>
      </c>
      <c r="O35" s="38">
        <f>227+267</f>
        <v>494</v>
      </c>
      <c r="P35" s="36">
        <f t="shared" si="0"/>
        <v>65755.199999999997</v>
      </c>
      <c r="Q35" s="36">
        <f t="shared" si="0"/>
        <v>40102.400000000001</v>
      </c>
      <c r="R35" s="36">
        <f t="shared" si="0"/>
        <v>39964.600000000006</v>
      </c>
      <c r="S35" s="36">
        <f t="shared" si="1"/>
        <v>1366</v>
      </c>
      <c r="T35" s="36">
        <f t="shared" si="2"/>
        <v>145822.20000000001</v>
      </c>
      <c r="U35" s="37">
        <f t="shared" si="4"/>
        <v>106.75124450951685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130.30000000000001</v>
      </c>
      <c r="F36" s="20">
        <v>92.5</v>
      </c>
      <c r="G36" s="20">
        <v>81.5</v>
      </c>
      <c r="I36" s="20">
        <f t="shared" si="3"/>
        <v>106.3772585669782</v>
      </c>
      <c r="J36" s="45">
        <f>(I36/'AAU 13-14'!I36)-1</f>
        <v>1.5911534940498129E-3</v>
      </c>
      <c r="K36" s="18"/>
      <c r="M36" s="38">
        <f>692+160</f>
        <v>852</v>
      </c>
      <c r="N36" s="38">
        <f>378+198</f>
        <v>576</v>
      </c>
      <c r="O36" s="38">
        <f>258+240</f>
        <v>498</v>
      </c>
      <c r="P36" s="36">
        <f t="shared" si="0"/>
        <v>111015.6</v>
      </c>
      <c r="Q36" s="36">
        <f t="shared" si="0"/>
        <v>53280</v>
      </c>
      <c r="R36" s="36">
        <f t="shared" si="0"/>
        <v>40587</v>
      </c>
      <c r="S36" s="36">
        <f t="shared" si="1"/>
        <v>1926</v>
      </c>
      <c r="T36" s="36">
        <f t="shared" si="2"/>
        <v>204882.6</v>
      </c>
      <c r="U36" s="37">
        <f t="shared" si="4"/>
        <v>106.3772585669782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154.5</v>
      </c>
      <c r="F37" s="20">
        <v>102.3</v>
      </c>
      <c r="G37" s="20">
        <v>80.7</v>
      </c>
      <c r="I37" s="20">
        <f t="shared" ref="I37" si="5">U37</f>
        <v>118.44597544338336</v>
      </c>
      <c r="J37" s="45">
        <f>(I37/'AAU 13-14'!I37)-1</f>
        <v>-2.5716233883061546E-2</v>
      </c>
      <c r="K37" s="18"/>
      <c r="M37" s="38">
        <f>135+184</f>
        <v>319</v>
      </c>
      <c r="N37" s="39">
        <f>75+116</f>
        <v>191</v>
      </c>
      <c r="O37" s="38">
        <f>89+134</f>
        <v>223</v>
      </c>
      <c r="P37" s="36">
        <f t="shared" si="0"/>
        <v>49285.5</v>
      </c>
      <c r="Q37" s="36">
        <f t="shared" si="0"/>
        <v>19539.3</v>
      </c>
      <c r="R37" s="36">
        <f t="shared" si="0"/>
        <v>17996.100000000002</v>
      </c>
      <c r="S37" s="36">
        <f t="shared" si="1"/>
        <v>733</v>
      </c>
      <c r="T37" s="36">
        <f t="shared" si="2"/>
        <v>86820.900000000009</v>
      </c>
      <c r="U37" s="37">
        <f t="shared" si="4"/>
        <v>118.44597544338336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133.30000000000001</v>
      </c>
      <c r="F38" s="20">
        <v>93.3</v>
      </c>
      <c r="G38" s="20">
        <v>80.599999999999994</v>
      </c>
      <c r="I38" s="20">
        <f t="shared" si="3"/>
        <v>102.84405086285196</v>
      </c>
      <c r="J38" s="45">
        <f>(I38/'AAU 13-14'!I38)-1</f>
        <v>5.8378683529349829E-3</v>
      </c>
      <c r="K38" s="18"/>
      <c r="M38" s="38">
        <f>285+92</f>
        <v>377</v>
      </c>
      <c r="N38" s="38">
        <f>213+151</f>
        <v>364</v>
      </c>
      <c r="O38" s="38">
        <f>197+163</f>
        <v>360</v>
      </c>
      <c r="P38" s="36">
        <f t="shared" si="0"/>
        <v>50254.100000000006</v>
      </c>
      <c r="Q38" s="36">
        <f t="shared" si="0"/>
        <v>33961.199999999997</v>
      </c>
      <c r="R38" s="36">
        <f t="shared" si="0"/>
        <v>29015.999999999996</v>
      </c>
      <c r="S38" s="36">
        <f t="shared" si="1"/>
        <v>1101</v>
      </c>
      <c r="T38" s="36">
        <f t="shared" si="2"/>
        <v>113231.3</v>
      </c>
      <c r="U38" s="37">
        <f t="shared" si="4"/>
        <v>102.84405086285196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148.1</v>
      </c>
      <c r="F39" s="20">
        <v>101.8</v>
      </c>
      <c r="G39" s="20">
        <v>84.5</v>
      </c>
      <c r="I39" s="20">
        <f t="shared" si="3"/>
        <v>113.61057797164666</v>
      </c>
      <c r="J39" s="45">
        <f>(I39/'AAU 13-14'!I39)-1</f>
        <v>1.8907748130462698E-2</v>
      </c>
      <c r="K39" s="18"/>
      <c r="M39" s="38">
        <f>280+69</f>
        <v>349</v>
      </c>
      <c r="N39" s="38">
        <f>157+103</f>
        <v>260</v>
      </c>
      <c r="O39" s="38">
        <f>177+131</f>
        <v>308</v>
      </c>
      <c r="P39" s="36">
        <f t="shared" si="0"/>
        <v>51686.9</v>
      </c>
      <c r="Q39" s="36">
        <f t="shared" si="0"/>
        <v>26468</v>
      </c>
      <c r="R39" s="36">
        <f t="shared" si="0"/>
        <v>26026</v>
      </c>
      <c r="S39" s="36">
        <f t="shared" si="1"/>
        <v>917</v>
      </c>
      <c r="T39" s="36">
        <f t="shared" si="2"/>
        <v>104180.9</v>
      </c>
      <c r="U39" s="37">
        <f t="shared" si="4"/>
        <v>113.61057797164666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149.4</v>
      </c>
      <c r="F40" s="20">
        <v>96.8</v>
      </c>
      <c r="G40" s="20">
        <v>89.6</v>
      </c>
      <c r="I40" s="20">
        <f t="shared" si="3"/>
        <v>122.79408658922914</v>
      </c>
      <c r="J40" s="45">
        <f>(I40/'AAU 13-14'!I40)-1</f>
        <v>2.5003645237100525E-2</v>
      </c>
      <c r="K40" s="18"/>
      <c r="M40" s="38">
        <f>760+228</f>
        <v>988</v>
      </c>
      <c r="N40" s="38">
        <f>304+222</f>
        <v>526</v>
      </c>
      <c r="O40" s="38">
        <f>215+165</f>
        <v>380</v>
      </c>
      <c r="P40" s="36">
        <f t="shared" si="0"/>
        <v>147607.20000000001</v>
      </c>
      <c r="Q40" s="36">
        <f t="shared" si="0"/>
        <v>50916.799999999996</v>
      </c>
      <c r="R40" s="36">
        <f t="shared" si="0"/>
        <v>34048</v>
      </c>
      <c r="S40" s="36">
        <f t="shared" si="1"/>
        <v>1894</v>
      </c>
      <c r="T40" s="36">
        <f t="shared" si="2"/>
        <v>232572</v>
      </c>
      <c r="U40" s="37">
        <f t="shared" si="4"/>
        <v>122.79408658922914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131.4</v>
      </c>
      <c r="F41" s="20">
        <v>90.7</v>
      </c>
      <c r="G41" s="20">
        <v>83.5</v>
      </c>
      <c r="I41" s="20">
        <f t="shared" si="3"/>
        <v>109.93193871538008</v>
      </c>
      <c r="J41" s="45">
        <f>(I41/'AAU 13-14'!I41)-1</f>
        <v>3.6158701625481626E-2</v>
      </c>
      <c r="K41" s="18"/>
      <c r="M41" s="38">
        <f>710+140</f>
        <v>850</v>
      </c>
      <c r="N41" s="38">
        <f>397+178</f>
        <v>575</v>
      </c>
      <c r="O41" s="38">
        <f>162+110</f>
        <v>272</v>
      </c>
      <c r="P41" s="36">
        <f t="shared" si="0"/>
        <v>111690</v>
      </c>
      <c r="Q41" s="36">
        <f t="shared" si="0"/>
        <v>52152.5</v>
      </c>
      <c r="R41" s="36">
        <f t="shared" si="0"/>
        <v>22712</v>
      </c>
      <c r="S41" s="36">
        <f t="shared" si="1"/>
        <v>1697</v>
      </c>
      <c r="T41" s="36">
        <f t="shared" si="2"/>
        <v>186554.5</v>
      </c>
      <c r="U41" s="37">
        <f t="shared" si="4"/>
        <v>109.93193871538008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156.9</v>
      </c>
      <c r="F42" s="20">
        <v>104.9</v>
      </c>
      <c r="G42" s="20">
        <v>90.6</v>
      </c>
      <c r="I42" s="20">
        <f t="shared" si="3"/>
        <v>127.29377859103386</v>
      </c>
      <c r="J42" s="45">
        <f>(I42/'AAU 13-14'!I42)-1</f>
        <v>3.6404433137050551E-2</v>
      </c>
      <c r="K42" s="18"/>
      <c r="M42" s="38">
        <f>407+122</f>
        <v>529</v>
      </c>
      <c r="N42" s="38">
        <f>216+136</f>
        <v>352</v>
      </c>
      <c r="O42" s="38">
        <f>107+105</f>
        <v>212</v>
      </c>
      <c r="P42" s="36">
        <f t="shared" si="0"/>
        <v>83000.100000000006</v>
      </c>
      <c r="Q42" s="36">
        <f t="shared" si="0"/>
        <v>36924.800000000003</v>
      </c>
      <c r="R42" s="36">
        <f t="shared" si="0"/>
        <v>19207.199999999997</v>
      </c>
      <c r="S42" s="36">
        <f t="shared" si="1"/>
        <v>1093</v>
      </c>
      <c r="T42" s="36">
        <f t="shared" si="2"/>
        <v>139132.1</v>
      </c>
      <c r="U42" s="37">
        <f t="shared" si="4"/>
        <v>127.29377859103386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132.4</v>
      </c>
      <c r="F43" s="20">
        <v>98.3</v>
      </c>
      <c r="G43" s="20">
        <v>92.6</v>
      </c>
      <c r="I43" s="20">
        <f t="shared" si="3"/>
        <v>114.56727486756915</v>
      </c>
      <c r="J43" s="45">
        <f>(I43/'AAU 13-14'!I43)-1</f>
        <v>3.8375794310820499E-2</v>
      </c>
      <c r="K43" s="18"/>
      <c r="M43" s="38">
        <f>609+258</f>
        <v>867</v>
      </c>
      <c r="N43" s="38">
        <f>266+228</f>
        <v>494</v>
      </c>
      <c r="O43" s="38">
        <f>186+152</f>
        <v>338</v>
      </c>
      <c r="P43" s="36">
        <f t="shared" si="0"/>
        <v>114790.8</v>
      </c>
      <c r="Q43" s="36">
        <f t="shared" si="0"/>
        <v>48560.2</v>
      </c>
      <c r="R43" s="36">
        <f t="shared" si="0"/>
        <v>31298.799999999999</v>
      </c>
      <c r="S43" s="36">
        <f t="shared" si="1"/>
        <v>1699</v>
      </c>
      <c r="T43" s="36">
        <f t="shared" si="2"/>
        <v>194649.8</v>
      </c>
      <c r="U43" s="37">
        <f t="shared" si="4"/>
        <v>114.56727486756915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128.1</v>
      </c>
      <c r="F44" s="20">
        <v>95.8</v>
      </c>
      <c r="G44" s="20">
        <v>84.9</v>
      </c>
      <c r="I44" s="20">
        <f t="shared" si="3"/>
        <v>110.77986822840411</v>
      </c>
      <c r="J44" s="45">
        <f>(I44/'AAU 13-14'!I44)-1</f>
        <v>3.6847297404907886E-2</v>
      </c>
      <c r="K44" s="18"/>
      <c r="M44" s="38">
        <f>529+226</f>
        <v>755</v>
      </c>
      <c r="N44" s="38">
        <f>130+121</f>
        <v>251</v>
      </c>
      <c r="O44" s="38">
        <f>188+172</f>
        <v>360</v>
      </c>
      <c r="P44" s="36">
        <f t="shared" si="0"/>
        <v>96715.5</v>
      </c>
      <c r="Q44" s="36">
        <f t="shared" si="0"/>
        <v>24045.8</v>
      </c>
      <c r="R44" s="36">
        <f t="shared" si="0"/>
        <v>30564.000000000004</v>
      </c>
      <c r="S44" s="36">
        <f t="shared" si="1"/>
        <v>1366</v>
      </c>
      <c r="T44" s="36">
        <f t="shared" si="2"/>
        <v>151325.30000000002</v>
      </c>
      <c r="U44" s="37">
        <f t="shared" si="4"/>
        <v>110.77986822840411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144.03666116611666</v>
      </c>
      <c r="F46" s="41">
        <f t="shared" ref="F46:G46" si="6">Q46/N46</f>
        <v>96.289587680794412</v>
      </c>
      <c r="G46" s="41">
        <f t="shared" si="6"/>
        <v>84.626989960559342</v>
      </c>
      <c r="H46" s="40"/>
      <c r="I46" s="41">
        <f t="shared" si="3"/>
        <v>115.73831103714612</v>
      </c>
      <c r="J46" s="46">
        <f>(I46/'AAU 13-14'!I46)-1</f>
        <v>2.7308700205819658E-2</v>
      </c>
      <c r="K46" s="18"/>
      <c r="M46" s="39">
        <f>SUM(M11:M44)</f>
        <v>21816</v>
      </c>
      <c r="N46" s="39">
        <f t="shared" ref="N46:O46" si="7">SUM(N11:N44)</f>
        <v>13897</v>
      </c>
      <c r="O46" s="39">
        <f t="shared" si="7"/>
        <v>11156</v>
      </c>
      <c r="P46" s="39">
        <f>SUM(P11:P44)</f>
        <v>3142303.8000000007</v>
      </c>
      <c r="Q46" s="39">
        <f t="shared" ref="Q46:R46" si="8">SUM(Q11:Q44)</f>
        <v>1338136.3999999999</v>
      </c>
      <c r="R46" s="39">
        <f t="shared" si="8"/>
        <v>944098.7</v>
      </c>
      <c r="S46" s="36">
        <f>M46+N46+O46</f>
        <v>46869</v>
      </c>
      <c r="T46" s="36">
        <f>P46+Q46+R46</f>
        <v>5424538.9000000013</v>
      </c>
      <c r="U46" s="37">
        <f>T46/S46</f>
        <v>115.73831103714612</v>
      </c>
    </row>
    <row r="47" spans="1:21" ht="13.5" customHeight="1" x14ac:dyDescent="0.3">
      <c r="A47" s="19"/>
      <c r="D47" s="44" t="s">
        <v>55</v>
      </c>
      <c r="E47" s="41">
        <f>MEDIAN(E11:E44)</f>
        <v>143.1</v>
      </c>
      <c r="F47" s="41">
        <f t="shared" ref="F47:G47" si="9">MEDIAN(F11:F44)</f>
        <v>96.25</v>
      </c>
      <c r="G47" s="41">
        <f t="shared" si="9"/>
        <v>84.9</v>
      </c>
      <c r="H47" s="40"/>
      <c r="I47" s="41">
        <f>MEDIAN(I11:I44)</f>
        <v>113.60497466162036</v>
      </c>
      <c r="J47" s="46">
        <f>(I47/'AAU 13-14'!I47)-1</f>
        <v>2.5407236035815961E-2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97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2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122.2</v>
      </c>
      <c r="F11" s="20">
        <v>85.1</v>
      </c>
      <c r="G11" s="20">
        <v>73.400000000000006</v>
      </c>
      <c r="I11" s="20">
        <f>U11</f>
        <v>99.574582425562824</v>
      </c>
      <c r="J11" s="45">
        <f>(I11/'AAU 12-13'!I11)-1</f>
        <v>1.9653987142583595E-2</v>
      </c>
      <c r="K11" s="18"/>
      <c r="M11" s="38">
        <f>463+172</f>
        <v>635</v>
      </c>
      <c r="N11" s="38">
        <f>257+175</f>
        <v>432</v>
      </c>
      <c r="O11" s="38">
        <f>159+151</f>
        <v>310</v>
      </c>
      <c r="P11" s="36">
        <f t="shared" ref="P11:P44" si="0">E11*M11</f>
        <v>77597</v>
      </c>
      <c r="Q11" s="36">
        <f t="shared" ref="Q11:Q44" si="1">F11*N11</f>
        <v>36763.199999999997</v>
      </c>
      <c r="R11" s="36">
        <f t="shared" ref="R11:R44" si="2">G11*O11</f>
        <v>22754</v>
      </c>
      <c r="S11" s="36">
        <f t="shared" ref="S11:S44" si="3">M11+N11+O11</f>
        <v>1377</v>
      </c>
      <c r="T11" s="36">
        <f t="shared" ref="T11:T44" si="4">P11+Q11+R11</f>
        <v>137114.20000000001</v>
      </c>
      <c r="U11" s="37">
        <f>T11/S11</f>
        <v>99.574582425562824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165.4</v>
      </c>
      <c r="F12" s="20">
        <v>110.2</v>
      </c>
      <c r="G12" s="20">
        <v>99.2</v>
      </c>
      <c r="I12" s="20">
        <f t="shared" ref="I12:I46" si="5">U12</f>
        <v>142.54128312412831</v>
      </c>
      <c r="J12" s="45">
        <f>(I12/'AAU 12-13'!I12)-1</f>
        <v>3.6489468302368655E-2</v>
      </c>
      <c r="K12" s="18"/>
      <c r="M12" s="38">
        <f>658+229</f>
        <v>887</v>
      </c>
      <c r="N12" s="38">
        <f>181+131</f>
        <v>312</v>
      </c>
      <c r="O12" s="38">
        <f>141+94</f>
        <v>235</v>
      </c>
      <c r="P12" s="36">
        <f t="shared" si="0"/>
        <v>146709.80000000002</v>
      </c>
      <c r="Q12" s="36">
        <f t="shared" si="1"/>
        <v>34382.400000000001</v>
      </c>
      <c r="R12" s="36">
        <f t="shared" si="2"/>
        <v>23312</v>
      </c>
      <c r="S12" s="36">
        <f t="shared" si="3"/>
        <v>1434</v>
      </c>
      <c r="T12" s="36">
        <f t="shared" si="4"/>
        <v>204404.2</v>
      </c>
      <c r="U12" s="37">
        <f t="shared" ref="U12:U44" si="6">T12/S12</f>
        <v>142.54128312412831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136.69999999999999</v>
      </c>
      <c r="F13" s="20">
        <v>92.5</v>
      </c>
      <c r="G13" s="20">
        <v>83.7</v>
      </c>
      <c r="I13" s="20">
        <f t="shared" si="5"/>
        <v>118.74323458767014</v>
      </c>
      <c r="J13" s="45">
        <f>(I13/'AAU 12-13'!I13)-1</f>
        <v>2.2055983409591029E-2</v>
      </c>
      <c r="K13" s="18"/>
      <c r="M13" s="38">
        <f>570+211</f>
        <v>781</v>
      </c>
      <c r="N13" s="38">
        <f>149+121</f>
        <v>270</v>
      </c>
      <c r="O13" s="38">
        <f>114+84</f>
        <v>198</v>
      </c>
      <c r="P13" s="36">
        <f t="shared" si="0"/>
        <v>106762.7</v>
      </c>
      <c r="Q13" s="36">
        <f t="shared" si="1"/>
        <v>24975</v>
      </c>
      <c r="R13" s="36">
        <f t="shared" si="2"/>
        <v>16572.600000000002</v>
      </c>
      <c r="S13" s="36">
        <f t="shared" si="3"/>
        <v>1249</v>
      </c>
      <c r="T13" s="36">
        <f t="shared" si="4"/>
        <v>148310.30000000002</v>
      </c>
      <c r="U13" s="37">
        <f t="shared" si="6"/>
        <v>118.74323458767014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145.6</v>
      </c>
      <c r="F14" s="20">
        <v>95.1</v>
      </c>
      <c r="G14" s="20">
        <v>85.6</v>
      </c>
      <c r="I14" s="20">
        <f t="shared" si="5"/>
        <v>121.81940463065051</v>
      </c>
      <c r="J14" s="45">
        <f>(I14/'AAU 12-13'!I14)-1</f>
        <v>3.9533506436838062E-2</v>
      </c>
      <c r="K14" s="18"/>
      <c r="M14" s="38">
        <f>383+130</f>
        <v>513</v>
      </c>
      <c r="N14" s="38">
        <f>117+101</f>
        <v>218</v>
      </c>
      <c r="O14" s="38">
        <f>99+77</f>
        <v>176</v>
      </c>
      <c r="P14" s="36">
        <f t="shared" si="0"/>
        <v>74692.800000000003</v>
      </c>
      <c r="Q14" s="36">
        <f t="shared" si="1"/>
        <v>20731.8</v>
      </c>
      <c r="R14" s="36">
        <f t="shared" si="2"/>
        <v>15065.599999999999</v>
      </c>
      <c r="S14" s="36">
        <f t="shared" si="3"/>
        <v>907</v>
      </c>
      <c r="T14" s="36">
        <f t="shared" si="4"/>
        <v>110490.20000000001</v>
      </c>
      <c r="U14" s="37">
        <f t="shared" si="6"/>
        <v>121.81940463065051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173.9</v>
      </c>
      <c r="F15" s="20">
        <v>111.8</v>
      </c>
      <c r="G15" s="20">
        <v>91.5</v>
      </c>
      <c r="I15" s="20">
        <f t="shared" si="5"/>
        <v>147.59546762589929</v>
      </c>
      <c r="J15" s="45">
        <f>(I15/'AAU 12-13'!I15)-1</f>
        <v>3.5945192189758446E-2</v>
      </c>
      <c r="K15" s="18"/>
      <c r="M15" s="38">
        <f>641+239</f>
        <v>880</v>
      </c>
      <c r="N15" s="38">
        <f>159+110</f>
        <v>269</v>
      </c>
      <c r="O15" s="38">
        <f>138+103</f>
        <v>241</v>
      </c>
      <c r="P15" s="36">
        <f t="shared" si="0"/>
        <v>153032</v>
      </c>
      <c r="Q15" s="36">
        <f t="shared" si="1"/>
        <v>30074.2</v>
      </c>
      <c r="R15" s="36">
        <f t="shared" si="2"/>
        <v>22051.5</v>
      </c>
      <c r="S15" s="36">
        <f t="shared" si="3"/>
        <v>1390</v>
      </c>
      <c r="T15" s="36">
        <f t="shared" si="4"/>
        <v>205157.7</v>
      </c>
      <c r="U15" s="37">
        <f t="shared" si="6"/>
        <v>147.59546762589929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147.9</v>
      </c>
      <c r="F16" s="20">
        <v>96.9</v>
      </c>
      <c r="G16" s="20">
        <v>90.3</v>
      </c>
      <c r="I16" s="20">
        <f t="shared" si="5"/>
        <v>126.39</v>
      </c>
      <c r="J16" s="45">
        <f>(I16/'AAU 12-13'!I16)-1</f>
        <v>3.1391509830791087E-2</v>
      </c>
      <c r="K16" s="18"/>
      <c r="M16" s="38">
        <f>431+97</f>
        <v>528</v>
      </c>
      <c r="N16" s="38">
        <f>134+70</f>
        <v>204</v>
      </c>
      <c r="O16" s="38">
        <f>102+46</f>
        <v>148</v>
      </c>
      <c r="P16" s="36">
        <f t="shared" si="0"/>
        <v>78091.199999999997</v>
      </c>
      <c r="Q16" s="36">
        <f t="shared" si="1"/>
        <v>19767.600000000002</v>
      </c>
      <c r="R16" s="36">
        <f t="shared" si="2"/>
        <v>13364.4</v>
      </c>
      <c r="S16" s="36">
        <f t="shared" si="3"/>
        <v>880</v>
      </c>
      <c r="T16" s="36">
        <f t="shared" si="4"/>
        <v>111223.2</v>
      </c>
      <c r="U16" s="37">
        <f t="shared" si="6"/>
        <v>126.39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145.19999999999999</v>
      </c>
      <c r="F17" s="20">
        <v>90</v>
      </c>
      <c r="G17" s="20">
        <v>78.2</v>
      </c>
      <c r="I17" s="20">
        <f t="shared" si="5"/>
        <v>125.65312499999999</v>
      </c>
      <c r="J17" s="45">
        <f>(I17/'AAU 12-13'!I17)-1</f>
        <v>3.8727384016402189E-2</v>
      </c>
      <c r="K17" s="18"/>
      <c r="M17" s="38">
        <f>367+147</f>
        <v>514</v>
      </c>
      <c r="N17" s="38">
        <f>101+69</f>
        <v>170</v>
      </c>
      <c r="O17" s="38">
        <f>50+34</f>
        <v>84</v>
      </c>
      <c r="P17" s="36">
        <f t="shared" si="0"/>
        <v>74632.799999999988</v>
      </c>
      <c r="Q17" s="36">
        <f t="shared" si="1"/>
        <v>15300</v>
      </c>
      <c r="R17" s="36">
        <f t="shared" si="2"/>
        <v>6568.8</v>
      </c>
      <c r="S17" s="36">
        <f t="shared" si="3"/>
        <v>768</v>
      </c>
      <c r="T17" s="36">
        <f t="shared" si="4"/>
        <v>96501.599999999991</v>
      </c>
      <c r="U17" s="37">
        <f t="shared" si="6"/>
        <v>125.65312499999999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128.80000000000001</v>
      </c>
      <c r="F18" s="20">
        <v>94.3</v>
      </c>
      <c r="G18" s="20">
        <v>82.4</v>
      </c>
      <c r="I18" s="20">
        <f t="shared" si="5"/>
        <v>105.74445479962723</v>
      </c>
      <c r="J18" s="45">
        <f>(I18/'AAU 12-13'!I18)-1</f>
        <v>1.9749317804539812E-2</v>
      </c>
      <c r="K18" s="18"/>
      <c r="M18" s="38">
        <f>345+102</f>
        <v>447</v>
      </c>
      <c r="N18" s="38">
        <f>227+135</f>
        <v>362</v>
      </c>
      <c r="O18" s="39">
        <f>151+113</f>
        <v>264</v>
      </c>
      <c r="P18" s="36">
        <f t="shared" si="0"/>
        <v>57573.600000000006</v>
      </c>
      <c r="Q18" s="36">
        <f t="shared" si="1"/>
        <v>34136.6</v>
      </c>
      <c r="R18" s="36">
        <f t="shared" si="2"/>
        <v>21753.600000000002</v>
      </c>
      <c r="S18" s="36">
        <f t="shared" si="3"/>
        <v>1073</v>
      </c>
      <c r="T18" s="36">
        <f t="shared" si="4"/>
        <v>113463.80000000002</v>
      </c>
      <c r="U18" s="37">
        <f t="shared" si="6"/>
        <v>105.74445479962723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128.30000000000001</v>
      </c>
      <c r="F19" s="20">
        <v>85.1</v>
      </c>
      <c r="G19" s="20">
        <v>76.2</v>
      </c>
      <c r="I19" s="20">
        <f t="shared" si="5"/>
        <v>101.00859835100118</v>
      </c>
      <c r="J19" s="45">
        <f>(I19/'AAU 12-13'!I19)-1</f>
        <v>6.2298024090208237E-2</v>
      </c>
      <c r="K19" s="18"/>
      <c r="M19" s="38">
        <f>552+159</f>
        <v>711</v>
      </c>
      <c r="N19" s="38">
        <f>358+213</f>
        <v>571</v>
      </c>
      <c r="O19" s="38">
        <f>213+203</f>
        <v>416</v>
      </c>
      <c r="P19" s="36">
        <f t="shared" si="0"/>
        <v>91221.3</v>
      </c>
      <c r="Q19" s="36">
        <f t="shared" si="1"/>
        <v>48592.1</v>
      </c>
      <c r="R19" s="36">
        <f t="shared" si="2"/>
        <v>31699.200000000001</v>
      </c>
      <c r="S19" s="36">
        <f t="shared" si="3"/>
        <v>1698</v>
      </c>
      <c r="T19" s="36">
        <f t="shared" si="4"/>
        <v>171512.6</v>
      </c>
      <c r="U19" s="37">
        <f t="shared" si="6"/>
        <v>101.00859835100118</v>
      </c>
    </row>
    <row r="20" spans="1:21" ht="13.5" customHeight="1" x14ac:dyDescent="0.3">
      <c r="A20" s="19"/>
      <c r="C20" s="31">
        <v>10</v>
      </c>
      <c r="D20" s="1" t="s">
        <v>20</v>
      </c>
      <c r="E20" s="20">
        <v>145.9</v>
      </c>
      <c r="F20" s="20">
        <v>99.9</v>
      </c>
      <c r="G20" s="20">
        <v>94.3</v>
      </c>
      <c r="I20" s="20">
        <f t="shared" si="5"/>
        <v>120.31311475409836</v>
      </c>
      <c r="J20" s="45">
        <f>(I20/'AAU 12-13'!I20)-1</f>
        <v>3.3644288238692921E-2</v>
      </c>
      <c r="K20" s="18"/>
      <c r="M20" s="38">
        <f>367+64</f>
        <v>431</v>
      </c>
      <c r="N20" s="38">
        <f>208+71</f>
        <v>279</v>
      </c>
      <c r="O20" s="38">
        <f>144+61</f>
        <v>205</v>
      </c>
      <c r="P20" s="36">
        <f t="shared" si="0"/>
        <v>62882.9</v>
      </c>
      <c r="Q20" s="36">
        <f t="shared" si="1"/>
        <v>27872.100000000002</v>
      </c>
      <c r="R20" s="36">
        <f t="shared" si="2"/>
        <v>19331.5</v>
      </c>
      <c r="S20" s="36">
        <f t="shared" si="3"/>
        <v>915</v>
      </c>
      <c r="T20" s="36">
        <f t="shared" si="4"/>
        <v>110086.5</v>
      </c>
      <c r="U20" s="37">
        <f t="shared" si="6"/>
        <v>120.31311475409836</v>
      </c>
    </row>
    <row r="21" spans="1:21" ht="13.5" customHeight="1" x14ac:dyDescent="0.3">
      <c r="A21" s="19"/>
      <c r="C21" s="31">
        <v>11</v>
      </c>
      <c r="D21" s="1" t="s">
        <v>21</v>
      </c>
      <c r="E21" s="20">
        <v>145</v>
      </c>
      <c r="F21" s="20">
        <v>96.2</v>
      </c>
      <c r="G21" s="20">
        <v>90.4</v>
      </c>
      <c r="I21" s="20">
        <f t="shared" si="5"/>
        <v>117.2871131119865</v>
      </c>
      <c r="J21" s="45">
        <f>(I21/'AAU 12-13'!I21)-1</f>
        <v>3.6887838813193907E-2</v>
      </c>
      <c r="K21" s="18"/>
      <c r="M21" s="38">
        <f>635+181</f>
        <v>816</v>
      </c>
      <c r="N21" s="38">
        <f>354+202</f>
        <v>556</v>
      </c>
      <c r="O21" s="38">
        <f>233+172</f>
        <v>405</v>
      </c>
      <c r="P21" s="36">
        <f t="shared" si="0"/>
        <v>118320</v>
      </c>
      <c r="Q21" s="36">
        <f t="shared" si="1"/>
        <v>53487.200000000004</v>
      </c>
      <c r="R21" s="36">
        <f t="shared" si="2"/>
        <v>36612</v>
      </c>
      <c r="S21" s="36">
        <f t="shared" si="3"/>
        <v>1777</v>
      </c>
      <c r="T21" s="36">
        <f t="shared" si="4"/>
        <v>208419.20000000001</v>
      </c>
      <c r="U21" s="37">
        <f t="shared" si="6"/>
        <v>117.2871131119865</v>
      </c>
    </row>
    <row r="22" spans="1:21" ht="13.5" customHeight="1" x14ac:dyDescent="0.3">
      <c r="A22" s="19"/>
      <c r="C22" s="31">
        <v>12</v>
      </c>
      <c r="D22" s="1" t="s">
        <v>22</v>
      </c>
      <c r="E22" s="20">
        <v>132.6</v>
      </c>
      <c r="F22" s="20">
        <v>90.7</v>
      </c>
      <c r="G22" s="20">
        <v>83</v>
      </c>
      <c r="I22" s="20">
        <f t="shared" si="5"/>
        <v>107.48473333333334</v>
      </c>
      <c r="J22" s="45">
        <f>(I22/'AAU 12-13'!I22)-1</f>
        <v>1.1557441760257303E-2</v>
      </c>
      <c r="K22" s="18"/>
      <c r="M22" s="38">
        <f>498+165</f>
        <v>663</v>
      </c>
      <c r="N22" s="38">
        <f>288+211</f>
        <v>499</v>
      </c>
      <c r="O22" s="38">
        <f>189+149</f>
        <v>338</v>
      </c>
      <c r="P22" s="36">
        <f t="shared" si="0"/>
        <v>87913.8</v>
      </c>
      <c r="Q22" s="36">
        <f t="shared" si="1"/>
        <v>45259.3</v>
      </c>
      <c r="R22" s="36">
        <f t="shared" si="2"/>
        <v>28054</v>
      </c>
      <c r="S22" s="36">
        <f t="shared" si="3"/>
        <v>1500</v>
      </c>
      <c r="T22" s="36">
        <f t="shared" si="4"/>
        <v>161227.1</v>
      </c>
      <c r="U22" s="37">
        <f t="shared" si="6"/>
        <v>107.48473333333334</v>
      </c>
    </row>
    <row r="23" spans="1:21" ht="13.5" customHeight="1" x14ac:dyDescent="0.3">
      <c r="A23" s="19"/>
      <c r="C23" s="31">
        <v>13</v>
      </c>
      <c r="D23" s="1" t="s">
        <v>23</v>
      </c>
      <c r="E23" s="20">
        <v>135.30000000000001</v>
      </c>
      <c r="F23" s="20">
        <v>89.9</v>
      </c>
      <c r="G23" s="20">
        <v>76.7</v>
      </c>
      <c r="I23" s="20">
        <f t="shared" si="5"/>
        <v>104.60308943089433</v>
      </c>
      <c r="J23" s="45">
        <f>(I23/'AAU 12-13'!I23)-1</f>
        <v>2.2266516839556383E-2</v>
      </c>
      <c r="K23" s="18"/>
      <c r="M23" s="38">
        <f>363+131</f>
        <v>494</v>
      </c>
      <c r="N23" s="38">
        <f>225+182</f>
        <v>407</v>
      </c>
      <c r="O23" s="38">
        <f>179+150</f>
        <v>329</v>
      </c>
      <c r="P23" s="36">
        <f t="shared" si="0"/>
        <v>66838.200000000012</v>
      </c>
      <c r="Q23" s="36">
        <f t="shared" si="1"/>
        <v>36589.300000000003</v>
      </c>
      <c r="R23" s="36">
        <f t="shared" si="2"/>
        <v>25234.3</v>
      </c>
      <c r="S23" s="36">
        <f t="shared" si="3"/>
        <v>1230</v>
      </c>
      <c r="T23" s="36">
        <f t="shared" si="4"/>
        <v>128661.80000000002</v>
      </c>
      <c r="U23" s="37">
        <f t="shared" si="6"/>
        <v>104.60308943089433</v>
      </c>
    </row>
    <row r="24" spans="1:21" ht="13.5" customHeight="1" x14ac:dyDescent="0.3">
      <c r="A24" s="19"/>
      <c r="C24" s="31">
        <v>14</v>
      </c>
      <c r="D24" s="1" t="s">
        <v>24</v>
      </c>
      <c r="E24" s="20">
        <v>122.3</v>
      </c>
      <c r="F24" s="20">
        <v>88.9</v>
      </c>
      <c r="G24" s="20">
        <v>78.8</v>
      </c>
      <c r="I24" s="20">
        <f t="shared" si="5"/>
        <v>100.42810457516342</v>
      </c>
      <c r="J24" s="45">
        <f>(I24/'AAU 12-13'!I24)-1</f>
        <v>2.6958319353926008E-2</v>
      </c>
      <c r="K24" s="18"/>
      <c r="M24" s="38">
        <f>412+103</f>
        <v>515</v>
      </c>
      <c r="N24" s="38">
        <f>258+145</f>
        <v>403</v>
      </c>
      <c r="O24" s="38">
        <f>171+135</f>
        <v>306</v>
      </c>
      <c r="P24" s="36">
        <f t="shared" si="0"/>
        <v>62984.5</v>
      </c>
      <c r="Q24" s="36">
        <f t="shared" si="1"/>
        <v>35826.700000000004</v>
      </c>
      <c r="R24" s="36">
        <f t="shared" si="2"/>
        <v>24112.799999999999</v>
      </c>
      <c r="S24" s="36">
        <f t="shared" si="3"/>
        <v>1224</v>
      </c>
      <c r="T24" s="36">
        <f t="shared" si="4"/>
        <v>122924.00000000001</v>
      </c>
      <c r="U24" s="37">
        <f t="shared" si="6"/>
        <v>100.42810457516342</v>
      </c>
    </row>
    <row r="25" spans="1:21" ht="13.5" customHeight="1" x14ac:dyDescent="0.3">
      <c r="A25" s="19"/>
      <c r="C25" s="31">
        <v>15</v>
      </c>
      <c r="D25" s="1" t="s">
        <v>25</v>
      </c>
      <c r="E25" s="20">
        <v>121.2</v>
      </c>
      <c r="F25" s="20">
        <v>82.3</v>
      </c>
      <c r="G25" s="20">
        <v>73.3</v>
      </c>
      <c r="I25" s="20">
        <f t="shared" si="5"/>
        <v>96.121470588235283</v>
      </c>
      <c r="J25" s="45">
        <f>(I25/'AAU 12-13'!I25)-1</f>
        <v>2.3306755096311749E-2</v>
      </c>
      <c r="K25" s="18"/>
      <c r="M25" s="38">
        <f>316+95</f>
        <v>411</v>
      </c>
      <c r="N25" s="38">
        <f>244+155</f>
        <v>399</v>
      </c>
      <c r="O25" s="38">
        <f>115+95</f>
        <v>210</v>
      </c>
      <c r="P25" s="36">
        <f t="shared" si="0"/>
        <v>49813.200000000004</v>
      </c>
      <c r="Q25" s="36">
        <f t="shared" si="1"/>
        <v>32837.699999999997</v>
      </c>
      <c r="R25" s="36">
        <f t="shared" si="2"/>
        <v>15393</v>
      </c>
      <c r="S25" s="36">
        <f t="shared" si="3"/>
        <v>1020</v>
      </c>
      <c r="T25" s="36">
        <f t="shared" si="4"/>
        <v>98043.9</v>
      </c>
      <c r="U25" s="37">
        <f t="shared" si="6"/>
        <v>96.121470588235283</v>
      </c>
    </row>
    <row r="26" spans="1:21" ht="13.5" customHeight="1" x14ac:dyDescent="0.3">
      <c r="A26" s="19"/>
      <c r="C26" s="31">
        <v>16</v>
      </c>
      <c r="D26" s="1" t="s">
        <v>26</v>
      </c>
      <c r="E26" s="20">
        <v>142</v>
      </c>
      <c r="F26" s="20">
        <v>99.2</v>
      </c>
      <c r="G26" s="20">
        <v>86.5</v>
      </c>
      <c r="I26" s="20">
        <f t="shared" si="5"/>
        <v>115.71162296243799</v>
      </c>
      <c r="J26" s="45">
        <f>(I26/'AAU 12-13'!I26)-1</f>
        <v>2.0635763967945309E-2</v>
      </c>
      <c r="K26" s="18"/>
      <c r="M26" s="38">
        <f>493+146</f>
        <v>639</v>
      </c>
      <c r="N26" s="38">
        <f>294+159</f>
        <v>453</v>
      </c>
      <c r="O26" s="38">
        <f>170+149</f>
        <v>319</v>
      </c>
      <c r="P26" s="36">
        <f t="shared" si="0"/>
        <v>90738</v>
      </c>
      <c r="Q26" s="36">
        <f t="shared" si="1"/>
        <v>44937.599999999999</v>
      </c>
      <c r="R26" s="36">
        <f t="shared" si="2"/>
        <v>27593.5</v>
      </c>
      <c r="S26" s="36">
        <f t="shared" si="3"/>
        <v>1411</v>
      </c>
      <c r="T26" s="36">
        <f t="shared" si="4"/>
        <v>163269.1</v>
      </c>
      <c r="U26" s="37">
        <f t="shared" si="6"/>
        <v>115.71162296243799</v>
      </c>
    </row>
    <row r="27" spans="1:21" ht="13.5" customHeight="1" x14ac:dyDescent="0.3">
      <c r="A27" s="19"/>
      <c r="C27" s="31">
        <v>17</v>
      </c>
      <c r="D27" s="1" t="s">
        <v>27</v>
      </c>
      <c r="E27" s="20">
        <v>156.9</v>
      </c>
      <c r="F27" s="20">
        <v>103.9</v>
      </c>
      <c r="G27" s="20">
        <v>89.6</v>
      </c>
      <c r="I27" s="20">
        <f t="shared" si="5"/>
        <v>126.36725335803614</v>
      </c>
      <c r="J27" s="45">
        <f>(I27/'AAU 12-13'!I27)-1</f>
        <v>4.1665140600835482E-2</v>
      </c>
      <c r="K27" s="18"/>
      <c r="M27" s="38">
        <f>779+283</f>
        <v>1062</v>
      </c>
      <c r="N27" s="38">
        <f>321+232</f>
        <v>553</v>
      </c>
      <c r="O27" s="38">
        <f>305+239</f>
        <v>544</v>
      </c>
      <c r="P27" s="36">
        <f t="shared" si="0"/>
        <v>166627.80000000002</v>
      </c>
      <c r="Q27" s="36">
        <f t="shared" si="1"/>
        <v>57456.700000000004</v>
      </c>
      <c r="R27" s="36">
        <f t="shared" si="2"/>
        <v>48742.399999999994</v>
      </c>
      <c r="S27" s="36">
        <f t="shared" si="3"/>
        <v>2159</v>
      </c>
      <c r="T27" s="36">
        <f t="shared" si="4"/>
        <v>272826.90000000002</v>
      </c>
      <c r="U27" s="37">
        <f t="shared" si="6"/>
        <v>126.36725335803614</v>
      </c>
    </row>
    <row r="28" spans="1:21" ht="13.5" customHeight="1" x14ac:dyDescent="0.3">
      <c r="A28" s="19"/>
      <c r="C28" s="31">
        <v>18</v>
      </c>
      <c r="D28" s="1" t="s">
        <v>28</v>
      </c>
      <c r="E28" s="20">
        <v>135.1</v>
      </c>
      <c r="F28" s="20">
        <v>92.8</v>
      </c>
      <c r="G28" s="20">
        <v>72</v>
      </c>
      <c r="I28" s="20">
        <f t="shared" si="5"/>
        <v>103.96799007444169</v>
      </c>
      <c r="J28" s="45">
        <f>(I28/'AAU 12-13'!I28)-1</f>
        <v>2.382228959981969E-2</v>
      </c>
      <c r="K28" s="18"/>
      <c r="M28" s="38">
        <f>638+191</f>
        <v>829</v>
      </c>
      <c r="N28" s="38">
        <f>360+222</f>
        <v>582</v>
      </c>
      <c r="O28" s="38">
        <f>293+311</f>
        <v>604</v>
      </c>
      <c r="P28" s="36">
        <f t="shared" si="0"/>
        <v>111997.9</v>
      </c>
      <c r="Q28" s="36">
        <f t="shared" si="1"/>
        <v>54009.599999999999</v>
      </c>
      <c r="R28" s="36">
        <f t="shared" si="2"/>
        <v>43488</v>
      </c>
      <c r="S28" s="36">
        <f t="shared" si="3"/>
        <v>2015</v>
      </c>
      <c r="T28" s="36">
        <f t="shared" si="4"/>
        <v>209495.5</v>
      </c>
      <c r="U28" s="37">
        <f t="shared" si="6"/>
        <v>103.96799007444169</v>
      </c>
    </row>
    <row r="29" spans="1:21" ht="13.5" customHeight="1" x14ac:dyDescent="0.3">
      <c r="A29" s="19"/>
      <c r="C29" s="31">
        <v>19</v>
      </c>
      <c r="D29" s="1" t="s">
        <v>29</v>
      </c>
      <c r="E29" s="20">
        <v>136</v>
      </c>
      <c r="F29" s="20">
        <v>91.9</v>
      </c>
      <c r="G29" s="20">
        <v>82.3</v>
      </c>
      <c r="I29" s="20">
        <f t="shared" si="5"/>
        <v>108.96712074303406</v>
      </c>
      <c r="J29" s="45">
        <f>(I29/'AAU 12-13'!I29)-1</f>
        <v>1.4514414841127143E-2</v>
      </c>
      <c r="K29" s="18"/>
      <c r="M29" s="38">
        <f>513+193</f>
        <v>706</v>
      </c>
      <c r="N29" s="38">
        <f>308+229</f>
        <v>537</v>
      </c>
      <c r="O29" s="38">
        <f>203+169</f>
        <v>372</v>
      </c>
      <c r="P29" s="36">
        <f t="shared" si="0"/>
        <v>96016</v>
      </c>
      <c r="Q29" s="36">
        <f t="shared" si="1"/>
        <v>49350.3</v>
      </c>
      <c r="R29" s="36">
        <f t="shared" si="2"/>
        <v>30615.599999999999</v>
      </c>
      <c r="S29" s="36">
        <f t="shared" si="3"/>
        <v>1615</v>
      </c>
      <c r="T29" s="36">
        <f t="shared" si="4"/>
        <v>175981.9</v>
      </c>
      <c r="U29" s="37">
        <f t="shared" si="6"/>
        <v>108.96712074303406</v>
      </c>
    </row>
    <row r="30" spans="1:21" ht="13.5" customHeight="1" x14ac:dyDescent="0.3">
      <c r="A30" s="19"/>
      <c r="C30" s="31">
        <v>20</v>
      </c>
      <c r="D30" s="24" t="s">
        <v>30</v>
      </c>
      <c r="E30" s="25">
        <v>117.5</v>
      </c>
      <c r="F30" s="25">
        <v>78.2</v>
      </c>
      <c r="G30" s="25">
        <v>64.7</v>
      </c>
      <c r="H30" s="24"/>
      <c r="I30" s="25">
        <f t="shared" si="5"/>
        <v>87.298004987531172</v>
      </c>
      <c r="J30" s="47">
        <f>(I30/'AAU 12-13'!I30)-1</f>
        <v>1.1748861691260659E-2</v>
      </c>
      <c r="K30" s="18"/>
      <c r="M30" s="38">
        <f>304+104</f>
        <v>408</v>
      </c>
      <c r="N30" s="38">
        <f>243+175</f>
        <v>418</v>
      </c>
      <c r="O30" s="38">
        <f>179+198</f>
        <v>377</v>
      </c>
      <c r="P30" s="36">
        <f t="shared" si="0"/>
        <v>47940</v>
      </c>
      <c r="Q30" s="36">
        <f t="shared" si="1"/>
        <v>32687.600000000002</v>
      </c>
      <c r="R30" s="36">
        <f t="shared" si="2"/>
        <v>24391.9</v>
      </c>
      <c r="S30" s="36">
        <f t="shared" si="3"/>
        <v>1203</v>
      </c>
      <c r="T30" s="36">
        <f t="shared" si="4"/>
        <v>105019.5</v>
      </c>
      <c r="U30" s="37">
        <f t="shared" si="6"/>
        <v>87.298004987531172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146.19999999999999</v>
      </c>
      <c r="F31" s="20">
        <v>97.2</v>
      </c>
      <c r="G31" s="20">
        <v>84.2</v>
      </c>
      <c r="I31" s="20">
        <f t="shared" si="5"/>
        <v>115.98725165562914</v>
      </c>
      <c r="J31" s="45">
        <f>(I31/'AAU 12-13'!I31)-1</f>
        <v>-1.4055289554419703E-2</v>
      </c>
      <c r="K31" s="18"/>
      <c r="M31" s="38">
        <f>391+156</f>
        <v>547</v>
      </c>
      <c r="N31" s="38">
        <f>196+149</f>
        <v>345</v>
      </c>
      <c r="O31" s="38">
        <f>157+159</f>
        <v>316</v>
      </c>
      <c r="P31" s="36">
        <f t="shared" si="0"/>
        <v>79971.399999999994</v>
      </c>
      <c r="Q31" s="36">
        <f t="shared" si="1"/>
        <v>33534</v>
      </c>
      <c r="R31" s="36">
        <f t="shared" si="2"/>
        <v>26607.200000000001</v>
      </c>
      <c r="S31" s="36">
        <f t="shared" si="3"/>
        <v>1208</v>
      </c>
      <c r="T31" s="36">
        <f t="shared" si="4"/>
        <v>140112.6</v>
      </c>
      <c r="U31" s="37">
        <f t="shared" si="6"/>
        <v>115.98725165562914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139.19999999999999</v>
      </c>
      <c r="F32" s="20">
        <v>94.1</v>
      </c>
      <c r="G32" s="20">
        <v>84.8</v>
      </c>
      <c r="I32" s="20">
        <f t="shared" si="5"/>
        <v>111.24705615942028</v>
      </c>
      <c r="J32" s="45">
        <f>(I32/'AAU 12-13'!I32)-1</f>
        <v>8.2667905980304823E-3</v>
      </c>
      <c r="K32" s="18"/>
      <c r="M32" s="38">
        <f>707+236</f>
        <v>943</v>
      </c>
      <c r="N32" s="38">
        <f>451+312</f>
        <v>763</v>
      </c>
      <c r="O32" s="38">
        <f>251+251</f>
        <v>502</v>
      </c>
      <c r="P32" s="36">
        <f t="shared" si="0"/>
        <v>131265.59999999998</v>
      </c>
      <c r="Q32" s="36">
        <f t="shared" si="1"/>
        <v>71798.3</v>
      </c>
      <c r="R32" s="36">
        <f t="shared" si="2"/>
        <v>42569.599999999999</v>
      </c>
      <c r="S32" s="36">
        <f t="shared" si="3"/>
        <v>2208</v>
      </c>
      <c r="T32" s="36">
        <f t="shared" si="4"/>
        <v>245633.49999999997</v>
      </c>
      <c r="U32" s="37">
        <f t="shared" si="6"/>
        <v>111.24705615942028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114.1</v>
      </c>
      <c r="F33" s="20">
        <v>82.5</v>
      </c>
      <c r="G33" s="20">
        <v>75</v>
      </c>
      <c r="I33" s="20">
        <f t="shared" si="5"/>
        <v>91.310740203193035</v>
      </c>
      <c r="J33" s="45">
        <f>(I33/'AAU 12-13'!I33)-1</f>
        <v>1.8483837750035814E-2</v>
      </c>
      <c r="K33" s="18"/>
      <c r="M33" s="38">
        <f>166+75</f>
        <v>241</v>
      </c>
      <c r="N33" s="38">
        <f>141+101</f>
        <v>242</v>
      </c>
      <c r="O33" s="38">
        <f>120+86</f>
        <v>206</v>
      </c>
      <c r="P33" s="36">
        <f t="shared" si="0"/>
        <v>27498.1</v>
      </c>
      <c r="Q33" s="36">
        <f t="shared" si="1"/>
        <v>19965</v>
      </c>
      <c r="R33" s="36">
        <f t="shared" si="2"/>
        <v>15450</v>
      </c>
      <c r="S33" s="36">
        <f t="shared" si="3"/>
        <v>689</v>
      </c>
      <c r="T33" s="36">
        <f t="shared" si="4"/>
        <v>62913.1</v>
      </c>
      <c r="U33" s="37">
        <f t="shared" si="6"/>
        <v>91.310740203193035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140.6</v>
      </c>
      <c r="F34" s="20">
        <v>96.9</v>
      </c>
      <c r="G34" s="20">
        <v>85</v>
      </c>
      <c r="I34" s="20">
        <f t="shared" si="5"/>
        <v>114.85376670716889</v>
      </c>
      <c r="J34" s="45">
        <f>(I34/'AAU 12-13'!I34)-1</f>
        <v>1.1769842289754973E-2</v>
      </c>
      <c r="K34" s="18"/>
      <c r="M34" s="38">
        <f>608+169</f>
        <v>777</v>
      </c>
      <c r="N34" s="38">
        <f>296+203</f>
        <v>499</v>
      </c>
      <c r="O34" s="38">
        <f>206+164</f>
        <v>370</v>
      </c>
      <c r="P34" s="36">
        <f t="shared" si="0"/>
        <v>109246.2</v>
      </c>
      <c r="Q34" s="36">
        <f t="shared" si="1"/>
        <v>48353.100000000006</v>
      </c>
      <c r="R34" s="36">
        <f t="shared" si="2"/>
        <v>31450</v>
      </c>
      <c r="S34" s="36">
        <f t="shared" si="3"/>
        <v>1646</v>
      </c>
      <c r="T34" s="36">
        <f t="shared" si="4"/>
        <v>189049.3</v>
      </c>
      <c r="U34" s="37">
        <f t="shared" si="6"/>
        <v>114.85376670716889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140.19999999999999</v>
      </c>
      <c r="F35" s="20">
        <v>93</v>
      </c>
      <c r="G35" s="20">
        <v>77.8</v>
      </c>
      <c r="I35" s="20">
        <f t="shared" si="5"/>
        <v>103.22353811991118</v>
      </c>
      <c r="J35" s="45">
        <f>(I35/'AAU 12-13'!I35)-1</f>
        <v>2.2513050345972507E-2</v>
      </c>
      <c r="K35" s="18"/>
      <c r="M35" s="38">
        <f>342+111</f>
        <v>453</v>
      </c>
      <c r="N35" s="38">
        <f>244+156</f>
        <v>400</v>
      </c>
      <c r="O35" s="38">
        <f>223+275</f>
        <v>498</v>
      </c>
      <c r="P35" s="36">
        <f t="shared" si="0"/>
        <v>63510.599999999991</v>
      </c>
      <c r="Q35" s="36">
        <f t="shared" si="1"/>
        <v>37200</v>
      </c>
      <c r="R35" s="36">
        <f t="shared" si="2"/>
        <v>38744.400000000001</v>
      </c>
      <c r="S35" s="36">
        <f t="shared" si="3"/>
        <v>1351</v>
      </c>
      <c r="T35" s="36">
        <f t="shared" si="4"/>
        <v>139455</v>
      </c>
      <c r="U35" s="37">
        <f t="shared" si="6"/>
        <v>103.22353811991118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130.6</v>
      </c>
      <c r="F36" s="20">
        <v>91.4</v>
      </c>
      <c r="G36" s="20">
        <v>80.7</v>
      </c>
      <c r="I36" s="20">
        <f t="shared" si="5"/>
        <v>106.20826491516146</v>
      </c>
      <c r="J36" s="45">
        <f>(I36/'AAU 12-13'!I36)-1</f>
        <v>1.9273715907209166E-2</v>
      </c>
      <c r="K36" s="18"/>
      <c r="M36" s="38">
        <f>670+140</f>
        <v>810</v>
      </c>
      <c r="N36" s="38">
        <f>378+200</f>
        <v>578</v>
      </c>
      <c r="O36" s="38">
        <f>229+210</f>
        <v>439</v>
      </c>
      <c r="P36" s="36">
        <f t="shared" si="0"/>
        <v>105786</v>
      </c>
      <c r="Q36" s="36">
        <f t="shared" si="1"/>
        <v>52829.200000000004</v>
      </c>
      <c r="R36" s="36">
        <f t="shared" si="2"/>
        <v>35427.300000000003</v>
      </c>
      <c r="S36" s="36">
        <f t="shared" si="3"/>
        <v>1827</v>
      </c>
      <c r="T36" s="36">
        <f t="shared" si="4"/>
        <v>194042.5</v>
      </c>
      <c r="U36" s="37">
        <f t="shared" si="6"/>
        <v>106.20826491516146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155.30000000000001</v>
      </c>
      <c r="F37" s="20">
        <v>103.7</v>
      </c>
      <c r="G37" s="20">
        <v>82.4</v>
      </c>
      <c r="I37" s="20">
        <f t="shared" si="5"/>
        <v>121.57235865219874</v>
      </c>
      <c r="J37" s="45">
        <f>(I37/'AAU 12-13'!I37)-1</f>
        <v>-3.6551807958939975E-3</v>
      </c>
      <c r="K37" s="18"/>
      <c r="M37" s="38">
        <f>579+212</f>
        <v>791</v>
      </c>
      <c r="N37" s="39">
        <f>256+257</f>
        <v>513</v>
      </c>
      <c r="O37" s="38">
        <f>181+266</f>
        <v>447</v>
      </c>
      <c r="P37" s="36">
        <f t="shared" si="0"/>
        <v>122842.3</v>
      </c>
      <c r="Q37" s="36">
        <f t="shared" si="1"/>
        <v>53198.1</v>
      </c>
      <c r="R37" s="36">
        <f t="shared" si="2"/>
        <v>36832.800000000003</v>
      </c>
      <c r="S37" s="36">
        <f t="shared" si="3"/>
        <v>1751</v>
      </c>
      <c r="T37" s="36">
        <f t="shared" si="4"/>
        <v>212873.2</v>
      </c>
      <c r="U37" s="37">
        <f t="shared" si="6"/>
        <v>121.57235865219874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133.4</v>
      </c>
      <c r="F38" s="20">
        <v>91.8</v>
      </c>
      <c r="G38" s="20">
        <v>77.900000000000006</v>
      </c>
      <c r="I38" s="20">
        <f t="shared" si="5"/>
        <v>102.24714548802946</v>
      </c>
      <c r="J38" s="45">
        <f>(I38/'AAU 12-13'!I38)-1</f>
        <v>-1.1863112827899758E-2</v>
      </c>
      <c r="K38" s="18"/>
      <c r="M38" s="38">
        <f>303+82</f>
        <v>385</v>
      </c>
      <c r="N38" s="38">
        <f>217+148</f>
        <v>365</v>
      </c>
      <c r="O38" s="38">
        <f>175+161</f>
        <v>336</v>
      </c>
      <c r="P38" s="36">
        <f t="shared" si="0"/>
        <v>51359</v>
      </c>
      <c r="Q38" s="36">
        <f t="shared" si="1"/>
        <v>33507</v>
      </c>
      <c r="R38" s="36">
        <f t="shared" si="2"/>
        <v>26174.400000000001</v>
      </c>
      <c r="S38" s="36">
        <f t="shared" si="3"/>
        <v>1086</v>
      </c>
      <c r="T38" s="36">
        <f t="shared" si="4"/>
        <v>111040.4</v>
      </c>
      <c r="U38" s="37">
        <f t="shared" si="6"/>
        <v>102.24714548802946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143.4</v>
      </c>
      <c r="F39" s="20">
        <v>100.2</v>
      </c>
      <c r="G39" s="20">
        <v>80.5</v>
      </c>
      <c r="I39" s="20">
        <f t="shared" si="5"/>
        <v>111.50232018561485</v>
      </c>
      <c r="J39" s="45">
        <f>(I39/'AAU 12-13'!I39)-1</f>
        <v>3.1808600497869044E-3</v>
      </c>
      <c r="K39" s="18"/>
      <c r="M39" s="38">
        <f>277+68</f>
        <v>345</v>
      </c>
      <c r="N39" s="38">
        <f>159+96</f>
        <v>255</v>
      </c>
      <c r="O39" s="38">
        <f>140+122</f>
        <v>262</v>
      </c>
      <c r="P39" s="36">
        <f t="shared" si="0"/>
        <v>49473</v>
      </c>
      <c r="Q39" s="36">
        <f t="shared" si="1"/>
        <v>25551</v>
      </c>
      <c r="R39" s="36">
        <f t="shared" si="2"/>
        <v>21091</v>
      </c>
      <c r="S39" s="36">
        <f t="shared" si="3"/>
        <v>862</v>
      </c>
      <c r="T39" s="36">
        <f t="shared" si="4"/>
        <v>96115</v>
      </c>
      <c r="U39" s="37">
        <f t="shared" si="6"/>
        <v>111.50232018561485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145.4</v>
      </c>
      <c r="F40" s="20">
        <v>94.4</v>
      </c>
      <c r="G40" s="20">
        <v>88.5</v>
      </c>
      <c r="I40" s="20">
        <f t="shared" si="5"/>
        <v>119.79868282402529</v>
      </c>
      <c r="J40" s="45">
        <f>(I40/'AAU 12-13'!I40)-1</f>
        <v>1.7546229910647027E-2</v>
      </c>
      <c r="K40" s="18"/>
      <c r="M40" s="38">
        <f>765+225</f>
        <v>990</v>
      </c>
      <c r="N40" s="38">
        <f>313+208</f>
        <v>521</v>
      </c>
      <c r="O40" s="38">
        <f>225+162</f>
        <v>387</v>
      </c>
      <c r="P40" s="36">
        <f t="shared" si="0"/>
        <v>143946</v>
      </c>
      <c r="Q40" s="36">
        <f t="shared" si="1"/>
        <v>49182.400000000001</v>
      </c>
      <c r="R40" s="36">
        <f t="shared" si="2"/>
        <v>34249.5</v>
      </c>
      <c r="S40" s="36">
        <f t="shared" si="3"/>
        <v>1898</v>
      </c>
      <c r="T40" s="36">
        <f t="shared" si="4"/>
        <v>227377.9</v>
      </c>
      <c r="U40" s="37">
        <f t="shared" si="6"/>
        <v>119.79868282402529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128.19999999999999</v>
      </c>
      <c r="F41" s="20">
        <v>88.1</v>
      </c>
      <c r="G41" s="20">
        <v>80.400000000000006</v>
      </c>
      <c r="I41" s="20">
        <f t="shared" si="5"/>
        <v>106.09565749235473</v>
      </c>
      <c r="J41" s="45">
        <f>(I41/'AAU 12-13'!I41)-1</f>
        <v>6.0710943883052426E-2</v>
      </c>
      <c r="K41" s="18"/>
      <c r="M41" s="38">
        <f>665+125</f>
        <v>790</v>
      </c>
      <c r="N41" s="38">
        <f>383+169</f>
        <v>552</v>
      </c>
      <c r="O41" s="38">
        <f>175+118</f>
        <v>293</v>
      </c>
      <c r="P41" s="36">
        <f t="shared" si="0"/>
        <v>101277.99999999999</v>
      </c>
      <c r="Q41" s="36">
        <f t="shared" si="1"/>
        <v>48631.199999999997</v>
      </c>
      <c r="R41" s="36">
        <f t="shared" si="2"/>
        <v>23557.200000000001</v>
      </c>
      <c r="S41" s="36">
        <f t="shared" si="3"/>
        <v>1635</v>
      </c>
      <c r="T41" s="36">
        <f t="shared" si="4"/>
        <v>173466.4</v>
      </c>
      <c r="U41" s="37">
        <f t="shared" si="6"/>
        <v>106.09565749235473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150.80000000000001</v>
      </c>
      <c r="F42" s="20">
        <v>99.5</v>
      </c>
      <c r="G42" s="20">
        <v>87</v>
      </c>
      <c r="I42" s="20">
        <f t="shared" si="5"/>
        <v>122.8224952741021</v>
      </c>
      <c r="J42" s="45">
        <f>(I42/'AAU 12-13'!I42)-1</f>
        <v>6.1207529898906321E-2</v>
      </c>
      <c r="K42" s="18"/>
      <c r="M42" s="38">
        <f>414+115</f>
        <v>529</v>
      </c>
      <c r="N42" s="38">
        <f>201+131</f>
        <v>332</v>
      </c>
      <c r="O42" s="38">
        <f>95+102</f>
        <v>197</v>
      </c>
      <c r="P42" s="36">
        <f t="shared" si="0"/>
        <v>79773.200000000012</v>
      </c>
      <c r="Q42" s="36">
        <f t="shared" si="1"/>
        <v>33034</v>
      </c>
      <c r="R42" s="36">
        <f t="shared" si="2"/>
        <v>17139</v>
      </c>
      <c r="S42" s="36">
        <f t="shared" si="3"/>
        <v>1058</v>
      </c>
      <c r="T42" s="36">
        <f t="shared" si="4"/>
        <v>129946.20000000001</v>
      </c>
      <c r="U42" s="37">
        <f t="shared" si="6"/>
        <v>122.8224952741021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128.1</v>
      </c>
      <c r="F43" s="20">
        <v>96.3</v>
      </c>
      <c r="G43" s="20">
        <v>86.2</v>
      </c>
      <c r="I43" s="20">
        <f t="shared" si="5"/>
        <v>110.33315250150694</v>
      </c>
      <c r="J43" s="45">
        <f>(I43/'AAU 12-13'!I43)-1</f>
        <v>3.1696632976991213E-2</v>
      </c>
      <c r="K43" s="18"/>
      <c r="M43" s="38">
        <f>604+238</f>
        <v>842</v>
      </c>
      <c r="N43" s="38">
        <f>248+223</f>
        <v>471</v>
      </c>
      <c r="O43" s="38">
        <f>192+154</f>
        <v>346</v>
      </c>
      <c r="P43" s="36">
        <f t="shared" si="0"/>
        <v>107860.2</v>
      </c>
      <c r="Q43" s="36">
        <f t="shared" si="1"/>
        <v>45357.299999999996</v>
      </c>
      <c r="R43" s="36">
        <f t="shared" si="2"/>
        <v>29825.200000000001</v>
      </c>
      <c r="S43" s="36">
        <f t="shared" si="3"/>
        <v>1659</v>
      </c>
      <c r="T43" s="36">
        <f t="shared" si="4"/>
        <v>183042.7</v>
      </c>
      <c r="U43" s="37">
        <f t="shared" si="6"/>
        <v>110.33315250150694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123.5</v>
      </c>
      <c r="F44" s="20">
        <v>93.3</v>
      </c>
      <c r="G44" s="20">
        <v>81.599999999999994</v>
      </c>
      <c r="I44" s="20">
        <f t="shared" si="5"/>
        <v>106.84299270072992</v>
      </c>
      <c r="J44" s="45">
        <f>(I44/'AAU 12-13'!I44)-1</f>
        <v>3.9464392551838756E-2</v>
      </c>
      <c r="K44" s="18"/>
      <c r="M44" s="38">
        <f>543+212</f>
        <v>755</v>
      </c>
      <c r="N44" s="38">
        <f>135+117</f>
        <v>252</v>
      </c>
      <c r="O44" s="38">
        <f>194+169</f>
        <v>363</v>
      </c>
      <c r="P44" s="36">
        <f t="shared" si="0"/>
        <v>93242.5</v>
      </c>
      <c r="Q44" s="36">
        <f t="shared" si="1"/>
        <v>23511.599999999999</v>
      </c>
      <c r="R44" s="36">
        <f t="shared" si="2"/>
        <v>29620.799999999999</v>
      </c>
      <c r="S44" s="36">
        <f t="shared" si="3"/>
        <v>1370</v>
      </c>
      <c r="T44" s="36">
        <f t="shared" si="4"/>
        <v>146374.9</v>
      </c>
      <c r="U44" s="37">
        <f t="shared" si="6"/>
        <v>106.84299270072992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139.99626608664133</v>
      </c>
      <c r="F46" s="41">
        <f t="shared" ref="F46:G46" si="7">Q46/N46</f>
        <v>93.741181519095974</v>
      </c>
      <c r="G46" s="41">
        <f t="shared" si="7"/>
        <v>81.993036312596217</v>
      </c>
      <c r="H46" s="40"/>
      <c r="I46" s="41">
        <f t="shared" si="5"/>
        <v>112.66166733909499</v>
      </c>
      <c r="J46" s="46">
        <f>(I46/'AAU 12-13'!I46)-1</f>
        <v>2.488356945194492E-2</v>
      </c>
      <c r="K46" s="18"/>
      <c r="M46" s="39">
        <f>SUM(M11:M44)</f>
        <v>22068</v>
      </c>
      <c r="N46" s="39">
        <f t="shared" ref="N46:O46" si="8">SUM(N11:N44)</f>
        <v>13982</v>
      </c>
      <c r="O46" s="39">
        <f t="shared" si="8"/>
        <v>11043</v>
      </c>
      <c r="P46" s="39">
        <f>SUM(P11:P44)</f>
        <v>3089437.6000000006</v>
      </c>
      <c r="Q46" s="39">
        <f t="shared" ref="Q46:R46" si="9">SUM(Q11:Q44)</f>
        <v>1310689.2</v>
      </c>
      <c r="R46" s="39">
        <f t="shared" si="9"/>
        <v>905449.10000000009</v>
      </c>
      <c r="S46" s="36">
        <f>M46+N46+O46</f>
        <v>47093</v>
      </c>
      <c r="T46" s="36">
        <f>P46+Q46+R46</f>
        <v>5305575.9000000004</v>
      </c>
      <c r="U46" s="37">
        <f>T46/S46</f>
        <v>112.66166733909499</v>
      </c>
    </row>
    <row r="47" spans="1:21" ht="13.5" customHeight="1" x14ac:dyDescent="0.3">
      <c r="A47" s="19"/>
      <c r="D47" s="44" t="s">
        <v>55</v>
      </c>
      <c r="E47" s="41">
        <f>MEDIAN(E11:E44)</f>
        <v>137.94999999999999</v>
      </c>
      <c r="F47" s="41">
        <f t="shared" ref="F47:G47" si="10">MEDIAN(F11:F44)</f>
        <v>93.699999999999989</v>
      </c>
      <c r="G47" s="41">
        <f t="shared" si="10"/>
        <v>82.4</v>
      </c>
      <c r="H47" s="40"/>
      <c r="I47" s="41">
        <f>MEDIAN(I11:I44)</f>
        <v>110.79010433046361</v>
      </c>
      <c r="J47" s="46">
        <f>(I47/'AAU 12-13'!I47)-1</f>
        <v>1.7622208050020349E-2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57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59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119.6</v>
      </c>
      <c r="F11" s="20">
        <v>81.900000000000006</v>
      </c>
      <c r="G11" s="20">
        <v>74</v>
      </c>
      <c r="I11" s="20">
        <f>U11</f>
        <v>97.655267062314536</v>
      </c>
      <c r="J11" s="45">
        <f>(I11/'AAU 11-12'!I11)-1</f>
        <v>7.2858289642478979E-3</v>
      </c>
      <c r="K11" s="18"/>
      <c r="M11" s="38">
        <f>463+163</f>
        <v>626</v>
      </c>
      <c r="N11" s="38">
        <f>254+169</f>
        <v>423</v>
      </c>
      <c r="O11" s="38">
        <f>159+140</f>
        <v>299</v>
      </c>
      <c r="P11" s="36">
        <f t="shared" ref="P11:P44" si="0">E11*M11</f>
        <v>74869.599999999991</v>
      </c>
      <c r="Q11" s="36">
        <f t="shared" ref="Q11:Q44" si="1">F11*N11</f>
        <v>34643.700000000004</v>
      </c>
      <c r="R11" s="36">
        <f t="shared" ref="R11:R44" si="2">G11*O11</f>
        <v>22126</v>
      </c>
      <c r="S11" s="36">
        <f t="shared" ref="S11:S44" si="3">M11+N11+O11</f>
        <v>1348</v>
      </c>
      <c r="T11" s="36">
        <f t="shared" ref="T11:T44" si="4">P11+Q11+R11</f>
        <v>131639.29999999999</v>
      </c>
      <c r="U11" s="37">
        <f>T11/S11</f>
        <v>97.655267062314536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158.9</v>
      </c>
      <c r="F12" s="20">
        <v>107.3</v>
      </c>
      <c r="G12" s="20">
        <v>94.7</v>
      </c>
      <c r="I12" s="20">
        <f t="shared" ref="I12:I46" si="5">U12</f>
        <v>137.52313697657914</v>
      </c>
      <c r="J12" s="45">
        <f>(I12/'AAU 11-12'!I12)-1</f>
        <v>3.2576816412710485E-2</v>
      </c>
      <c r="K12" s="18"/>
      <c r="M12" s="38">
        <f>659+220</f>
        <v>879</v>
      </c>
      <c r="N12" s="38">
        <f>177+133</f>
        <v>310</v>
      </c>
      <c r="O12" s="38">
        <f>131+89</f>
        <v>220</v>
      </c>
      <c r="P12" s="36">
        <f t="shared" si="0"/>
        <v>139673.1</v>
      </c>
      <c r="Q12" s="36">
        <f t="shared" si="1"/>
        <v>33263</v>
      </c>
      <c r="R12" s="36">
        <f t="shared" si="2"/>
        <v>20834</v>
      </c>
      <c r="S12" s="36">
        <f t="shared" si="3"/>
        <v>1409</v>
      </c>
      <c r="T12" s="36">
        <f t="shared" si="4"/>
        <v>193770.1</v>
      </c>
      <c r="U12" s="37">
        <f t="shared" ref="U12:U44" si="6">T12/S12</f>
        <v>137.52313697657914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133</v>
      </c>
      <c r="F13" s="20">
        <v>91.4</v>
      </c>
      <c r="G13" s="20">
        <v>81.599999999999994</v>
      </c>
      <c r="I13" s="20">
        <f t="shared" si="5"/>
        <v>116.18075380914193</v>
      </c>
      <c r="J13" s="45">
        <f>(I13/'AAU 11-12'!I13)-1</f>
        <v>2.3117054873704523E-2</v>
      </c>
      <c r="K13" s="18"/>
      <c r="M13" s="38">
        <f>585+204</f>
        <v>789</v>
      </c>
      <c r="N13" s="38">
        <f>150+112</f>
        <v>262</v>
      </c>
      <c r="O13" s="38">
        <f>109+87</f>
        <v>196</v>
      </c>
      <c r="P13" s="36">
        <f t="shared" si="0"/>
        <v>104937</v>
      </c>
      <c r="Q13" s="36">
        <f t="shared" si="1"/>
        <v>23946.800000000003</v>
      </c>
      <c r="R13" s="36">
        <f t="shared" si="2"/>
        <v>15993.599999999999</v>
      </c>
      <c r="S13" s="36">
        <f t="shared" si="3"/>
        <v>1247</v>
      </c>
      <c r="T13" s="36">
        <f t="shared" si="4"/>
        <v>144877.4</v>
      </c>
      <c r="U13" s="37">
        <f t="shared" si="6"/>
        <v>116.18075380914193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140.4</v>
      </c>
      <c r="F14" s="20">
        <v>92.6</v>
      </c>
      <c r="G14" s="20">
        <v>82.4</v>
      </c>
      <c r="I14" s="20">
        <f t="shared" si="5"/>
        <v>117.18660714285714</v>
      </c>
      <c r="J14" s="45">
        <f>(I14/'AAU 11-12'!I14)-1</f>
        <v>3.4493048860642972E-2</v>
      </c>
      <c r="K14" s="18"/>
      <c r="M14" s="38">
        <f>371+127</f>
        <v>498</v>
      </c>
      <c r="N14" s="38">
        <f>127+97</f>
        <v>224</v>
      </c>
      <c r="O14" s="38">
        <f>100+74</f>
        <v>174</v>
      </c>
      <c r="P14" s="36">
        <f t="shared" si="0"/>
        <v>69919.199999999997</v>
      </c>
      <c r="Q14" s="36">
        <f t="shared" si="1"/>
        <v>20742.399999999998</v>
      </c>
      <c r="R14" s="36">
        <f t="shared" si="2"/>
        <v>14337.6</v>
      </c>
      <c r="S14" s="36">
        <f t="shared" si="3"/>
        <v>896</v>
      </c>
      <c r="T14" s="36">
        <f t="shared" si="4"/>
        <v>104999.2</v>
      </c>
      <c r="U14" s="37">
        <f t="shared" si="6"/>
        <v>117.18660714285714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167</v>
      </c>
      <c r="F15" s="20">
        <v>110</v>
      </c>
      <c r="G15" s="20">
        <v>88.8</v>
      </c>
      <c r="I15" s="20">
        <f t="shared" si="5"/>
        <v>142.47420494699648</v>
      </c>
      <c r="J15" s="45">
        <f>(I15/'AAU 11-12'!I15)-1</f>
        <v>3.1878817987706976E-2</v>
      </c>
      <c r="K15" s="18"/>
      <c r="M15" s="38">
        <f>656+245</f>
        <v>901</v>
      </c>
      <c r="N15" s="38">
        <f>157+102</f>
        <v>259</v>
      </c>
      <c r="O15" s="38">
        <f>151+104</f>
        <v>255</v>
      </c>
      <c r="P15" s="36">
        <f t="shared" si="0"/>
        <v>150467</v>
      </c>
      <c r="Q15" s="36">
        <f t="shared" si="1"/>
        <v>28490</v>
      </c>
      <c r="R15" s="36">
        <f t="shared" si="2"/>
        <v>22644</v>
      </c>
      <c r="S15" s="36">
        <f t="shared" si="3"/>
        <v>1415</v>
      </c>
      <c r="T15" s="36">
        <f t="shared" si="4"/>
        <v>201601</v>
      </c>
      <c r="U15" s="37">
        <f t="shared" si="6"/>
        <v>142.47420494699648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142.5</v>
      </c>
      <c r="F16" s="20">
        <v>92.8</v>
      </c>
      <c r="G16" s="20">
        <v>88.7</v>
      </c>
      <c r="I16" s="20">
        <f t="shared" si="5"/>
        <v>122.54318442153493</v>
      </c>
      <c r="J16" s="45">
        <f>(I16/'AAU 11-12'!I16)-1</f>
        <v>2.1403320767348966E-2</v>
      </c>
      <c r="K16" s="18"/>
      <c r="M16" s="38">
        <f>441+93</f>
        <v>534</v>
      </c>
      <c r="N16" s="38">
        <f>131+68</f>
        <v>199</v>
      </c>
      <c r="O16" s="38">
        <f>93+47</f>
        <v>140</v>
      </c>
      <c r="P16" s="36">
        <f t="shared" si="0"/>
        <v>76095</v>
      </c>
      <c r="Q16" s="36">
        <f t="shared" si="1"/>
        <v>18467.2</v>
      </c>
      <c r="R16" s="36">
        <f t="shared" si="2"/>
        <v>12418</v>
      </c>
      <c r="S16" s="36">
        <f t="shared" si="3"/>
        <v>873</v>
      </c>
      <c r="T16" s="36">
        <f t="shared" si="4"/>
        <v>106980.2</v>
      </c>
      <c r="U16" s="37">
        <f t="shared" si="6"/>
        <v>122.54318442153493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140.6</v>
      </c>
      <c r="F17" s="20">
        <v>86.8</v>
      </c>
      <c r="G17" s="20">
        <v>77.2</v>
      </c>
      <c r="I17" s="20">
        <f t="shared" si="5"/>
        <v>120.96833773087073</v>
      </c>
      <c r="J17" s="45">
        <f>(I17/'AAU 11-12'!I17)-1</f>
        <v>1.4759671808808106E-2</v>
      </c>
      <c r="K17" s="18"/>
      <c r="M17" s="38">
        <f>360+138</f>
        <v>498</v>
      </c>
      <c r="N17" s="38">
        <f>95+72</f>
        <v>167</v>
      </c>
      <c r="O17" s="38">
        <f>61+32</f>
        <v>93</v>
      </c>
      <c r="P17" s="36">
        <f t="shared" si="0"/>
        <v>70018.8</v>
      </c>
      <c r="Q17" s="36">
        <f t="shared" si="1"/>
        <v>14495.6</v>
      </c>
      <c r="R17" s="36">
        <f t="shared" si="2"/>
        <v>7179.6</v>
      </c>
      <c r="S17" s="36">
        <f t="shared" si="3"/>
        <v>758</v>
      </c>
      <c r="T17" s="36">
        <f t="shared" si="4"/>
        <v>91694.000000000015</v>
      </c>
      <c r="U17" s="37">
        <f t="shared" si="6"/>
        <v>120.96833773087073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127.8</v>
      </c>
      <c r="F18" s="20">
        <v>92.2</v>
      </c>
      <c r="G18" s="20">
        <v>79.400000000000006</v>
      </c>
      <c r="I18" s="20">
        <f t="shared" si="5"/>
        <v>103.69651928504234</v>
      </c>
      <c r="J18" s="45">
        <f>(I18/'AAU 11-12'!I18)-1</f>
        <v>2.170182228106099E-2</v>
      </c>
      <c r="K18" s="18"/>
      <c r="M18" s="38">
        <f>337+103</f>
        <v>440</v>
      </c>
      <c r="N18" s="38">
        <f>228+126</f>
        <v>354</v>
      </c>
      <c r="O18" s="39">
        <f>152+117</f>
        <v>269</v>
      </c>
      <c r="P18" s="36">
        <f t="shared" si="0"/>
        <v>56232</v>
      </c>
      <c r="Q18" s="36">
        <f t="shared" si="1"/>
        <v>32638.799999999999</v>
      </c>
      <c r="R18" s="36">
        <f t="shared" si="2"/>
        <v>21358.600000000002</v>
      </c>
      <c r="S18" s="36">
        <f t="shared" si="3"/>
        <v>1063</v>
      </c>
      <c r="T18" s="36">
        <f t="shared" si="4"/>
        <v>110229.40000000001</v>
      </c>
      <c r="U18" s="37">
        <f t="shared" si="6"/>
        <v>103.69651928504234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122.5</v>
      </c>
      <c r="F19" s="20">
        <v>81.099999999999994</v>
      </c>
      <c r="G19" s="20">
        <v>71</v>
      </c>
      <c r="I19" s="20">
        <f t="shared" si="5"/>
        <v>95.084991273996508</v>
      </c>
      <c r="J19" s="45">
        <f>(I19/'AAU 11-12'!I19)-1</f>
        <v>1.6483768251409181E-2</v>
      </c>
      <c r="K19" s="18"/>
      <c r="M19" s="38">
        <f>540+149</f>
        <v>689</v>
      </c>
      <c r="N19" s="38">
        <f>376+210</f>
        <v>586</v>
      </c>
      <c r="O19" s="38">
        <f>237+207</f>
        <v>444</v>
      </c>
      <c r="P19" s="36">
        <f t="shared" si="0"/>
        <v>84402.5</v>
      </c>
      <c r="Q19" s="36">
        <f t="shared" si="1"/>
        <v>47524.6</v>
      </c>
      <c r="R19" s="36">
        <f t="shared" si="2"/>
        <v>31524</v>
      </c>
      <c r="S19" s="36">
        <f t="shared" si="3"/>
        <v>1719</v>
      </c>
      <c r="T19" s="36">
        <f t="shared" si="4"/>
        <v>163451.1</v>
      </c>
      <c r="U19" s="37">
        <f t="shared" si="6"/>
        <v>95.084991273996508</v>
      </c>
    </row>
    <row r="20" spans="1:21" ht="13.5" customHeight="1" x14ac:dyDescent="0.3">
      <c r="A20" s="19"/>
      <c r="C20" s="31">
        <v>10</v>
      </c>
      <c r="D20" s="1" t="s">
        <v>20</v>
      </c>
      <c r="E20" s="20">
        <v>142.6</v>
      </c>
      <c r="F20" s="20">
        <v>95.4</v>
      </c>
      <c r="G20" s="20">
        <v>89.7</v>
      </c>
      <c r="I20" s="20">
        <f t="shared" si="5"/>
        <v>116.39701986754966</v>
      </c>
      <c r="J20" s="45">
        <f>(I20/'AAU 11-12'!I20)-1</f>
        <v>1.6936021154319469E-2</v>
      </c>
      <c r="K20" s="18"/>
      <c r="M20" s="38">
        <f>368+61</f>
        <v>429</v>
      </c>
      <c r="N20" s="38">
        <f>197+65</f>
        <v>262</v>
      </c>
      <c r="O20" s="38">
        <f>150+65</f>
        <v>215</v>
      </c>
      <c r="P20" s="36">
        <f t="shared" si="0"/>
        <v>61175.399999999994</v>
      </c>
      <c r="Q20" s="36">
        <f t="shared" si="1"/>
        <v>24994.800000000003</v>
      </c>
      <c r="R20" s="36">
        <f t="shared" si="2"/>
        <v>19285.5</v>
      </c>
      <c r="S20" s="36">
        <f t="shared" si="3"/>
        <v>906</v>
      </c>
      <c r="T20" s="36">
        <f t="shared" si="4"/>
        <v>105455.7</v>
      </c>
      <c r="U20" s="37">
        <f t="shared" si="6"/>
        <v>116.39701986754966</v>
      </c>
    </row>
    <row r="21" spans="1:21" ht="13.5" customHeight="1" x14ac:dyDescent="0.3">
      <c r="A21" s="19"/>
      <c r="C21" s="31">
        <v>11</v>
      </c>
      <c r="D21" s="1" t="s">
        <v>21</v>
      </c>
      <c r="E21" s="20">
        <v>141.69999999999999</v>
      </c>
      <c r="F21" s="20">
        <v>91.1</v>
      </c>
      <c r="G21" s="20">
        <v>87.4</v>
      </c>
      <c r="I21" s="20">
        <f t="shared" si="5"/>
        <v>113.11456140350874</v>
      </c>
      <c r="J21" s="45">
        <f>(I21/'AAU 11-12'!I21)-1</f>
        <v>3.8780929365346939E-2</v>
      </c>
      <c r="K21" s="18"/>
      <c r="M21" s="38">
        <f>616+157</f>
        <v>773</v>
      </c>
      <c r="N21" s="38">
        <f>340+200</f>
        <v>540</v>
      </c>
      <c r="O21" s="38">
        <f>229+168</f>
        <v>397</v>
      </c>
      <c r="P21" s="36">
        <f t="shared" si="0"/>
        <v>109534.09999999999</v>
      </c>
      <c r="Q21" s="36">
        <f t="shared" si="1"/>
        <v>49194</v>
      </c>
      <c r="R21" s="36">
        <f t="shared" si="2"/>
        <v>34697.800000000003</v>
      </c>
      <c r="S21" s="36">
        <f t="shared" si="3"/>
        <v>1710</v>
      </c>
      <c r="T21" s="36">
        <f t="shared" si="4"/>
        <v>193425.89999999997</v>
      </c>
      <c r="U21" s="37">
        <f t="shared" si="6"/>
        <v>113.11456140350874</v>
      </c>
    </row>
    <row r="22" spans="1:21" ht="13.5" customHeight="1" x14ac:dyDescent="0.3">
      <c r="A22" s="19"/>
      <c r="C22" s="31">
        <v>12</v>
      </c>
      <c r="D22" s="1" t="s">
        <v>22</v>
      </c>
      <c r="E22" s="20">
        <v>132</v>
      </c>
      <c r="F22" s="20">
        <v>88.6</v>
      </c>
      <c r="G22" s="20">
        <v>80.400000000000006</v>
      </c>
      <c r="I22" s="20">
        <f t="shared" si="5"/>
        <v>106.25667796610171</v>
      </c>
      <c r="J22" s="45">
        <f>(I22/'AAU 11-12'!I22)-1</f>
        <v>2.5644949366044223E-2</v>
      </c>
      <c r="K22" s="18"/>
      <c r="M22" s="38">
        <f>497+166</f>
        <v>663</v>
      </c>
      <c r="N22" s="38">
        <f>285+194</f>
        <v>479</v>
      </c>
      <c r="O22" s="38">
        <f>177+156</f>
        <v>333</v>
      </c>
      <c r="P22" s="36">
        <f t="shared" si="0"/>
        <v>87516</v>
      </c>
      <c r="Q22" s="36">
        <f t="shared" si="1"/>
        <v>42439.399999999994</v>
      </c>
      <c r="R22" s="36">
        <f t="shared" si="2"/>
        <v>26773.200000000001</v>
      </c>
      <c r="S22" s="36">
        <f t="shared" si="3"/>
        <v>1475</v>
      </c>
      <c r="T22" s="36">
        <f t="shared" si="4"/>
        <v>156728.6</v>
      </c>
      <c r="U22" s="37">
        <f t="shared" si="6"/>
        <v>106.25667796610171</v>
      </c>
    </row>
    <row r="23" spans="1:21" ht="13.5" customHeight="1" x14ac:dyDescent="0.3">
      <c r="A23" s="19"/>
      <c r="C23" s="31">
        <v>13</v>
      </c>
      <c r="D23" s="1" t="s">
        <v>23</v>
      </c>
      <c r="E23" s="20">
        <v>132.19999999999999</v>
      </c>
      <c r="F23" s="20">
        <v>87.4</v>
      </c>
      <c r="G23" s="20">
        <v>74.599999999999994</v>
      </c>
      <c r="I23" s="20">
        <f t="shared" si="5"/>
        <v>102.32467532467531</v>
      </c>
      <c r="J23" s="45">
        <f>(I23/'AAU 11-12'!I23)-1</f>
        <v>1.0299791162694305E-2</v>
      </c>
      <c r="K23" s="18"/>
      <c r="M23" s="38">
        <f>370+133</f>
        <v>503</v>
      </c>
      <c r="N23" s="38">
        <f>219+186</f>
        <v>405</v>
      </c>
      <c r="O23" s="38">
        <f>163+161</f>
        <v>324</v>
      </c>
      <c r="P23" s="36">
        <f t="shared" si="0"/>
        <v>66496.599999999991</v>
      </c>
      <c r="Q23" s="36">
        <f t="shared" si="1"/>
        <v>35397</v>
      </c>
      <c r="R23" s="36">
        <f t="shared" si="2"/>
        <v>24170.399999999998</v>
      </c>
      <c r="S23" s="36">
        <f t="shared" si="3"/>
        <v>1232</v>
      </c>
      <c r="T23" s="36">
        <f t="shared" si="4"/>
        <v>126063.99999999999</v>
      </c>
      <c r="U23" s="37">
        <f t="shared" si="6"/>
        <v>102.32467532467531</v>
      </c>
    </row>
    <row r="24" spans="1:21" ht="13.5" customHeight="1" x14ac:dyDescent="0.3">
      <c r="A24" s="19"/>
      <c r="C24" s="31">
        <v>14</v>
      </c>
      <c r="D24" s="1" t="s">
        <v>24</v>
      </c>
      <c r="E24" s="20">
        <v>119.3</v>
      </c>
      <c r="F24" s="20">
        <v>86.1</v>
      </c>
      <c r="G24" s="20">
        <v>76.599999999999994</v>
      </c>
      <c r="I24" s="20">
        <f t="shared" si="5"/>
        <v>97.791801948051955</v>
      </c>
      <c r="J24" s="45">
        <f>(I24/'AAU 11-12'!I24)-1</f>
        <v>2.8395153052050981E-2</v>
      </c>
      <c r="K24" s="18"/>
      <c r="M24" s="38">
        <f>427+97</f>
        <v>524</v>
      </c>
      <c r="N24" s="38">
        <f>253+140</f>
        <v>393</v>
      </c>
      <c r="O24" s="38">
        <f>174+141</f>
        <v>315</v>
      </c>
      <c r="P24" s="36">
        <f t="shared" si="0"/>
        <v>62513.2</v>
      </c>
      <c r="Q24" s="36">
        <f t="shared" si="1"/>
        <v>33837.299999999996</v>
      </c>
      <c r="R24" s="36">
        <f t="shared" si="2"/>
        <v>24129</v>
      </c>
      <c r="S24" s="36">
        <f t="shared" si="3"/>
        <v>1232</v>
      </c>
      <c r="T24" s="36">
        <f t="shared" si="4"/>
        <v>120479.5</v>
      </c>
      <c r="U24" s="37">
        <f t="shared" si="6"/>
        <v>97.791801948051955</v>
      </c>
    </row>
    <row r="25" spans="1:21" ht="13.5" customHeight="1" x14ac:dyDescent="0.3">
      <c r="A25" s="19"/>
      <c r="C25" s="31">
        <v>15</v>
      </c>
      <c r="D25" s="1" t="s">
        <v>25</v>
      </c>
      <c r="E25" s="20">
        <v>118.3</v>
      </c>
      <c r="F25" s="20">
        <v>80.599999999999994</v>
      </c>
      <c r="G25" s="20">
        <v>71.8</v>
      </c>
      <c r="I25" s="20">
        <f t="shared" si="5"/>
        <v>93.932215447154462</v>
      </c>
      <c r="J25" s="45">
        <f>(I25/'AAU 11-12'!I25)-1</f>
        <v>2.6638428958828175E-2</v>
      </c>
      <c r="K25" s="18"/>
      <c r="M25" s="38">
        <f>308+89</f>
        <v>397</v>
      </c>
      <c r="N25" s="38">
        <f>225+152</f>
        <v>377</v>
      </c>
      <c r="O25" s="38">
        <f>121+89</f>
        <v>210</v>
      </c>
      <c r="P25" s="36">
        <f t="shared" si="0"/>
        <v>46965.1</v>
      </c>
      <c r="Q25" s="36">
        <f t="shared" si="1"/>
        <v>30386.199999999997</v>
      </c>
      <c r="R25" s="36">
        <f t="shared" si="2"/>
        <v>15078</v>
      </c>
      <c r="S25" s="36">
        <f t="shared" si="3"/>
        <v>984</v>
      </c>
      <c r="T25" s="36">
        <f t="shared" si="4"/>
        <v>92429.299999999988</v>
      </c>
      <c r="U25" s="37">
        <f t="shared" si="6"/>
        <v>93.932215447154462</v>
      </c>
    </row>
    <row r="26" spans="1:21" ht="13.5" customHeight="1" x14ac:dyDescent="0.3">
      <c r="A26" s="19"/>
      <c r="C26" s="31">
        <v>16</v>
      </c>
      <c r="D26" s="1" t="s">
        <v>26</v>
      </c>
      <c r="E26" s="20">
        <v>138.1</v>
      </c>
      <c r="F26" s="20">
        <v>96.8</v>
      </c>
      <c r="G26" s="20">
        <v>85.2</v>
      </c>
      <c r="I26" s="20">
        <f t="shared" si="5"/>
        <v>113.37210300429183</v>
      </c>
      <c r="J26" s="45">
        <f>(I26/'AAU 11-12'!I26)-1</f>
        <v>1.1802144851858154E-2</v>
      </c>
      <c r="K26" s="18"/>
      <c r="M26" s="38">
        <f>503+147</f>
        <v>650</v>
      </c>
      <c r="N26" s="38">
        <f>288+143</f>
        <v>431</v>
      </c>
      <c r="O26" s="38">
        <f>174+143</f>
        <v>317</v>
      </c>
      <c r="P26" s="36">
        <f t="shared" si="0"/>
        <v>89765</v>
      </c>
      <c r="Q26" s="36">
        <f t="shared" si="1"/>
        <v>41720.799999999996</v>
      </c>
      <c r="R26" s="36">
        <f t="shared" si="2"/>
        <v>27008.400000000001</v>
      </c>
      <c r="S26" s="36">
        <f t="shared" si="3"/>
        <v>1398</v>
      </c>
      <c r="T26" s="36">
        <f t="shared" si="4"/>
        <v>158494.19999999998</v>
      </c>
      <c r="U26" s="37">
        <f t="shared" si="6"/>
        <v>113.37210300429183</v>
      </c>
    </row>
    <row r="27" spans="1:21" ht="13.5" customHeight="1" x14ac:dyDescent="0.3">
      <c r="A27" s="19"/>
      <c r="C27" s="31">
        <v>17</v>
      </c>
      <c r="D27" s="1" t="s">
        <v>27</v>
      </c>
      <c r="E27" s="20">
        <v>148.69999999999999</v>
      </c>
      <c r="F27" s="20">
        <v>101.1</v>
      </c>
      <c r="G27" s="20">
        <v>88.8</v>
      </c>
      <c r="I27" s="20">
        <f t="shared" si="5"/>
        <v>121.31274094969439</v>
      </c>
      <c r="J27" s="45">
        <f>(I27/'AAU 11-12'!I27)-1</f>
        <v>1.4473488629188846E-2</v>
      </c>
      <c r="K27" s="18"/>
      <c r="M27" s="38">
        <f>765+278</f>
        <v>1043</v>
      </c>
      <c r="N27" s="38">
        <f>325+218</f>
        <v>543</v>
      </c>
      <c r="O27" s="38">
        <f>303+238</f>
        <v>541</v>
      </c>
      <c r="P27" s="36">
        <f t="shared" si="0"/>
        <v>155094.09999999998</v>
      </c>
      <c r="Q27" s="36">
        <f t="shared" si="1"/>
        <v>54897.299999999996</v>
      </c>
      <c r="R27" s="36">
        <f t="shared" si="2"/>
        <v>48040.799999999996</v>
      </c>
      <c r="S27" s="36">
        <f t="shared" si="3"/>
        <v>2127</v>
      </c>
      <c r="T27" s="36">
        <f t="shared" si="4"/>
        <v>258032.19999999995</v>
      </c>
      <c r="U27" s="37">
        <f t="shared" si="6"/>
        <v>121.31274094969439</v>
      </c>
    </row>
    <row r="28" spans="1:21" ht="13.5" customHeight="1" x14ac:dyDescent="0.3">
      <c r="A28" s="19"/>
      <c r="C28" s="31">
        <v>18</v>
      </c>
      <c r="D28" s="1" t="s">
        <v>28</v>
      </c>
      <c r="E28" s="20">
        <v>131.19999999999999</v>
      </c>
      <c r="F28" s="20">
        <v>90.9</v>
      </c>
      <c r="G28" s="20">
        <v>71</v>
      </c>
      <c r="I28" s="20">
        <f t="shared" si="5"/>
        <v>101.54886363636363</v>
      </c>
      <c r="J28" s="45">
        <f>(I28/'AAU 11-12'!I28)-1</f>
        <v>1.4843560405455314E-2</v>
      </c>
      <c r="K28" s="18"/>
      <c r="M28" s="38">
        <f>653+186</f>
        <v>839</v>
      </c>
      <c r="N28" s="38">
        <f>339+230</f>
        <v>569</v>
      </c>
      <c r="O28" s="38">
        <f>319+297</f>
        <v>616</v>
      </c>
      <c r="P28" s="36">
        <f t="shared" si="0"/>
        <v>110076.79999999999</v>
      </c>
      <c r="Q28" s="36">
        <f t="shared" si="1"/>
        <v>51722.100000000006</v>
      </c>
      <c r="R28" s="36">
        <f t="shared" si="2"/>
        <v>43736</v>
      </c>
      <c r="S28" s="36">
        <f t="shared" si="3"/>
        <v>2024</v>
      </c>
      <c r="T28" s="36">
        <f t="shared" si="4"/>
        <v>205534.9</v>
      </c>
      <c r="U28" s="37">
        <f t="shared" si="6"/>
        <v>101.54886363636363</v>
      </c>
    </row>
    <row r="29" spans="1:21" ht="13.5" customHeight="1" x14ac:dyDescent="0.3">
      <c r="A29" s="19"/>
      <c r="C29" s="31">
        <v>19</v>
      </c>
      <c r="D29" s="1" t="s">
        <v>29</v>
      </c>
      <c r="E29" s="20">
        <v>134.30000000000001</v>
      </c>
      <c r="F29" s="20">
        <v>88.5</v>
      </c>
      <c r="G29" s="20">
        <v>81.8</v>
      </c>
      <c r="I29" s="20">
        <f t="shared" si="5"/>
        <v>107.40815423514539</v>
      </c>
      <c r="J29" s="45">
        <f>(I29/'AAU 11-12'!I29)-1</f>
        <v>5.1124999817874439E-2</v>
      </c>
      <c r="K29" s="18"/>
      <c r="M29" s="38">
        <f>515+188</f>
        <v>703</v>
      </c>
      <c r="N29" s="38">
        <f>301+237</f>
        <v>538</v>
      </c>
      <c r="O29" s="38">
        <f>185+156</f>
        <v>341</v>
      </c>
      <c r="P29" s="36">
        <f t="shared" si="0"/>
        <v>94412.900000000009</v>
      </c>
      <c r="Q29" s="36">
        <f t="shared" si="1"/>
        <v>47613</v>
      </c>
      <c r="R29" s="36">
        <f t="shared" si="2"/>
        <v>27893.8</v>
      </c>
      <c r="S29" s="36">
        <f t="shared" si="3"/>
        <v>1582</v>
      </c>
      <c r="T29" s="36">
        <f t="shared" si="4"/>
        <v>169919.7</v>
      </c>
      <c r="U29" s="37">
        <f t="shared" si="6"/>
        <v>107.40815423514539</v>
      </c>
    </row>
    <row r="30" spans="1:21" ht="13.5" customHeight="1" x14ac:dyDescent="0.3">
      <c r="A30" s="19"/>
      <c r="C30" s="31">
        <v>20</v>
      </c>
      <c r="D30" s="24" t="s">
        <v>30</v>
      </c>
      <c r="E30" s="25">
        <v>117.2</v>
      </c>
      <c r="F30" s="25">
        <v>78</v>
      </c>
      <c r="G30" s="25">
        <v>63.8</v>
      </c>
      <c r="H30" s="24"/>
      <c r="I30" s="25">
        <f t="shared" si="5"/>
        <v>86.284263114071607</v>
      </c>
      <c r="J30" s="47">
        <f>(I30/'AAU 11-12'!I30)-1</f>
        <v>3.2620722180064732E-2</v>
      </c>
      <c r="K30" s="18"/>
      <c r="M30" s="38">
        <f>298+96</f>
        <v>394</v>
      </c>
      <c r="N30" s="38">
        <f>252+168</f>
        <v>420</v>
      </c>
      <c r="O30" s="38">
        <f>179+208</f>
        <v>387</v>
      </c>
      <c r="P30" s="36">
        <f t="shared" si="0"/>
        <v>46176.800000000003</v>
      </c>
      <c r="Q30" s="36">
        <f t="shared" si="1"/>
        <v>32760</v>
      </c>
      <c r="R30" s="36">
        <f t="shared" si="2"/>
        <v>24690.6</v>
      </c>
      <c r="S30" s="36">
        <f t="shared" si="3"/>
        <v>1201</v>
      </c>
      <c r="T30" s="36">
        <f t="shared" si="4"/>
        <v>103627.4</v>
      </c>
      <c r="U30" s="37">
        <f t="shared" si="6"/>
        <v>86.284263114071607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147.9</v>
      </c>
      <c r="F31" s="20">
        <v>96.6</v>
      </c>
      <c r="G31" s="20">
        <v>84.4</v>
      </c>
      <c r="I31" s="20">
        <f t="shared" si="5"/>
        <v>117.64072612470405</v>
      </c>
      <c r="J31" s="45">
        <f>(I31/'AAU 11-12'!I31)-1</f>
        <v>3.6978473775685305E-2</v>
      </c>
      <c r="K31" s="18"/>
      <c r="M31" s="38">
        <f>430+166</f>
        <v>596</v>
      </c>
      <c r="N31" s="38">
        <f>200+150</f>
        <v>350</v>
      </c>
      <c r="O31" s="38">
        <f>164+157</f>
        <v>321</v>
      </c>
      <c r="P31" s="36">
        <f t="shared" si="0"/>
        <v>88148.400000000009</v>
      </c>
      <c r="Q31" s="36">
        <f t="shared" si="1"/>
        <v>33810</v>
      </c>
      <c r="R31" s="36">
        <f t="shared" si="2"/>
        <v>27092.400000000001</v>
      </c>
      <c r="S31" s="36">
        <f t="shared" si="3"/>
        <v>1267</v>
      </c>
      <c r="T31" s="36">
        <f t="shared" si="4"/>
        <v>149050.80000000002</v>
      </c>
      <c r="U31" s="37">
        <f t="shared" si="6"/>
        <v>117.64072612470405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136.9</v>
      </c>
      <c r="F32" s="20">
        <v>92</v>
      </c>
      <c r="G32" s="20">
        <v>85.1</v>
      </c>
      <c r="I32" s="20">
        <f t="shared" si="5"/>
        <v>110.33494031221304</v>
      </c>
      <c r="J32" s="45">
        <f>(I32/'AAU 11-12'!I32)-1</f>
        <v>2.4735597227192541E-2</v>
      </c>
      <c r="K32" s="18"/>
      <c r="M32" s="38">
        <f>735+226</f>
        <v>961</v>
      </c>
      <c r="N32" s="38">
        <f>442+309</f>
        <v>751</v>
      </c>
      <c r="O32" s="38">
        <f>245+221</f>
        <v>466</v>
      </c>
      <c r="P32" s="36">
        <f t="shared" si="0"/>
        <v>131560.9</v>
      </c>
      <c r="Q32" s="36">
        <f t="shared" si="1"/>
        <v>69092</v>
      </c>
      <c r="R32" s="36">
        <f t="shared" si="2"/>
        <v>39656.6</v>
      </c>
      <c r="S32" s="36">
        <f t="shared" si="3"/>
        <v>2178</v>
      </c>
      <c r="T32" s="36">
        <f t="shared" si="4"/>
        <v>240309.5</v>
      </c>
      <c r="U32" s="37">
        <f t="shared" si="6"/>
        <v>110.33494031221304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110.9</v>
      </c>
      <c r="F33" s="20">
        <v>80.3</v>
      </c>
      <c r="G33" s="20">
        <v>76.5</v>
      </c>
      <c r="I33" s="20">
        <f t="shared" si="5"/>
        <v>89.653597650513944</v>
      </c>
      <c r="J33" s="45">
        <f>(I33/'AAU 11-12'!I33)-1</f>
        <v>8.0212900498799478E-3</v>
      </c>
      <c r="K33" s="18"/>
      <c r="M33" s="38">
        <f>164+69</f>
        <v>233</v>
      </c>
      <c r="N33" s="38">
        <f>147+101</f>
        <v>248</v>
      </c>
      <c r="O33" s="38">
        <f>117+83</f>
        <v>200</v>
      </c>
      <c r="P33" s="36">
        <f t="shared" si="0"/>
        <v>25839.7</v>
      </c>
      <c r="Q33" s="36">
        <f t="shared" si="1"/>
        <v>19914.399999999998</v>
      </c>
      <c r="R33" s="36">
        <f t="shared" si="2"/>
        <v>15300</v>
      </c>
      <c r="S33" s="36">
        <f t="shared" si="3"/>
        <v>681</v>
      </c>
      <c r="T33" s="36">
        <f t="shared" si="4"/>
        <v>61054.1</v>
      </c>
      <c r="U33" s="37">
        <f t="shared" si="6"/>
        <v>89.653597650513944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138.69999999999999</v>
      </c>
      <c r="F34" s="20">
        <v>94.3</v>
      </c>
      <c r="G34" s="20">
        <v>82.5</v>
      </c>
      <c r="I34" s="20">
        <f t="shared" si="5"/>
        <v>113.51768149882903</v>
      </c>
      <c r="J34" s="45">
        <f>(I34/'AAU 11-12'!I34)-1</f>
        <v>6.3351527957158593E-2</v>
      </c>
      <c r="K34" s="18"/>
      <c r="M34" s="38">
        <f>658+182</f>
        <v>840</v>
      </c>
      <c r="N34" s="38">
        <f>297+192</f>
        <v>489</v>
      </c>
      <c r="O34" s="38">
        <f>207+172</f>
        <v>379</v>
      </c>
      <c r="P34" s="36">
        <f t="shared" si="0"/>
        <v>116507.99999999999</v>
      </c>
      <c r="Q34" s="36">
        <f t="shared" si="1"/>
        <v>46112.7</v>
      </c>
      <c r="R34" s="36">
        <f t="shared" si="2"/>
        <v>31267.5</v>
      </c>
      <c r="S34" s="36">
        <f t="shared" si="3"/>
        <v>1708</v>
      </c>
      <c r="T34" s="36">
        <f t="shared" si="4"/>
        <v>193888.19999999998</v>
      </c>
      <c r="U34" s="37">
        <f t="shared" si="6"/>
        <v>113.51768149882903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135.9</v>
      </c>
      <c r="F35" s="20">
        <v>91.5</v>
      </c>
      <c r="G35" s="20">
        <v>75.8</v>
      </c>
      <c r="I35" s="20">
        <f t="shared" si="5"/>
        <v>100.95082706766918</v>
      </c>
      <c r="J35" s="45">
        <f>(I35/'AAU 11-12'!I35)-1</f>
        <v>8.6965633314071145E-3</v>
      </c>
      <c r="K35" s="18"/>
      <c r="M35" s="38">
        <f>339+111</f>
        <v>450</v>
      </c>
      <c r="N35" s="38">
        <f>254+154</f>
        <v>408</v>
      </c>
      <c r="O35" s="38">
        <f>212+260</f>
        <v>472</v>
      </c>
      <c r="P35" s="36">
        <f t="shared" si="0"/>
        <v>61155</v>
      </c>
      <c r="Q35" s="36">
        <f t="shared" si="1"/>
        <v>37332</v>
      </c>
      <c r="R35" s="36">
        <f t="shared" si="2"/>
        <v>35777.599999999999</v>
      </c>
      <c r="S35" s="36">
        <f t="shared" si="3"/>
        <v>1330</v>
      </c>
      <c r="T35" s="36">
        <f t="shared" si="4"/>
        <v>134264.6</v>
      </c>
      <c r="U35" s="37">
        <f t="shared" si="6"/>
        <v>100.95082706766918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127.7</v>
      </c>
      <c r="F36" s="20">
        <v>89.3</v>
      </c>
      <c r="G36" s="20">
        <v>80.400000000000006</v>
      </c>
      <c r="I36" s="20">
        <f t="shared" si="5"/>
        <v>104.19994478188846</v>
      </c>
      <c r="J36" s="45">
        <f>(I36/'AAU 11-12'!I36)-1</f>
        <v>2.0496873937320137E-2</v>
      </c>
      <c r="K36" s="18"/>
      <c r="M36" s="38">
        <f>668+139</f>
        <v>807</v>
      </c>
      <c r="N36" s="38">
        <f>372+182</f>
        <v>554</v>
      </c>
      <c r="O36" s="38">
        <f>248+202</f>
        <v>450</v>
      </c>
      <c r="P36" s="36">
        <f t="shared" si="0"/>
        <v>103053.90000000001</v>
      </c>
      <c r="Q36" s="36">
        <f t="shared" si="1"/>
        <v>49472.2</v>
      </c>
      <c r="R36" s="36">
        <f t="shared" si="2"/>
        <v>36180</v>
      </c>
      <c r="S36" s="36">
        <f t="shared" si="3"/>
        <v>1811</v>
      </c>
      <c r="T36" s="36">
        <f t="shared" si="4"/>
        <v>188706.1</v>
      </c>
      <c r="U36" s="37">
        <f t="shared" si="6"/>
        <v>104.19994478188846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151</v>
      </c>
      <c r="F37" s="20">
        <v>101.2</v>
      </c>
      <c r="G37" s="20">
        <v>81.7</v>
      </c>
      <c r="I37" s="20">
        <f t="shared" si="5"/>
        <v>122.01835781041389</v>
      </c>
      <c r="J37" s="45">
        <f>(I37/'AAU 11-12'!I37)-1</f>
        <v>3.7615546747469253E-2</v>
      </c>
      <c r="K37" s="18"/>
      <c r="M37" s="38">
        <f>566+182</f>
        <v>748</v>
      </c>
      <c r="N37" s="39">
        <f>244+195</f>
        <v>439</v>
      </c>
      <c r="O37" s="38">
        <f>146+165</f>
        <v>311</v>
      </c>
      <c r="P37" s="36">
        <f t="shared" si="0"/>
        <v>112948</v>
      </c>
      <c r="Q37" s="36">
        <f t="shared" si="1"/>
        <v>44426.8</v>
      </c>
      <c r="R37" s="36">
        <f t="shared" si="2"/>
        <v>25408.7</v>
      </c>
      <c r="S37" s="36">
        <f t="shared" si="3"/>
        <v>1498</v>
      </c>
      <c r="T37" s="36">
        <f t="shared" si="4"/>
        <v>182783.5</v>
      </c>
      <c r="U37" s="37">
        <f t="shared" si="6"/>
        <v>122.01835781041389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133.69999999999999</v>
      </c>
      <c r="F38" s="20">
        <v>91.8</v>
      </c>
      <c r="G38" s="20">
        <v>78.5</v>
      </c>
      <c r="I38" s="20">
        <f t="shared" si="5"/>
        <v>103.4746772591857</v>
      </c>
      <c r="J38" s="45">
        <f>(I38/'AAU 11-12'!I38)-1</f>
        <v>-1.1456913950686154E-2</v>
      </c>
      <c r="K38" s="18"/>
      <c r="M38" s="38">
        <f>293+79</f>
        <v>372</v>
      </c>
      <c r="N38" s="38">
        <f>208+139</f>
        <v>347</v>
      </c>
      <c r="O38" s="38">
        <f>144+144</f>
        <v>288</v>
      </c>
      <c r="P38" s="36">
        <f t="shared" si="0"/>
        <v>49736.399999999994</v>
      </c>
      <c r="Q38" s="36">
        <f t="shared" si="1"/>
        <v>31854.6</v>
      </c>
      <c r="R38" s="36">
        <f t="shared" si="2"/>
        <v>22608</v>
      </c>
      <c r="S38" s="36">
        <f t="shared" si="3"/>
        <v>1007</v>
      </c>
      <c r="T38" s="36">
        <f t="shared" si="4"/>
        <v>104199</v>
      </c>
      <c r="U38" s="37">
        <f t="shared" si="6"/>
        <v>103.4746772591857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142.4</v>
      </c>
      <c r="F39" s="20">
        <v>98.7</v>
      </c>
      <c r="G39" s="20">
        <v>78.900000000000006</v>
      </c>
      <c r="I39" s="20">
        <f t="shared" si="5"/>
        <v>111.14877149877151</v>
      </c>
      <c r="J39" s="45">
        <f>(I39/'AAU 11-12'!I39)-1</f>
        <v>8.3375059544810171E-4</v>
      </c>
      <c r="K39" s="18"/>
      <c r="M39" s="38">
        <f>271+66</f>
        <v>337</v>
      </c>
      <c r="N39" s="38">
        <f>155+90</f>
        <v>245</v>
      </c>
      <c r="O39" s="38">
        <f>122+110</f>
        <v>232</v>
      </c>
      <c r="P39" s="36">
        <f t="shared" si="0"/>
        <v>47988.800000000003</v>
      </c>
      <c r="Q39" s="36">
        <f t="shared" si="1"/>
        <v>24181.5</v>
      </c>
      <c r="R39" s="36">
        <f t="shared" si="2"/>
        <v>18304.800000000003</v>
      </c>
      <c r="S39" s="36">
        <f t="shared" si="3"/>
        <v>814</v>
      </c>
      <c r="T39" s="36">
        <f t="shared" si="4"/>
        <v>90475.1</v>
      </c>
      <c r="U39" s="37">
        <f t="shared" si="6"/>
        <v>111.14877149877151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144</v>
      </c>
      <c r="F40" s="20">
        <v>92.8</v>
      </c>
      <c r="G40" s="20">
        <v>86</v>
      </c>
      <c r="I40" s="20">
        <f t="shared" si="5"/>
        <v>117.73291404612159</v>
      </c>
      <c r="J40" s="45">
        <f>(I40/'AAU 11-12'!I40)-1</f>
        <v>2.5896494400906134E-2</v>
      </c>
      <c r="K40" s="18"/>
      <c r="M40" s="38">
        <f>766+216</f>
        <v>982</v>
      </c>
      <c r="N40" s="38">
        <f>326+202</f>
        <v>528</v>
      </c>
      <c r="O40" s="38">
        <f>230+168</f>
        <v>398</v>
      </c>
      <c r="P40" s="36">
        <f t="shared" si="0"/>
        <v>141408</v>
      </c>
      <c r="Q40" s="36">
        <f t="shared" si="1"/>
        <v>48998.400000000001</v>
      </c>
      <c r="R40" s="36">
        <f t="shared" si="2"/>
        <v>34228</v>
      </c>
      <c r="S40" s="36">
        <f t="shared" si="3"/>
        <v>1908</v>
      </c>
      <c r="T40" s="36">
        <f t="shared" si="4"/>
        <v>224634.4</v>
      </c>
      <c r="U40" s="37">
        <f t="shared" si="6"/>
        <v>117.73291404612159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122.2</v>
      </c>
      <c r="F41" s="20">
        <v>84.5</v>
      </c>
      <c r="G41" s="20">
        <v>75.599999999999994</v>
      </c>
      <c r="I41" s="20">
        <f t="shared" si="5"/>
        <v>100.02315720808872</v>
      </c>
      <c r="J41" s="45">
        <f>(I41/'AAU 11-12'!I41)-1</f>
        <v>3.1318362703405711E-2</v>
      </c>
      <c r="K41" s="18"/>
      <c r="M41" s="38">
        <f>600+107</f>
        <v>707</v>
      </c>
      <c r="N41" s="38">
        <f>354+151</f>
        <v>505</v>
      </c>
      <c r="O41" s="38">
        <f>191+130</f>
        <v>321</v>
      </c>
      <c r="P41" s="36">
        <f t="shared" si="0"/>
        <v>86395.400000000009</v>
      </c>
      <c r="Q41" s="36">
        <f t="shared" si="1"/>
        <v>42672.5</v>
      </c>
      <c r="R41" s="36">
        <f t="shared" si="2"/>
        <v>24267.599999999999</v>
      </c>
      <c r="S41" s="36">
        <f t="shared" si="3"/>
        <v>1533</v>
      </c>
      <c r="T41" s="36">
        <f t="shared" si="4"/>
        <v>153335.5</v>
      </c>
      <c r="U41" s="37">
        <f t="shared" si="6"/>
        <v>100.02315720808872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143.19999999999999</v>
      </c>
      <c r="F42" s="20">
        <v>93.8</v>
      </c>
      <c r="G42" s="20">
        <v>82.9</v>
      </c>
      <c r="I42" s="20">
        <f t="shared" si="5"/>
        <v>115.73843175217812</v>
      </c>
      <c r="J42" s="45">
        <f>(I42/'AAU 11-12'!I42)-1</f>
        <v>-4.7347841312972427E-4</v>
      </c>
      <c r="K42" s="18"/>
      <c r="M42" s="38">
        <f>403+99</f>
        <v>502</v>
      </c>
      <c r="N42" s="38">
        <f>207+128</f>
        <v>335</v>
      </c>
      <c r="O42" s="38">
        <f>92+104</f>
        <v>196</v>
      </c>
      <c r="P42" s="36">
        <f t="shared" si="0"/>
        <v>71886.399999999994</v>
      </c>
      <c r="Q42" s="36">
        <f t="shared" si="1"/>
        <v>31423</v>
      </c>
      <c r="R42" s="36">
        <f t="shared" si="2"/>
        <v>16248.400000000001</v>
      </c>
      <c r="S42" s="36">
        <f t="shared" si="3"/>
        <v>1033</v>
      </c>
      <c r="T42" s="36">
        <f t="shared" si="4"/>
        <v>119557.79999999999</v>
      </c>
      <c r="U42" s="37">
        <f t="shared" si="6"/>
        <v>115.73843175217812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124.3</v>
      </c>
      <c r="F43" s="20">
        <v>89.2</v>
      </c>
      <c r="G43" s="20">
        <v>84.1</v>
      </c>
      <c r="I43" s="20">
        <f t="shared" si="5"/>
        <v>106.94340659340659</v>
      </c>
      <c r="J43" s="45">
        <f>(I43/'AAU 11-12'!I43)-1</f>
        <v>2.4812674136753587E-2</v>
      </c>
      <c r="K43" s="18"/>
      <c r="M43" s="38">
        <f>632+237</f>
        <v>869</v>
      </c>
      <c r="N43" s="38">
        <f>249+238</f>
        <v>487</v>
      </c>
      <c r="O43" s="38">
        <f>154+128</f>
        <v>282</v>
      </c>
      <c r="P43" s="36">
        <f t="shared" si="0"/>
        <v>108016.7</v>
      </c>
      <c r="Q43" s="36">
        <f t="shared" si="1"/>
        <v>43440.4</v>
      </c>
      <c r="R43" s="36">
        <f t="shared" si="2"/>
        <v>23716.199999999997</v>
      </c>
      <c r="S43" s="36">
        <f t="shared" si="3"/>
        <v>1638</v>
      </c>
      <c r="T43" s="36">
        <f t="shared" si="4"/>
        <v>175173.3</v>
      </c>
      <c r="U43" s="37">
        <f t="shared" si="6"/>
        <v>106.94340659340659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118.8</v>
      </c>
      <c r="F44" s="20">
        <v>91.1</v>
      </c>
      <c r="G44" s="20">
        <v>77.5</v>
      </c>
      <c r="I44" s="20">
        <f t="shared" si="5"/>
        <v>102.78658265381765</v>
      </c>
      <c r="J44" s="45">
        <f>(I44/'AAU 11-12'!I44)-1</f>
        <v>3.0823326541661533E-2</v>
      </c>
      <c r="K44" s="18"/>
      <c r="M44" s="38">
        <f>522+218</f>
        <v>740</v>
      </c>
      <c r="N44" s="38">
        <f>138+123</f>
        <v>261</v>
      </c>
      <c r="O44" s="38">
        <f>186+162</f>
        <v>348</v>
      </c>
      <c r="P44" s="36">
        <f t="shared" si="0"/>
        <v>87912</v>
      </c>
      <c r="Q44" s="36">
        <f t="shared" si="1"/>
        <v>23777.1</v>
      </c>
      <c r="R44" s="36">
        <f t="shared" si="2"/>
        <v>26970</v>
      </c>
      <c r="S44" s="36">
        <f t="shared" si="3"/>
        <v>1349</v>
      </c>
      <c r="T44" s="36">
        <f t="shared" si="4"/>
        <v>138659.1</v>
      </c>
      <c r="U44" s="37">
        <f t="shared" si="6"/>
        <v>102.78658265381765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136.37971345135972</v>
      </c>
      <c r="F46" s="41">
        <f t="shared" ref="F46" si="7">Q46/N46</f>
        <v>91.005376972530669</v>
      </c>
      <c r="G46" s="41">
        <f>R46/O46</f>
        <v>80.087879069767439</v>
      </c>
      <c r="H46" s="40"/>
      <c r="I46" s="41">
        <f t="shared" si="5"/>
        <v>109.92630840919877</v>
      </c>
      <c r="J46" s="46">
        <f>(I46/'AAU 11-12'!I46)-1</f>
        <v>2.4243333197635941E-2</v>
      </c>
      <c r="K46" s="18"/>
      <c r="M46" s="39">
        <f>SUM(M11:M44)</f>
        <v>21916</v>
      </c>
      <c r="N46" s="39">
        <f t="shared" ref="N46:O46" si="8">SUM(N11:N44)</f>
        <v>13688</v>
      </c>
      <c r="O46" s="39">
        <f t="shared" si="8"/>
        <v>10750</v>
      </c>
      <c r="P46" s="39">
        <f>SUM(P11:P44)</f>
        <v>2988897.7999999993</v>
      </c>
      <c r="Q46" s="39">
        <f t="shared" ref="Q46:R46" si="9">SUM(Q11:Q44)</f>
        <v>1245681.5999999999</v>
      </c>
      <c r="R46" s="39">
        <f t="shared" si="9"/>
        <v>860944.7</v>
      </c>
      <c r="S46" s="36">
        <f>M46+N46+O46</f>
        <v>46354</v>
      </c>
      <c r="T46" s="36">
        <f>P46+Q46+R46</f>
        <v>5095524.0999999996</v>
      </c>
      <c r="U46" s="37">
        <f>T46/S46</f>
        <v>109.92630840919877</v>
      </c>
    </row>
    <row r="47" spans="1:21" ht="13.5" customHeight="1" x14ac:dyDescent="0.3">
      <c r="A47" s="19"/>
      <c r="D47" s="44" t="s">
        <v>55</v>
      </c>
      <c r="E47" s="41">
        <f>MEDIAN(E11:E44)</f>
        <v>135.10000000000002</v>
      </c>
      <c r="F47" s="41">
        <f t="shared" ref="F47:G47" si="10">MEDIAN(F11:F44)</f>
        <v>91.45</v>
      </c>
      <c r="G47" s="41">
        <f t="shared" si="10"/>
        <v>81</v>
      </c>
      <c r="H47" s="40"/>
      <c r="I47" s="41">
        <f>MEDIAN(I11:I44)</f>
        <v>108.87154727367921</v>
      </c>
      <c r="J47" s="46">
        <f>(I47/'AAU 11-12'!I47)-1</f>
        <v>2.9866184977539012E-2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60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61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119.9</v>
      </c>
      <c r="F11" s="20">
        <v>81.8</v>
      </c>
      <c r="G11" s="20">
        <v>70.8</v>
      </c>
      <c r="I11" s="20">
        <f>U11</f>
        <v>96.948913857677894</v>
      </c>
      <c r="J11" s="45">
        <f>(I11/'AAU 10-11'!I11)-1</f>
        <v>1.3927526925922695E-2</v>
      </c>
      <c r="K11" s="18"/>
      <c r="M11" s="38">
        <f>463+155</f>
        <v>618</v>
      </c>
      <c r="N11" s="38">
        <f>253+162</f>
        <v>415</v>
      </c>
      <c r="O11" s="38">
        <f>160+142</f>
        <v>302</v>
      </c>
      <c r="P11" s="36">
        <f t="shared" ref="P11:P44" si="0">E11*M11</f>
        <v>74098.2</v>
      </c>
      <c r="Q11" s="36">
        <f t="shared" ref="Q11:Q44" si="1">F11*N11</f>
        <v>33947</v>
      </c>
      <c r="R11" s="36">
        <f t="shared" ref="R11:R44" si="2">G11*O11</f>
        <v>21381.599999999999</v>
      </c>
      <c r="S11" s="36">
        <f t="shared" ref="S11:S44" si="3">M11+N11+O11</f>
        <v>1335</v>
      </c>
      <c r="T11" s="36">
        <f t="shared" ref="T11:T44" si="4">P11+Q11+R11</f>
        <v>129426.79999999999</v>
      </c>
      <c r="U11" s="37">
        <f>T11/S11</f>
        <v>96.948913857677894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154</v>
      </c>
      <c r="F12" s="20">
        <v>104.6</v>
      </c>
      <c r="G12" s="20">
        <v>92.3</v>
      </c>
      <c r="I12" s="20">
        <f t="shared" ref="I12:I44" si="5">U12</f>
        <v>133.18441281138792</v>
      </c>
      <c r="J12" s="45">
        <f>(I12/'AAU 10-11'!I12)-1</f>
        <v>2.9928232293978452E-2</v>
      </c>
      <c r="K12" s="18"/>
      <c r="M12" s="38">
        <f>661+208</f>
        <v>869</v>
      </c>
      <c r="N12" s="38">
        <f>177+134</f>
        <v>311</v>
      </c>
      <c r="O12" s="38">
        <f>139+86</f>
        <v>225</v>
      </c>
      <c r="P12" s="36">
        <f t="shared" si="0"/>
        <v>133826</v>
      </c>
      <c r="Q12" s="36">
        <f t="shared" si="1"/>
        <v>32530.6</v>
      </c>
      <c r="R12" s="36">
        <f t="shared" si="2"/>
        <v>20767.5</v>
      </c>
      <c r="S12" s="36">
        <f t="shared" si="3"/>
        <v>1405</v>
      </c>
      <c r="T12" s="36">
        <f t="shared" si="4"/>
        <v>187124.1</v>
      </c>
      <c r="U12" s="37">
        <f t="shared" ref="U12:U44" si="6">T12/S12</f>
        <v>133.18441281138792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129.4</v>
      </c>
      <c r="F13" s="20">
        <v>90.6</v>
      </c>
      <c r="G13" s="20">
        <v>81.3</v>
      </c>
      <c r="I13" s="20">
        <f t="shared" si="5"/>
        <v>113.555680902498</v>
      </c>
      <c r="J13" s="45">
        <f>(I13/'AAU 10-11'!I13)-1</f>
        <v>5.3248199532858864E-2</v>
      </c>
      <c r="K13" s="18"/>
      <c r="M13" s="38">
        <f>579+207</f>
        <v>786</v>
      </c>
      <c r="N13" s="38">
        <f>139+100</f>
        <v>239</v>
      </c>
      <c r="O13" s="38">
        <f>117+99</f>
        <v>216</v>
      </c>
      <c r="P13" s="36">
        <f t="shared" si="0"/>
        <v>101708.40000000001</v>
      </c>
      <c r="Q13" s="36">
        <f t="shared" si="1"/>
        <v>21653.399999999998</v>
      </c>
      <c r="R13" s="36">
        <f t="shared" si="2"/>
        <v>17560.8</v>
      </c>
      <c r="S13" s="36">
        <f t="shared" si="3"/>
        <v>1241</v>
      </c>
      <c r="T13" s="36">
        <f t="shared" si="4"/>
        <v>140922.6</v>
      </c>
      <c r="U13" s="37">
        <f t="shared" si="6"/>
        <v>113.555680902498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137</v>
      </c>
      <c r="F14" s="20">
        <v>89.8</v>
      </c>
      <c r="G14" s="20">
        <v>80.7</v>
      </c>
      <c r="I14" s="20">
        <f t="shared" si="5"/>
        <v>113.2792600896861</v>
      </c>
      <c r="J14" s="45">
        <f>(I14/'AAU 10-11'!I14)-1</f>
        <v>3.9663851892346891E-2</v>
      </c>
      <c r="K14" s="18"/>
      <c r="M14" s="38">
        <f>364+115</f>
        <v>479</v>
      </c>
      <c r="N14" s="38">
        <f>133+97</f>
        <v>230</v>
      </c>
      <c r="O14" s="38">
        <f>106+77</f>
        <v>183</v>
      </c>
      <c r="P14" s="36">
        <f t="shared" si="0"/>
        <v>65623</v>
      </c>
      <c r="Q14" s="36">
        <f t="shared" si="1"/>
        <v>20654</v>
      </c>
      <c r="R14" s="36">
        <f t="shared" si="2"/>
        <v>14768.1</v>
      </c>
      <c r="S14" s="36">
        <f t="shared" si="3"/>
        <v>892</v>
      </c>
      <c r="T14" s="36">
        <f t="shared" si="4"/>
        <v>101045.1</v>
      </c>
      <c r="U14" s="37">
        <f t="shared" si="6"/>
        <v>113.2792600896861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162.6</v>
      </c>
      <c r="F15" s="20">
        <v>107.4</v>
      </c>
      <c r="G15" s="20">
        <v>87.4</v>
      </c>
      <c r="I15" s="20">
        <f t="shared" si="5"/>
        <v>138.07261324041812</v>
      </c>
      <c r="J15" s="45">
        <f>(I15/'AAU 10-11'!I15)-1</f>
        <v>5.2744706423881071E-2</v>
      </c>
      <c r="K15" s="18"/>
      <c r="M15" s="38">
        <f>665+236</f>
        <v>901</v>
      </c>
      <c r="N15" s="38">
        <f>144+104</f>
        <v>248</v>
      </c>
      <c r="O15" s="38">
        <f>164+122</f>
        <v>286</v>
      </c>
      <c r="P15" s="36">
        <f t="shared" si="0"/>
        <v>146502.6</v>
      </c>
      <c r="Q15" s="36">
        <f t="shared" si="1"/>
        <v>26635.200000000001</v>
      </c>
      <c r="R15" s="36">
        <f t="shared" si="2"/>
        <v>24996.400000000001</v>
      </c>
      <c r="S15" s="36">
        <f t="shared" si="3"/>
        <v>1435</v>
      </c>
      <c r="T15" s="36">
        <f t="shared" si="4"/>
        <v>198134.2</v>
      </c>
      <c r="U15" s="37">
        <f t="shared" si="6"/>
        <v>138.07261324041812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140.69999999999999</v>
      </c>
      <c r="F16" s="20">
        <v>90.9</v>
      </c>
      <c r="G16" s="20">
        <v>87</v>
      </c>
      <c r="I16" s="20">
        <f t="shared" si="5"/>
        <v>119.97531428571428</v>
      </c>
      <c r="J16" s="45">
        <f>(I16/'AAU 10-11'!I16)-1</f>
        <v>4.2204238814731232E-2</v>
      </c>
      <c r="K16" s="18"/>
      <c r="M16" s="38">
        <f>428+95</f>
        <v>523</v>
      </c>
      <c r="N16" s="38">
        <f>132+65</f>
        <v>197</v>
      </c>
      <c r="O16" s="38">
        <f>101+54</f>
        <v>155</v>
      </c>
      <c r="P16" s="36">
        <f t="shared" si="0"/>
        <v>73586.099999999991</v>
      </c>
      <c r="Q16" s="36">
        <f t="shared" si="1"/>
        <v>17907.300000000003</v>
      </c>
      <c r="R16" s="36">
        <f t="shared" si="2"/>
        <v>13485</v>
      </c>
      <c r="S16" s="36">
        <f t="shared" si="3"/>
        <v>875</v>
      </c>
      <c r="T16" s="36">
        <f t="shared" si="4"/>
        <v>104978.4</v>
      </c>
      <c r="U16" s="37">
        <f t="shared" si="6"/>
        <v>119.97531428571428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138.6</v>
      </c>
      <c r="F17" s="20">
        <v>85.4</v>
      </c>
      <c r="G17" s="20">
        <v>78.5</v>
      </c>
      <c r="I17" s="20">
        <f t="shared" si="5"/>
        <v>119.20885416666665</v>
      </c>
      <c r="J17" s="45">
        <f>(I17/'AAU 10-11'!I17)-1</f>
        <v>4.4346266052125438E-2</v>
      </c>
      <c r="K17" s="18"/>
      <c r="M17" s="38">
        <f>364+136</f>
        <v>500</v>
      </c>
      <c r="N17" s="38">
        <f>102+74</f>
        <v>176</v>
      </c>
      <c r="O17" s="38">
        <f>50+42</f>
        <v>92</v>
      </c>
      <c r="P17" s="36">
        <f t="shared" si="0"/>
        <v>69300</v>
      </c>
      <c r="Q17" s="36">
        <f t="shared" si="1"/>
        <v>15030.400000000001</v>
      </c>
      <c r="R17" s="36">
        <f t="shared" si="2"/>
        <v>7222</v>
      </c>
      <c r="S17" s="36">
        <f t="shared" si="3"/>
        <v>768</v>
      </c>
      <c r="T17" s="36">
        <f t="shared" si="4"/>
        <v>91552.4</v>
      </c>
      <c r="U17" s="37">
        <f t="shared" si="6"/>
        <v>119.20885416666665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125.5</v>
      </c>
      <c r="F18" s="20">
        <v>90.3</v>
      </c>
      <c r="G18" s="20">
        <v>77.5</v>
      </c>
      <c r="I18" s="20">
        <f t="shared" si="5"/>
        <v>101.49391634980989</v>
      </c>
      <c r="J18" s="45">
        <f>(I18/'AAU 10-11'!I18)-1</f>
        <v>5.6198509928139684E-2</v>
      </c>
      <c r="K18" s="18"/>
      <c r="M18" s="38">
        <f>334+102</f>
        <v>436</v>
      </c>
      <c r="N18" s="38">
        <f>217+120</f>
        <v>337</v>
      </c>
      <c r="O18" s="39">
        <f>157+122</f>
        <v>279</v>
      </c>
      <c r="P18" s="36">
        <f t="shared" si="0"/>
        <v>54718</v>
      </c>
      <c r="Q18" s="36">
        <f t="shared" si="1"/>
        <v>30431.1</v>
      </c>
      <c r="R18" s="36">
        <f t="shared" si="2"/>
        <v>21622.5</v>
      </c>
      <c r="S18" s="36">
        <f t="shared" si="3"/>
        <v>1052</v>
      </c>
      <c r="T18" s="36">
        <f t="shared" si="4"/>
        <v>106771.6</v>
      </c>
      <c r="U18" s="37">
        <f t="shared" si="6"/>
        <v>101.49391634980989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121.7</v>
      </c>
      <c r="F19" s="20">
        <v>80.099999999999994</v>
      </c>
      <c r="G19" s="20">
        <v>68.900000000000006</v>
      </c>
      <c r="I19" s="20">
        <f t="shared" si="5"/>
        <v>93.543049327354254</v>
      </c>
      <c r="J19" s="45">
        <f>(I19/'AAU 10-11'!I19)-1</f>
        <v>7.3594427711920485E-3</v>
      </c>
      <c r="K19" s="18"/>
      <c r="M19" s="38">
        <f>558+148</f>
        <v>706</v>
      </c>
      <c r="N19" s="38">
        <f>379+218</f>
        <v>597</v>
      </c>
      <c r="O19" s="38">
        <f>264+217</f>
        <v>481</v>
      </c>
      <c r="P19" s="36">
        <f t="shared" si="0"/>
        <v>85920.2</v>
      </c>
      <c r="Q19" s="36">
        <f t="shared" si="1"/>
        <v>47819.7</v>
      </c>
      <c r="R19" s="36">
        <f t="shared" si="2"/>
        <v>33140.9</v>
      </c>
      <c r="S19" s="36">
        <f t="shared" si="3"/>
        <v>1784</v>
      </c>
      <c r="T19" s="36">
        <f t="shared" si="4"/>
        <v>166880.79999999999</v>
      </c>
      <c r="U19" s="37">
        <f t="shared" si="6"/>
        <v>93.543049327354254</v>
      </c>
    </row>
    <row r="20" spans="1:21" ht="13.5" customHeight="1" x14ac:dyDescent="0.3">
      <c r="A20" s="19"/>
      <c r="C20" s="31">
        <v>10</v>
      </c>
      <c r="D20" s="1" t="s">
        <v>20</v>
      </c>
      <c r="E20" s="20">
        <v>141.30000000000001</v>
      </c>
      <c r="F20" s="20">
        <v>94.6</v>
      </c>
      <c r="G20" s="20">
        <v>86.8</v>
      </c>
      <c r="I20" s="20">
        <f t="shared" si="5"/>
        <v>114.45854748603351</v>
      </c>
      <c r="J20" s="45">
        <f>(I20/'AAU 10-11'!I20)-1</f>
        <v>6.402887985183181E-3</v>
      </c>
      <c r="K20" s="18"/>
      <c r="M20" s="38">
        <f>364+54</f>
        <v>418</v>
      </c>
      <c r="N20" s="38">
        <f>195+58</f>
        <v>253</v>
      </c>
      <c r="O20" s="38">
        <f>160+64</f>
        <v>224</v>
      </c>
      <c r="P20" s="36">
        <f t="shared" si="0"/>
        <v>59063.4</v>
      </c>
      <c r="Q20" s="36">
        <f t="shared" si="1"/>
        <v>23933.8</v>
      </c>
      <c r="R20" s="36">
        <f t="shared" si="2"/>
        <v>19443.2</v>
      </c>
      <c r="S20" s="36">
        <f t="shared" si="3"/>
        <v>895</v>
      </c>
      <c r="T20" s="36">
        <f t="shared" si="4"/>
        <v>102440.4</v>
      </c>
      <c r="U20" s="37">
        <f t="shared" si="6"/>
        <v>114.45854748603351</v>
      </c>
    </row>
    <row r="21" spans="1:21" ht="13.5" customHeight="1" x14ac:dyDescent="0.3">
      <c r="A21" s="19"/>
      <c r="C21" s="31">
        <v>11</v>
      </c>
      <c r="D21" s="1" t="s">
        <v>21</v>
      </c>
      <c r="E21" s="20">
        <v>137.19999999999999</v>
      </c>
      <c r="F21" s="20">
        <v>86.5</v>
      </c>
      <c r="G21" s="20">
        <v>83.6</v>
      </c>
      <c r="I21" s="20">
        <f t="shared" si="5"/>
        <v>108.89164231443598</v>
      </c>
      <c r="J21" s="45">
        <f>(I21/'AAU 10-11'!I21)-1</f>
        <v>2.9360483915333857E-2</v>
      </c>
      <c r="K21" s="18"/>
      <c r="M21" s="38">
        <f>619+160</f>
        <v>779</v>
      </c>
      <c r="N21" s="38">
        <f>334+190</f>
        <v>524</v>
      </c>
      <c r="O21" s="38">
        <f>238+170</f>
        <v>408</v>
      </c>
      <c r="P21" s="36">
        <f t="shared" si="0"/>
        <v>106878.79999999999</v>
      </c>
      <c r="Q21" s="36">
        <f t="shared" si="1"/>
        <v>45326</v>
      </c>
      <c r="R21" s="36">
        <f t="shared" si="2"/>
        <v>34108.799999999996</v>
      </c>
      <c r="S21" s="36">
        <f t="shared" si="3"/>
        <v>1711</v>
      </c>
      <c r="T21" s="36">
        <f t="shared" si="4"/>
        <v>186313.59999999998</v>
      </c>
      <c r="U21" s="37">
        <f t="shared" si="6"/>
        <v>108.89164231443598</v>
      </c>
    </row>
    <row r="22" spans="1:21" ht="13.5" customHeight="1" x14ac:dyDescent="0.3">
      <c r="A22" s="19"/>
      <c r="C22" s="31">
        <v>12</v>
      </c>
      <c r="D22" s="1" t="s">
        <v>22</v>
      </c>
      <c r="E22" s="20">
        <v>128.4</v>
      </c>
      <c r="F22" s="20">
        <v>87</v>
      </c>
      <c r="G22" s="20">
        <v>77.400000000000006</v>
      </c>
      <c r="I22" s="20">
        <f t="shared" si="5"/>
        <v>103.5998646820027</v>
      </c>
      <c r="J22" s="45">
        <f>(I22/'AAU 10-11'!I22)-1</f>
        <v>6.1811961033489737E-2</v>
      </c>
      <c r="K22" s="18"/>
      <c r="M22" s="38">
        <f>500+171</f>
        <v>671</v>
      </c>
      <c r="N22" s="38">
        <f>285+184</f>
        <v>469</v>
      </c>
      <c r="O22" s="38">
        <f>174+164</f>
        <v>338</v>
      </c>
      <c r="P22" s="36">
        <f t="shared" si="0"/>
        <v>86156.400000000009</v>
      </c>
      <c r="Q22" s="36">
        <f t="shared" si="1"/>
        <v>40803</v>
      </c>
      <c r="R22" s="36">
        <f t="shared" si="2"/>
        <v>26161.200000000001</v>
      </c>
      <c r="S22" s="36">
        <f t="shared" si="3"/>
        <v>1478</v>
      </c>
      <c r="T22" s="36">
        <f t="shared" si="4"/>
        <v>153120.6</v>
      </c>
      <c r="U22" s="37">
        <f t="shared" si="6"/>
        <v>103.5998646820027</v>
      </c>
    </row>
    <row r="23" spans="1:21" ht="13.5" customHeight="1" x14ac:dyDescent="0.3">
      <c r="A23" s="19"/>
      <c r="C23" s="31">
        <v>13</v>
      </c>
      <c r="D23" s="1" t="s">
        <v>23</v>
      </c>
      <c r="E23" s="20">
        <v>130</v>
      </c>
      <c r="F23" s="20">
        <v>86.4</v>
      </c>
      <c r="G23" s="20">
        <v>74.099999999999994</v>
      </c>
      <c r="I23" s="20">
        <f t="shared" si="5"/>
        <v>101.28149705634988</v>
      </c>
      <c r="J23" s="45">
        <f>(I23/'AAU 10-11'!I23)-1</f>
        <v>1.5306774307901838E-2</v>
      </c>
      <c r="K23" s="18"/>
      <c r="M23" s="38">
        <f>368+125</f>
        <v>493</v>
      </c>
      <c r="N23" s="38">
        <f>209+178</f>
        <v>387</v>
      </c>
      <c r="O23" s="38">
        <f>158+151</f>
        <v>309</v>
      </c>
      <c r="P23" s="36">
        <f t="shared" si="0"/>
        <v>64090</v>
      </c>
      <c r="Q23" s="36">
        <f t="shared" si="1"/>
        <v>33436.800000000003</v>
      </c>
      <c r="R23" s="36">
        <f t="shared" si="2"/>
        <v>22896.899999999998</v>
      </c>
      <c r="S23" s="36">
        <f t="shared" si="3"/>
        <v>1189</v>
      </c>
      <c r="T23" s="36">
        <f t="shared" si="4"/>
        <v>120423.7</v>
      </c>
      <c r="U23" s="37">
        <f t="shared" si="6"/>
        <v>101.28149705634988</v>
      </c>
    </row>
    <row r="24" spans="1:21" ht="13.5" customHeight="1" x14ac:dyDescent="0.3">
      <c r="A24" s="19"/>
      <c r="C24" s="31">
        <v>14</v>
      </c>
      <c r="D24" s="1" t="s">
        <v>24</v>
      </c>
      <c r="E24" s="20">
        <v>115.9</v>
      </c>
      <c r="F24" s="20">
        <v>83.5</v>
      </c>
      <c r="G24" s="20">
        <v>75.099999999999994</v>
      </c>
      <c r="I24" s="20">
        <f t="shared" si="5"/>
        <v>95.091659716430357</v>
      </c>
      <c r="J24" s="45">
        <f>(I24/'AAU 10-11'!I24)-1</f>
        <v>1.5935636176504397E-2</v>
      </c>
      <c r="K24" s="18"/>
      <c r="M24" s="38">
        <f>419+88</f>
        <v>507</v>
      </c>
      <c r="N24" s="38">
        <f>258+133</f>
        <v>391</v>
      </c>
      <c r="O24" s="38">
        <f>177+124</f>
        <v>301</v>
      </c>
      <c r="P24" s="36">
        <f t="shared" si="0"/>
        <v>58761.3</v>
      </c>
      <c r="Q24" s="36">
        <f t="shared" si="1"/>
        <v>32648.5</v>
      </c>
      <c r="R24" s="36">
        <f t="shared" si="2"/>
        <v>22605.1</v>
      </c>
      <c r="S24" s="36">
        <f t="shared" si="3"/>
        <v>1199</v>
      </c>
      <c r="T24" s="36">
        <f t="shared" si="4"/>
        <v>114014.9</v>
      </c>
      <c r="U24" s="37">
        <f t="shared" si="6"/>
        <v>95.091659716430357</v>
      </c>
    </row>
    <row r="25" spans="1:21" ht="13.5" customHeight="1" x14ac:dyDescent="0.3">
      <c r="A25" s="19"/>
      <c r="C25" s="31">
        <v>15</v>
      </c>
      <c r="D25" s="1" t="s">
        <v>25</v>
      </c>
      <c r="E25" s="20">
        <v>116.1</v>
      </c>
      <c r="F25" s="20">
        <v>78.8</v>
      </c>
      <c r="G25" s="20">
        <v>69.2</v>
      </c>
      <c r="I25" s="20">
        <f t="shared" si="5"/>
        <v>91.49493414387031</v>
      </c>
      <c r="J25" s="45">
        <f>(I25/'AAU 10-11'!I25)-1</f>
        <v>1.2806297815721734E-3</v>
      </c>
      <c r="K25" s="18"/>
      <c r="M25" s="38">
        <f>303+88</f>
        <v>391</v>
      </c>
      <c r="N25" s="38">
        <f>232+150</f>
        <v>382</v>
      </c>
      <c r="O25" s="38">
        <f>122+92</f>
        <v>214</v>
      </c>
      <c r="P25" s="36">
        <f t="shared" si="0"/>
        <v>45395.1</v>
      </c>
      <c r="Q25" s="36">
        <f t="shared" si="1"/>
        <v>30101.599999999999</v>
      </c>
      <c r="R25" s="36">
        <f t="shared" si="2"/>
        <v>14808.800000000001</v>
      </c>
      <c r="S25" s="36">
        <f t="shared" si="3"/>
        <v>987</v>
      </c>
      <c r="T25" s="36">
        <f t="shared" si="4"/>
        <v>90305.5</v>
      </c>
      <c r="U25" s="37">
        <f t="shared" si="6"/>
        <v>91.49493414387031</v>
      </c>
    </row>
    <row r="26" spans="1:21" ht="13.5" customHeight="1" x14ac:dyDescent="0.3">
      <c r="A26" s="19"/>
      <c r="C26" s="31">
        <v>16</v>
      </c>
      <c r="D26" s="1" t="s">
        <v>26</v>
      </c>
      <c r="E26" s="20">
        <v>136.30000000000001</v>
      </c>
      <c r="F26" s="20">
        <v>95.7</v>
      </c>
      <c r="G26" s="20">
        <v>83.9</v>
      </c>
      <c r="I26" s="20">
        <f t="shared" si="5"/>
        <v>112.04967649173257</v>
      </c>
      <c r="J26" s="45">
        <f>(I26/'AAU 10-11'!I26)-1</f>
        <v>1.0171932699724717E-2</v>
      </c>
      <c r="K26" s="18"/>
      <c r="M26" s="38">
        <f>509+143</f>
        <v>652</v>
      </c>
      <c r="N26" s="38">
        <f>280+143</f>
        <v>423</v>
      </c>
      <c r="O26" s="38">
        <f>181+135</f>
        <v>316</v>
      </c>
      <c r="P26" s="36">
        <f t="shared" si="0"/>
        <v>88867.6</v>
      </c>
      <c r="Q26" s="36">
        <f t="shared" si="1"/>
        <v>40481.1</v>
      </c>
      <c r="R26" s="36">
        <f t="shared" si="2"/>
        <v>26512.400000000001</v>
      </c>
      <c r="S26" s="36">
        <f t="shared" si="3"/>
        <v>1391</v>
      </c>
      <c r="T26" s="36">
        <f t="shared" si="4"/>
        <v>155861.1</v>
      </c>
      <c r="U26" s="37">
        <f t="shared" si="6"/>
        <v>112.04967649173257</v>
      </c>
    </row>
    <row r="27" spans="1:21" ht="13.5" customHeight="1" x14ac:dyDescent="0.3">
      <c r="A27" s="19"/>
      <c r="C27" s="31">
        <v>17</v>
      </c>
      <c r="D27" s="1" t="s">
        <v>27</v>
      </c>
      <c r="E27" s="20">
        <v>148.80000000000001</v>
      </c>
      <c r="F27" s="20">
        <v>98.2</v>
      </c>
      <c r="G27" s="20">
        <v>85.8</v>
      </c>
      <c r="I27" s="20">
        <f t="shared" si="5"/>
        <v>119.58197262859841</v>
      </c>
      <c r="J27" s="45">
        <f>(I27/'AAU 10-11'!I27)-1</f>
        <v>1.954413046365211E-2</v>
      </c>
      <c r="K27" s="18"/>
      <c r="M27" s="38">
        <f>770+258</f>
        <v>1028</v>
      </c>
      <c r="N27" s="38">
        <f>324+226</f>
        <v>550</v>
      </c>
      <c r="O27" s="38">
        <f>313+228</f>
        <v>541</v>
      </c>
      <c r="P27" s="36">
        <f t="shared" si="0"/>
        <v>152966.40000000002</v>
      </c>
      <c r="Q27" s="36">
        <f t="shared" si="1"/>
        <v>54010</v>
      </c>
      <c r="R27" s="36">
        <f t="shared" si="2"/>
        <v>46417.799999999996</v>
      </c>
      <c r="S27" s="36">
        <f t="shared" si="3"/>
        <v>2119</v>
      </c>
      <c r="T27" s="36">
        <f t="shared" si="4"/>
        <v>253394.2</v>
      </c>
      <c r="U27" s="37">
        <f t="shared" si="6"/>
        <v>119.58197262859841</v>
      </c>
    </row>
    <row r="28" spans="1:21" ht="13.5" customHeight="1" x14ac:dyDescent="0.3">
      <c r="A28" s="19"/>
      <c r="C28" s="31">
        <v>18</v>
      </c>
      <c r="D28" s="1" t="s">
        <v>28</v>
      </c>
      <c r="E28" s="20">
        <v>128.6</v>
      </c>
      <c r="F28" s="20">
        <v>89.2</v>
      </c>
      <c r="G28" s="20">
        <v>69.5</v>
      </c>
      <c r="I28" s="20">
        <f t="shared" si="5"/>
        <v>100.06356407857811</v>
      </c>
      <c r="J28" s="45">
        <f>(I28/'AAU 10-11'!I28)-1</f>
        <v>1.8685705185363721E-2</v>
      </c>
      <c r="K28" s="18"/>
      <c r="M28" s="38">
        <f>704+208</f>
        <v>912</v>
      </c>
      <c r="N28" s="38">
        <f>351+230</f>
        <v>581</v>
      </c>
      <c r="O28" s="38">
        <f>356+289</f>
        <v>645</v>
      </c>
      <c r="P28" s="36">
        <f t="shared" si="0"/>
        <v>117283.2</v>
      </c>
      <c r="Q28" s="36">
        <f t="shared" si="1"/>
        <v>51825.200000000004</v>
      </c>
      <c r="R28" s="36">
        <f t="shared" si="2"/>
        <v>44827.5</v>
      </c>
      <c r="S28" s="36">
        <f t="shared" si="3"/>
        <v>2138</v>
      </c>
      <c r="T28" s="36">
        <f t="shared" si="4"/>
        <v>213935.9</v>
      </c>
      <c r="U28" s="37">
        <f t="shared" si="6"/>
        <v>100.06356407857811</v>
      </c>
    </row>
    <row r="29" spans="1:21" ht="13.5" customHeight="1" x14ac:dyDescent="0.3">
      <c r="A29" s="19"/>
      <c r="C29" s="31">
        <v>19</v>
      </c>
      <c r="D29" s="1" t="s">
        <v>29</v>
      </c>
      <c r="E29" s="20">
        <v>125.7</v>
      </c>
      <c r="F29" s="20">
        <v>86</v>
      </c>
      <c r="G29" s="20">
        <v>79.099999999999994</v>
      </c>
      <c r="I29" s="20">
        <f t="shared" si="5"/>
        <v>102.18399738732855</v>
      </c>
      <c r="J29" s="45">
        <f>(I29/'AAU 10-11'!I29)-1</f>
        <v>1.8201565177550894E-2</v>
      </c>
      <c r="K29" s="18"/>
      <c r="M29" s="38">
        <f>505+177</f>
        <v>682</v>
      </c>
      <c r="N29" s="38">
        <f>291+225</f>
        <v>516</v>
      </c>
      <c r="O29" s="38">
        <f>178+155</f>
        <v>333</v>
      </c>
      <c r="P29" s="36">
        <f t="shared" si="0"/>
        <v>85727.400000000009</v>
      </c>
      <c r="Q29" s="36">
        <f t="shared" si="1"/>
        <v>44376</v>
      </c>
      <c r="R29" s="36">
        <f t="shared" si="2"/>
        <v>26340.3</v>
      </c>
      <c r="S29" s="36">
        <f t="shared" si="3"/>
        <v>1531</v>
      </c>
      <c r="T29" s="36">
        <f t="shared" si="4"/>
        <v>156443.70000000001</v>
      </c>
      <c r="U29" s="37">
        <f t="shared" si="6"/>
        <v>102.18399738732855</v>
      </c>
    </row>
    <row r="30" spans="1:21" ht="13.5" customHeight="1" x14ac:dyDescent="0.3">
      <c r="A30" s="19"/>
      <c r="C30" s="31">
        <v>20</v>
      </c>
      <c r="D30" s="24" t="s">
        <v>30</v>
      </c>
      <c r="E30" s="25">
        <v>113.9</v>
      </c>
      <c r="F30" s="25">
        <v>75.900000000000006</v>
      </c>
      <c r="G30" s="25">
        <v>61.7</v>
      </c>
      <c r="H30" s="24"/>
      <c r="I30" s="25">
        <f t="shared" si="5"/>
        <v>83.558523725834803</v>
      </c>
      <c r="J30" s="47">
        <f>(I30/'AAU 10-11'!I30)-1</f>
        <v>2.7472045705490666E-2</v>
      </c>
      <c r="K30" s="18"/>
      <c r="M30" s="38">
        <f>279+86</f>
        <v>365</v>
      </c>
      <c r="N30" s="38">
        <f>245+165</f>
        <v>410</v>
      </c>
      <c r="O30" s="38">
        <f>171+192</f>
        <v>363</v>
      </c>
      <c r="P30" s="36">
        <f t="shared" si="0"/>
        <v>41573.5</v>
      </c>
      <c r="Q30" s="36">
        <f t="shared" si="1"/>
        <v>31119.000000000004</v>
      </c>
      <c r="R30" s="36">
        <f t="shared" si="2"/>
        <v>22397.100000000002</v>
      </c>
      <c r="S30" s="36">
        <f t="shared" si="3"/>
        <v>1138</v>
      </c>
      <c r="T30" s="36">
        <f t="shared" si="4"/>
        <v>95089.600000000006</v>
      </c>
      <c r="U30" s="37">
        <f t="shared" si="6"/>
        <v>83.558523725834803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144</v>
      </c>
      <c r="F31" s="20">
        <v>94.6</v>
      </c>
      <c r="G31" s="20">
        <v>80.5</v>
      </c>
      <c r="I31" s="20">
        <f t="shared" si="5"/>
        <v>113.4456780923994</v>
      </c>
      <c r="J31" s="45">
        <f>(I31/'AAU 10-11'!I32)-1</f>
        <v>-5.976191733828129E-3</v>
      </c>
      <c r="K31" s="18"/>
      <c r="M31" s="38">
        <f>447+168</f>
        <v>615</v>
      </c>
      <c r="N31" s="38">
        <f>212+154</f>
        <v>366</v>
      </c>
      <c r="O31" s="38">
        <f>179+182</f>
        <v>361</v>
      </c>
      <c r="P31" s="36">
        <f t="shared" si="0"/>
        <v>88560</v>
      </c>
      <c r="Q31" s="36">
        <f t="shared" si="1"/>
        <v>34623.599999999999</v>
      </c>
      <c r="R31" s="36">
        <f t="shared" si="2"/>
        <v>29060.5</v>
      </c>
      <c r="S31" s="36">
        <f t="shared" si="3"/>
        <v>1342</v>
      </c>
      <c r="T31" s="36">
        <f t="shared" si="4"/>
        <v>152244.1</v>
      </c>
      <c r="U31" s="37">
        <f t="shared" si="6"/>
        <v>113.4456780923994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134.19999999999999</v>
      </c>
      <c r="F32" s="20">
        <v>89.3</v>
      </c>
      <c r="G32" s="20">
        <v>81.5</v>
      </c>
      <c r="I32" s="20">
        <f t="shared" si="5"/>
        <v>107.67161852361302</v>
      </c>
      <c r="J32" s="45">
        <f>(I32/'AAU 10-11'!I33)-1</f>
        <v>2.0418477752929709E-2</v>
      </c>
      <c r="K32" s="18"/>
      <c r="M32" s="38">
        <f>751+222</f>
        <v>973</v>
      </c>
      <c r="N32" s="38">
        <f>445+299</f>
        <v>744</v>
      </c>
      <c r="O32" s="38">
        <f>242+222</f>
        <v>464</v>
      </c>
      <c r="P32" s="36">
        <f t="shared" si="0"/>
        <v>130576.59999999999</v>
      </c>
      <c r="Q32" s="36">
        <f t="shared" si="1"/>
        <v>66439.199999999997</v>
      </c>
      <c r="R32" s="36">
        <f t="shared" si="2"/>
        <v>37816</v>
      </c>
      <c r="S32" s="36">
        <f t="shared" si="3"/>
        <v>2181</v>
      </c>
      <c r="T32" s="36">
        <f t="shared" si="4"/>
        <v>234831.8</v>
      </c>
      <c r="U32" s="37">
        <f t="shared" si="6"/>
        <v>107.67161852361302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112.3</v>
      </c>
      <c r="F33" s="20">
        <v>79.599999999999994</v>
      </c>
      <c r="G33" s="20">
        <v>74</v>
      </c>
      <c r="I33" s="20">
        <f t="shared" si="5"/>
        <v>88.940182648401816</v>
      </c>
      <c r="J33" s="45">
        <f>(I33/'AAU 10-11'!I34)-1</f>
        <v>4.4027139759638123E-2</v>
      </c>
      <c r="K33" s="18"/>
      <c r="M33" s="38">
        <f>155+64</f>
        <v>219</v>
      </c>
      <c r="N33" s="38">
        <f>156+99</f>
        <v>255</v>
      </c>
      <c r="O33" s="38">
        <f>108+75</f>
        <v>183</v>
      </c>
      <c r="P33" s="36">
        <f t="shared" si="0"/>
        <v>24593.7</v>
      </c>
      <c r="Q33" s="36">
        <f t="shared" si="1"/>
        <v>20298</v>
      </c>
      <c r="R33" s="36">
        <f t="shared" si="2"/>
        <v>13542</v>
      </c>
      <c r="S33" s="36">
        <f t="shared" si="3"/>
        <v>657</v>
      </c>
      <c r="T33" s="36">
        <f t="shared" si="4"/>
        <v>58433.7</v>
      </c>
      <c r="U33" s="37">
        <f t="shared" si="6"/>
        <v>88.940182648401816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132.1</v>
      </c>
      <c r="F34" s="20">
        <v>89.2</v>
      </c>
      <c r="G34" s="20">
        <v>76.099999999999994</v>
      </c>
      <c r="I34" s="20">
        <f t="shared" si="5"/>
        <v>106.75461361014995</v>
      </c>
      <c r="J34" s="45">
        <f>(I34/'AAU 10-11'!I35)-1</f>
        <v>1.2915012385492641E-3</v>
      </c>
      <c r="K34" s="18"/>
      <c r="M34" s="38">
        <f>657+175</f>
        <v>832</v>
      </c>
      <c r="N34" s="38">
        <f>308+193</f>
        <v>501</v>
      </c>
      <c r="O34" s="38">
        <f>212+189</f>
        <v>401</v>
      </c>
      <c r="P34" s="36">
        <f t="shared" si="0"/>
        <v>109907.2</v>
      </c>
      <c r="Q34" s="36">
        <f t="shared" si="1"/>
        <v>44689.200000000004</v>
      </c>
      <c r="R34" s="36">
        <f t="shared" si="2"/>
        <v>30516.1</v>
      </c>
      <c r="S34" s="36">
        <f t="shared" si="3"/>
        <v>1734</v>
      </c>
      <c r="T34" s="36">
        <f t="shared" si="4"/>
        <v>185112.5</v>
      </c>
      <c r="U34" s="37">
        <f t="shared" si="6"/>
        <v>106.75461361014995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134.80000000000001</v>
      </c>
      <c r="F35" s="20">
        <v>90</v>
      </c>
      <c r="G35" s="20">
        <v>75</v>
      </c>
      <c r="I35" s="20">
        <f t="shared" si="5"/>
        <v>100.08047091412743</v>
      </c>
      <c r="J35" s="45">
        <f>(I35/'AAU 10-11'!I36)-1</f>
        <v>1.6551656281545979E-2</v>
      </c>
      <c r="K35" s="18"/>
      <c r="M35" s="38">
        <f>376+118</f>
        <v>494</v>
      </c>
      <c r="N35" s="38">
        <f>286+159</f>
        <v>445</v>
      </c>
      <c r="O35" s="38">
        <f>231+274</f>
        <v>505</v>
      </c>
      <c r="P35" s="36">
        <f t="shared" si="0"/>
        <v>66591.200000000012</v>
      </c>
      <c r="Q35" s="36">
        <f t="shared" si="1"/>
        <v>40050</v>
      </c>
      <c r="R35" s="36">
        <f t="shared" si="2"/>
        <v>37875</v>
      </c>
      <c r="S35" s="36">
        <f t="shared" si="3"/>
        <v>1444</v>
      </c>
      <c r="T35" s="36">
        <f t="shared" si="4"/>
        <v>144516.20000000001</v>
      </c>
      <c r="U35" s="37">
        <f t="shared" si="6"/>
        <v>100.08047091412743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125.1</v>
      </c>
      <c r="F36" s="20">
        <v>87.1</v>
      </c>
      <c r="G36" s="20">
        <v>79.099999999999994</v>
      </c>
      <c r="I36" s="20">
        <f t="shared" si="5"/>
        <v>102.10706905927134</v>
      </c>
      <c r="J36" s="45">
        <f>(I36/'AAU 10-11'!I37)-1</f>
        <v>2.9714148439357713E-2</v>
      </c>
      <c r="K36" s="18"/>
      <c r="M36" s="38">
        <f>692+133</f>
        <v>825</v>
      </c>
      <c r="N36" s="38">
        <f>369+176</f>
        <v>545</v>
      </c>
      <c r="O36" s="38">
        <f>257+212</f>
        <v>469</v>
      </c>
      <c r="P36" s="36">
        <f t="shared" si="0"/>
        <v>103207.5</v>
      </c>
      <c r="Q36" s="36">
        <f t="shared" si="1"/>
        <v>47469.5</v>
      </c>
      <c r="R36" s="36">
        <f t="shared" si="2"/>
        <v>37097.899999999994</v>
      </c>
      <c r="S36" s="36">
        <f t="shared" si="3"/>
        <v>1839</v>
      </c>
      <c r="T36" s="36">
        <f t="shared" si="4"/>
        <v>187774.9</v>
      </c>
      <c r="U36" s="37">
        <f t="shared" si="6"/>
        <v>102.10706905927134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145</v>
      </c>
      <c r="F37" s="20">
        <v>98.4</v>
      </c>
      <c r="G37" s="20">
        <v>78.599999999999994</v>
      </c>
      <c r="I37" s="20">
        <f t="shared" si="5"/>
        <v>117.59495912806541</v>
      </c>
      <c r="J37" s="45">
        <f>(I37/'AAU 10-11'!I38)-1</f>
        <v>1.0204154122137155E-2</v>
      </c>
      <c r="K37" s="18"/>
      <c r="M37" s="38">
        <f>561+172</f>
        <v>733</v>
      </c>
      <c r="N37" s="39">
        <f>243+190</f>
        <v>433</v>
      </c>
      <c r="O37" s="38">
        <f>145+157</f>
        <v>302</v>
      </c>
      <c r="P37" s="36">
        <f t="shared" si="0"/>
        <v>106285</v>
      </c>
      <c r="Q37" s="36">
        <f t="shared" si="1"/>
        <v>42607.200000000004</v>
      </c>
      <c r="R37" s="36">
        <f t="shared" si="2"/>
        <v>23737.199999999997</v>
      </c>
      <c r="S37" s="36">
        <f t="shared" si="3"/>
        <v>1468</v>
      </c>
      <c r="T37" s="36">
        <f t="shared" si="4"/>
        <v>172629.40000000002</v>
      </c>
      <c r="U37" s="37">
        <f t="shared" si="6"/>
        <v>117.59495912806541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135.4</v>
      </c>
      <c r="F38" s="20">
        <v>93.1</v>
      </c>
      <c r="G38" s="20">
        <v>77.400000000000006</v>
      </c>
      <c r="I38" s="20">
        <f t="shared" si="5"/>
        <v>104.67391732283465</v>
      </c>
      <c r="J38" s="45">
        <f>(I38/'AAU 10-11'!I39)-1</f>
        <v>1.0730773550046813E-2</v>
      </c>
      <c r="K38" s="18"/>
      <c r="M38" s="38">
        <f>306+80</f>
        <v>386</v>
      </c>
      <c r="N38" s="38">
        <f>206+133</f>
        <v>339</v>
      </c>
      <c r="O38" s="38">
        <f>147+144</f>
        <v>291</v>
      </c>
      <c r="P38" s="36">
        <f t="shared" si="0"/>
        <v>52264.4</v>
      </c>
      <c r="Q38" s="36">
        <f t="shared" si="1"/>
        <v>31560.899999999998</v>
      </c>
      <c r="R38" s="36">
        <f t="shared" si="2"/>
        <v>22523.4</v>
      </c>
      <c r="S38" s="36">
        <f t="shared" si="3"/>
        <v>1016</v>
      </c>
      <c r="T38" s="36">
        <f t="shared" si="4"/>
        <v>106348.70000000001</v>
      </c>
      <c r="U38" s="37">
        <f t="shared" si="6"/>
        <v>104.67391732283465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140.5</v>
      </c>
      <c r="F39" s="20">
        <v>99.5</v>
      </c>
      <c r="G39" s="20">
        <v>78.099999999999994</v>
      </c>
      <c r="I39" s="20">
        <f t="shared" si="5"/>
        <v>111.05617834394906</v>
      </c>
      <c r="J39" s="45">
        <f>(I39/'AAU 10-11'!I40)-1</f>
        <v>-7.4304721596529788E-4</v>
      </c>
      <c r="K39" s="18"/>
      <c r="M39" s="38">
        <f>271+63</f>
        <v>334</v>
      </c>
      <c r="N39" s="38">
        <f>149+86</f>
        <v>235</v>
      </c>
      <c r="O39" s="38">
        <f>127+89</f>
        <v>216</v>
      </c>
      <c r="P39" s="36">
        <f t="shared" si="0"/>
        <v>46927</v>
      </c>
      <c r="Q39" s="36">
        <f t="shared" si="1"/>
        <v>23382.5</v>
      </c>
      <c r="R39" s="36">
        <f t="shared" si="2"/>
        <v>16869.599999999999</v>
      </c>
      <c r="S39" s="36">
        <f t="shared" si="3"/>
        <v>785</v>
      </c>
      <c r="T39" s="36">
        <f t="shared" si="4"/>
        <v>87179.1</v>
      </c>
      <c r="U39" s="37">
        <f t="shared" si="6"/>
        <v>111.05617834394906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140.69999999999999</v>
      </c>
      <c r="F40" s="20">
        <v>89.9</v>
      </c>
      <c r="G40" s="20">
        <v>83.9</v>
      </c>
      <c r="I40" s="20">
        <f t="shared" si="5"/>
        <v>114.76100628930817</v>
      </c>
      <c r="J40" s="45">
        <f>(I40/'AAU 10-11'!I41)-1</f>
        <v>3.0723012270629013E-2</v>
      </c>
      <c r="K40" s="18"/>
      <c r="M40" s="38">
        <f>773+208</f>
        <v>981</v>
      </c>
      <c r="N40" s="38">
        <f>324+203</f>
        <v>527</v>
      </c>
      <c r="O40" s="38">
        <f>229+171</f>
        <v>400</v>
      </c>
      <c r="P40" s="36">
        <f t="shared" si="0"/>
        <v>138026.69999999998</v>
      </c>
      <c r="Q40" s="36">
        <f t="shared" si="1"/>
        <v>47377.3</v>
      </c>
      <c r="R40" s="36">
        <f t="shared" si="2"/>
        <v>33560</v>
      </c>
      <c r="S40" s="36">
        <f t="shared" si="3"/>
        <v>1908</v>
      </c>
      <c r="T40" s="36">
        <f t="shared" si="4"/>
        <v>218964</v>
      </c>
      <c r="U40" s="37">
        <f t="shared" si="6"/>
        <v>114.76100628930817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120</v>
      </c>
      <c r="F41" s="20">
        <v>83.1</v>
      </c>
      <c r="G41" s="20">
        <v>72.8</v>
      </c>
      <c r="I41" s="20">
        <f t="shared" si="5"/>
        <v>96.985723153320919</v>
      </c>
      <c r="J41" s="45">
        <f>(I41/'AAU 10-11'!I42)-1</f>
        <v>1.1656728084796342E-2</v>
      </c>
      <c r="K41" s="18"/>
      <c r="M41" s="38">
        <f>623+96</f>
        <v>719</v>
      </c>
      <c r="N41" s="38">
        <f>337+151</f>
        <v>488</v>
      </c>
      <c r="O41" s="38">
        <f>253+151</f>
        <v>404</v>
      </c>
      <c r="P41" s="36">
        <f t="shared" si="0"/>
        <v>86280</v>
      </c>
      <c r="Q41" s="36">
        <f t="shared" si="1"/>
        <v>40552.799999999996</v>
      </c>
      <c r="R41" s="36">
        <f t="shared" si="2"/>
        <v>29411.199999999997</v>
      </c>
      <c r="S41" s="36">
        <f t="shared" si="3"/>
        <v>1611</v>
      </c>
      <c r="T41" s="36">
        <f t="shared" si="4"/>
        <v>156244</v>
      </c>
      <c r="U41" s="37">
        <f t="shared" si="6"/>
        <v>96.985723153320919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141.6</v>
      </c>
      <c r="F42" s="20">
        <v>95</v>
      </c>
      <c r="G42" s="20">
        <v>80.3</v>
      </c>
      <c r="I42" s="20">
        <f t="shared" si="5"/>
        <v>115.79325735992401</v>
      </c>
      <c r="J42" s="45">
        <f>(I42/'AAU 10-11'!I43)-1</f>
        <v>4.8613875507222737E-2</v>
      </c>
      <c r="K42" s="18"/>
      <c r="M42" s="38">
        <f>426+106</f>
        <v>532</v>
      </c>
      <c r="N42" s="38">
        <f>203+121</f>
        <v>324</v>
      </c>
      <c r="O42" s="38">
        <f>97+100</f>
        <v>197</v>
      </c>
      <c r="P42" s="36">
        <f t="shared" si="0"/>
        <v>75331.199999999997</v>
      </c>
      <c r="Q42" s="36">
        <f t="shared" si="1"/>
        <v>30780</v>
      </c>
      <c r="R42" s="36">
        <f t="shared" si="2"/>
        <v>15819.099999999999</v>
      </c>
      <c r="S42" s="36">
        <f t="shared" si="3"/>
        <v>1053</v>
      </c>
      <c r="T42" s="36">
        <f t="shared" si="4"/>
        <v>121930.29999999999</v>
      </c>
      <c r="U42" s="37">
        <f t="shared" si="6"/>
        <v>115.79325735992401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122.7</v>
      </c>
      <c r="F43" s="20">
        <v>88.3</v>
      </c>
      <c r="G43" s="20">
        <v>79.3</v>
      </c>
      <c r="I43" s="20">
        <f t="shared" si="5"/>
        <v>104.35410225921522</v>
      </c>
      <c r="J43" s="45">
        <f>(I43/'AAU 10-11'!I44)-1</f>
        <v>3.9608963911915929E-2</v>
      </c>
      <c r="K43" s="18"/>
      <c r="M43" s="38">
        <f>638+232</f>
        <v>870</v>
      </c>
      <c r="N43" s="38">
        <f>256+231</f>
        <v>487</v>
      </c>
      <c r="O43" s="38">
        <f>178+147</f>
        <v>325</v>
      </c>
      <c r="P43" s="36">
        <f t="shared" si="0"/>
        <v>106749</v>
      </c>
      <c r="Q43" s="36">
        <f t="shared" si="1"/>
        <v>43002.1</v>
      </c>
      <c r="R43" s="36">
        <f t="shared" si="2"/>
        <v>25772.5</v>
      </c>
      <c r="S43" s="36">
        <f t="shared" si="3"/>
        <v>1682</v>
      </c>
      <c r="T43" s="36">
        <f t="shared" si="4"/>
        <v>175523.6</v>
      </c>
      <c r="U43" s="37">
        <f t="shared" si="6"/>
        <v>104.35410225921522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114.7</v>
      </c>
      <c r="F44" s="20">
        <v>87.4</v>
      </c>
      <c r="G44" s="20">
        <v>75.900000000000006</v>
      </c>
      <c r="I44" s="20">
        <f t="shared" si="5"/>
        <v>99.713093415007663</v>
      </c>
      <c r="J44" s="45">
        <f>(I44/'AAU 10-11'!I45)-1</f>
        <v>8.4434035004510299E-4</v>
      </c>
      <c r="K44" s="18"/>
      <c r="M44" s="38">
        <f>510+213</f>
        <v>723</v>
      </c>
      <c r="N44" s="38">
        <f>159+106</f>
        <v>265</v>
      </c>
      <c r="O44" s="38">
        <f>170+148</f>
        <v>318</v>
      </c>
      <c r="P44" s="36">
        <f t="shared" si="0"/>
        <v>82928.100000000006</v>
      </c>
      <c r="Q44" s="36">
        <f t="shared" si="1"/>
        <v>23161</v>
      </c>
      <c r="R44" s="36">
        <f t="shared" si="2"/>
        <v>24136.2</v>
      </c>
      <c r="S44" s="36">
        <f t="shared" si="3"/>
        <v>1306</v>
      </c>
      <c r="T44" s="36">
        <f t="shared" si="4"/>
        <v>130225.3</v>
      </c>
      <c r="U44" s="37">
        <f t="shared" si="6"/>
        <v>99.713093415007663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133.48547740524782</v>
      </c>
      <c r="F46" s="41">
        <f t="shared" ref="F46" si="7">Q46/N46</f>
        <v>89.084841795437825</v>
      </c>
      <c r="G46" s="41">
        <f>R46/O46</f>
        <v>77.776826287679896</v>
      </c>
      <c r="H46" s="40"/>
      <c r="I46" s="41">
        <f>U46</f>
        <v>107.32440704887419</v>
      </c>
      <c r="J46" s="46">
        <f>(I46/'AAU 10-11'!I47)-1</f>
        <v>2.6292609060508454E-2</v>
      </c>
      <c r="K46" s="18"/>
      <c r="M46" s="39">
        <f>SUM(M11:M44)</f>
        <v>21952</v>
      </c>
      <c r="N46" s="39">
        <f t="shared" ref="N46:O46" si="8">SUM(N11:N44)</f>
        <v>13590</v>
      </c>
      <c r="O46" s="39">
        <f t="shared" si="8"/>
        <v>11047</v>
      </c>
      <c r="P46" s="39">
        <f>SUM(P11:P44)</f>
        <v>2930273.2</v>
      </c>
      <c r="Q46" s="39">
        <f t="shared" ref="Q46:R46" si="9">SUM(Q11:Q44)</f>
        <v>1210663</v>
      </c>
      <c r="R46" s="39">
        <f t="shared" si="9"/>
        <v>859200.59999999974</v>
      </c>
      <c r="S46" s="36">
        <f>M46+N46+O46</f>
        <v>46589</v>
      </c>
      <c r="T46" s="36">
        <f>P46+Q46+R46</f>
        <v>5000136.8</v>
      </c>
      <c r="U46" s="37">
        <f>T46/S46</f>
        <v>107.32440704887419</v>
      </c>
    </row>
    <row r="47" spans="1:21" ht="13.5" customHeight="1" x14ac:dyDescent="0.3">
      <c r="A47" s="19"/>
      <c r="D47" s="44" t="s">
        <v>55</v>
      </c>
      <c r="E47" s="41">
        <f>MEDIAN(E11:E44)</f>
        <v>133.14999999999998</v>
      </c>
      <c r="F47" s="41">
        <f t="shared" ref="F47:G47" si="10">MEDIAN(F11:F44)</f>
        <v>89.25</v>
      </c>
      <c r="G47" s="41">
        <f t="shared" si="10"/>
        <v>78.55</v>
      </c>
      <c r="H47" s="40"/>
      <c r="I47" s="41">
        <f>MEDIAN(I11:I44)</f>
        <v>105.71426546649229</v>
      </c>
      <c r="J47" s="46">
        <f>(I47/'AAU 10-11'!I48)-1</f>
        <v>2.0776369538944239E-2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62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4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63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117.5</v>
      </c>
      <c r="F11" s="20">
        <v>80.599999999999994</v>
      </c>
      <c r="G11" s="20">
        <v>68.400000000000006</v>
      </c>
      <c r="I11" s="20">
        <f>U11</f>
        <v>95.617202692595356</v>
      </c>
      <c r="J11" s="45">
        <f>(I11/'AAU 09-10'!I11)-1</f>
        <v>1.195591075836E-2</v>
      </c>
      <c r="K11" s="18"/>
      <c r="M11" s="38">
        <f>481+159</f>
        <v>640</v>
      </c>
      <c r="N11" s="38">
        <f>241+166</f>
        <v>407</v>
      </c>
      <c r="O11" s="38">
        <f>164+126</f>
        <v>290</v>
      </c>
      <c r="P11" s="36">
        <f t="shared" ref="P11:R45" si="0">E11*M11</f>
        <v>75200</v>
      </c>
      <c r="Q11" s="36">
        <f t="shared" si="0"/>
        <v>32804.199999999997</v>
      </c>
      <c r="R11" s="36">
        <f t="shared" si="0"/>
        <v>19836</v>
      </c>
      <c r="S11" s="36">
        <f t="shared" ref="S11:S45" si="1">M11+N11+O11</f>
        <v>1337</v>
      </c>
      <c r="T11" s="36">
        <f t="shared" ref="T11:T45" si="2">P11+Q11+R11</f>
        <v>127840.2</v>
      </c>
      <c r="U11" s="37">
        <f>T11/S11</f>
        <v>95.617202692595356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149.1</v>
      </c>
      <c r="F12" s="20">
        <v>101.5</v>
      </c>
      <c r="G12" s="20">
        <v>88.4</v>
      </c>
      <c r="I12" s="20">
        <f t="shared" ref="I12:I47" si="3">U12</f>
        <v>129.31426543647976</v>
      </c>
      <c r="J12" s="45">
        <f>(I12/'AAU 09-10'!I12)-1</f>
        <v>3.9330151717123396E-2</v>
      </c>
      <c r="K12" s="18"/>
      <c r="M12" s="38">
        <f>690+198</f>
        <v>888</v>
      </c>
      <c r="N12" s="38">
        <f>171+115</f>
        <v>286</v>
      </c>
      <c r="O12" s="38">
        <f>141+94</f>
        <v>235</v>
      </c>
      <c r="P12" s="36">
        <f t="shared" si="0"/>
        <v>132400.79999999999</v>
      </c>
      <c r="Q12" s="36">
        <f t="shared" si="0"/>
        <v>29029</v>
      </c>
      <c r="R12" s="36">
        <f t="shared" si="0"/>
        <v>20774</v>
      </c>
      <c r="S12" s="36">
        <f t="shared" si="1"/>
        <v>1409</v>
      </c>
      <c r="T12" s="36">
        <f t="shared" si="2"/>
        <v>182203.8</v>
      </c>
      <c r="U12" s="37">
        <f t="shared" ref="U12:U45" si="4">T12/S12</f>
        <v>129.31426543647976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123.8</v>
      </c>
      <c r="F13" s="20">
        <v>84.7</v>
      </c>
      <c r="G13" s="20">
        <v>78.7</v>
      </c>
      <c r="I13" s="20">
        <f t="shared" si="3"/>
        <v>107.81474010861133</v>
      </c>
      <c r="J13" s="45">
        <f>(I13/'AAU 09-10'!I13)-1</f>
        <v>1.7333320041585942E-2</v>
      </c>
      <c r="K13" s="18"/>
      <c r="M13" s="38">
        <f>590+209</f>
        <v>799</v>
      </c>
      <c r="N13" s="38">
        <f>141+108</f>
        <v>249</v>
      </c>
      <c r="O13" s="38">
        <f>134+107</f>
        <v>241</v>
      </c>
      <c r="P13" s="36">
        <f t="shared" si="0"/>
        <v>98916.2</v>
      </c>
      <c r="Q13" s="36">
        <f t="shared" si="0"/>
        <v>21090.3</v>
      </c>
      <c r="R13" s="36">
        <f t="shared" si="0"/>
        <v>18966.7</v>
      </c>
      <c r="S13" s="36">
        <f t="shared" si="1"/>
        <v>1289</v>
      </c>
      <c r="T13" s="36">
        <f t="shared" si="2"/>
        <v>138973.20000000001</v>
      </c>
      <c r="U13" s="37">
        <f t="shared" si="4"/>
        <v>107.81474010861133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132</v>
      </c>
      <c r="F14" s="20">
        <v>84.9</v>
      </c>
      <c r="G14" s="20">
        <v>78.400000000000006</v>
      </c>
      <c r="I14" s="20">
        <f t="shared" si="3"/>
        <v>108.95758266818699</v>
      </c>
      <c r="J14" s="45">
        <f>(I14/'AAU 09-10'!I14)-1</f>
        <v>1.0299338123180402E-2</v>
      </c>
      <c r="K14" s="18"/>
      <c r="M14" s="38">
        <f>364+111</f>
        <v>475</v>
      </c>
      <c r="N14" s="38">
        <f>125+81</f>
        <v>206</v>
      </c>
      <c r="O14" s="38">
        <f>106+90</f>
        <v>196</v>
      </c>
      <c r="P14" s="36">
        <f t="shared" si="0"/>
        <v>62700</v>
      </c>
      <c r="Q14" s="36">
        <f t="shared" si="0"/>
        <v>17489.400000000001</v>
      </c>
      <c r="R14" s="36">
        <f t="shared" si="0"/>
        <v>15366.400000000001</v>
      </c>
      <c r="S14" s="36">
        <f t="shared" si="1"/>
        <v>877</v>
      </c>
      <c r="T14" s="36">
        <f t="shared" si="2"/>
        <v>95555.799999999988</v>
      </c>
      <c r="U14" s="37">
        <f t="shared" si="4"/>
        <v>108.95758266818699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153.69999999999999</v>
      </c>
      <c r="F15" s="20">
        <v>100.6</v>
      </c>
      <c r="G15" s="20">
        <v>84</v>
      </c>
      <c r="I15" s="20">
        <f t="shared" si="3"/>
        <v>131.1548872180451</v>
      </c>
      <c r="J15" s="45">
        <f>(I15/'AAU 09-10'!I15)-1</f>
        <v>4.6341087528402491E-2</v>
      </c>
      <c r="K15" s="18"/>
      <c r="M15" s="38">
        <f>684+246</f>
        <v>930</v>
      </c>
      <c r="N15" s="38">
        <f>147+104</f>
        <v>251</v>
      </c>
      <c r="O15" s="38">
        <f>162+120</f>
        <v>282</v>
      </c>
      <c r="P15" s="36">
        <f t="shared" si="0"/>
        <v>142941</v>
      </c>
      <c r="Q15" s="36">
        <f t="shared" si="0"/>
        <v>25250.6</v>
      </c>
      <c r="R15" s="36">
        <f t="shared" si="0"/>
        <v>23688</v>
      </c>
      <c r="S15" s="36">
        <f t="shared" si="1"/>
        <v>1463</v>
      </c>
      <c r="T15" s="36">
        <f t="shared" si="2"/>
        <v>191879.6</v>
      </c>
      <c r="U15" s="37">
        <f t="shared" si="4"/>
        <v>131.1548872180451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136.30000000000001</v>
      </c>
      <c r="F16" s="20">
        <v>88.4</v>
      </c>
      <c r="G16" s="20">
        <v>80.900000000000006</v>
      </c>
      <c r="I16" s="20">
        <f t="shared" si="3"/>
        <v>115.11689342403629</v>
      </c>
      <c r="J16" s="45">
        <f>(I16/'AAU 09-10'!I16)-1</f>
        <v>1.3497720459378915E-2</v>
      </c>
      <c r="K16" s="18"/>
      <c r="M16" s="38">
        <f>429+88</f>
        <v>517</v>
      </c>
      <c r="N16" s="38">
        <f>136+69</f>
        <v>205</v>
      </c>
      <c r="O16" s="38">
        <f>105+55</f>
        <v>160</v>
      </c>
      <c r="P16" s="36">
        <f t="shared" si="0"/>
        <v>70467.100000000006</v>
      </c>
      <c r="Q16" s="36">
        <f t="shared" si="0"/>
        <v>18122</v>
      </c>
      <c r="R16" s="36">
        <f t="shared" si="0"/>
        <v>12944</v>
      </c>
      <c r="S16" s="36">
        <f t="shared" si="1"/>
        <v>882</v>
      </c>
      <c r="T16" s="36">
        <f t="shared" si="2"/>
        <v>101533.1</v>
      </c>
      <c r="U16" s="37">
        <f t="shared" si="4"/>
        <v>115.11689342403629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132</v>
      </c>
      <c r="F17" s="20">
        <v>81.400000000000006</v>
      </c>
      <c r="G17" s="20">
        <v>76.7</v>
      </c>
      <c r="I17" s="20">
        <f t="shared" si="3"/>
        <v>114.14686684073106</v>
      </c>
      <c r="J17" s="45">
        <f>(I17/'AAU 09-10'!I17)-1</f>
        <v>1.9552419990704228E-2</v>
      </c>
      <c r="K17" s="18"/>
      <c r="M17" s="38">
        <f>378+126</f>
        <v>504</v>
      </c>
      <c r="N17" s="38">
        <f>98+75</f>
        <v>173</v>
      </c>
      <c r="O17" s="38">
        <f>54+35</f>
        <v>89</v>
      </c>
      <c r="P17" s="36">
        <f t="shared" si="0"/>
        <v>66528</v>
      </c>
      <c r="Q17" s="36">
        <f t="shared" si="0"/>
        <v>14082.2</v>
      </c>
      <c r="R17" s="36">
        <f t="shared" si="0"/>
        <v>6826.3</v>
      </c>
      <c r="S17" s="36">
        <f t="shared" si="1"/>
        <v>766</v>
      </c>
      <c r="T17" s="36">
        <f t="shared" si="2"/>
        <v>87436.5</v>
      </c>
      <c r="U17" s="37">
        <f t="shared" si="4"/>
        <v>114.14686684073106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118.6</v>
      </c>
      <c r="F18" s="20">
        <v>86.5</v>
      </c>
      <c r="G18" s="20">
        <v>74.400000000000006</v>
      </c>
      <c r="I18" s="20">
        <f t="shared" si="3"/>
        <v>96.093599257884961</v>
      </c>
      <c r="J18" s="45">
        <f>(I18/'AAU 09-10'!I18)-1</f>
        <v>-2.0978007833267975E-2</v>
      </c>
      <c r="K18" s="18"/>
      <c r="M18" s="38">
        <f>341+92</f>
        <v>433</v>
      </c>
      <c r="N18" s="38">
        <f>228+123</f>
        <v>351</v>
      </c>
      <c r="O18" s="38">
        <f>164+130</f>
        <v>294</v>
      </c>
      <c r="P18" s="36">
        <f t="shared" si="0"/>
        <v>51353.799999999996</v>
      </c>
      <c r="Q18" s="36">
        <f t="shared" si="0"/>
        <v>30361.5</v>
      </c>
      <c r="R18" s="36">
        <f t="shared" si="0"/>
        <v>21873.600000000002</v>
      </c>
      <c r="S18" s="36">
        <f t="shared" si="1"/>
        <v>1078</v>
      </c>
      <c r="T18" s="36">
        <f t="shared" si="2"/>
        <v>103588.9</v>
      </c>
      <c r="U18" s="37">
        <f t="shared" si="4"/>
        <v>96.093599257884961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122.1</v>
      </c>
      <c r="F19" s="20">
        <v>80</v>
      </c>
      <c r="G19" s="20">
        <v>68.400000000000006</v>
      </c>
      <c r="I19" s="20">
        <f t="shared" si="3"/>
        <v>92.859654017857139</v>
      </c>
      <c r="J19" s="45">
        <f>(I19/'AAU 09-10'!I19)-1</f>
        <v>5.0867088436656438E-2</v>
      </c>
      <c r="K19" s="18"/>
      <c r="M19" s="38">
        <f>543+146</f>
        <v>689</v>
      </c>
      <c r="N19" s="38">
        <f>374+215</f>
        <v>589</v>
      </c>
      <c r="O19" s="38">
        <f>294+220</f>
        <v>514</v>
      </c>
      <c r="P19" s="36">
        <f t="shared" si="0"/>
        <v>84126.9</v>
      </c>
      <c r="Q19" s="36">
        <f t="shared" si="0"/>
        <v>47120</v>
      </c>
      <c r="R19" s="36">
        <f t="shared" si="0"/>
        <v>35157.600000000006</v>
      </c>
      <c r="S19" s="36">
        <f t="shared" si="1"/>
        <v>1792</v>
      </c>
      <c r="T19" s="36">
        <f t="shared" si="2"/>
        <v>166404.5</v>
      </c>
      <c r="U19" s="37">
        <f t="shared" si="4"/>
        <v>92.859654017857139</v>
      </c>
    </row>
    <row r="20" spans="1:21" ht="13.5" customHeight="1" x14ac:dyDescent="0.3">
      <c r="A20" s="19"/>
      <c r="B20" s="48" t="s">
        <v>66</v>
      </c>
      <c r="C20" s="31">
        <v>10</v>
      </c>
      <c r="D20" s="1" t="s">
        <v>20</v>
      </c>
      <c r="E20" s="20">
        <v>140.4</v>
      </c>
      <c r="F20" s="20">
        <v>94</v>
      </c>
      <c r="G20" s="20">
        <v>85.8</v>
      </c>
      <c r="I20" s="20">
        <f t="shared" si="3"/>
        <v>113.73034482758622</v>
      </c>
      <c r="J20" s="45">
        <f>(I20/'AAU 09-10'!I20)-1</f>
        <v>1.1706073802040029E-2</v>
      </c>
      <c r="K20" s="18"/>
      <c r="M20" s="38">
        <f>360+49</f>
        <v>409</v>
      </c>
      <c r="N20" s="38">
        <f>186+54</f>
        <v>240</v>
      </c>
      <c r="O20" s="38">
        <f>160+61</f>
        <v>221</v>
      </c>
      <c r="P20" s="36">
        <f t="shared" si="0"/>
        <v>57423.600000000006</v>
      </c>
      <c r="Q20" s="36">
        <f t="shared" si="0"/>
        <v>22560</v>
      </c>
      <c r="R20" s="36">
        <f t="shared" si="0"/>
        <v>18961.8</v>
      </c>
      <c r="S20" s="36">
        <f t="shared" si="1"/>
        <v>870</v>
      </c>
      <c r="T20" s="36">
        <f t="shared" si="2"/>
        <v>98945.400000000009</v>
      </c>
      <c r="U20" s="37">
        <f t="shared" si="4"/>
        <v>113.73034482758622</v>
      </c>
    </row>
    <row r="21" spans="1:21" ht="13.5" customHeight="1" x14ac:dyDescent="0.3">
      <c r="A21" s="19"/>
      <c r="C21" s="31">
        <v>11</v>
      </c>
      <c r="D21" s="1" t="s">
        <v>21</v>
      </c>
      <c r="E21" s="20">
        <v>133.5</v>
      </c>
      <c r="F21" s="20">
        <v>84.8</v>
      </c>
      <c r="G21" s="20">
        <v>80.3</v>
      </c>
      <c r="I21" s="20">
        <f t="shared" si="3"/>
        <v>105.7857223159078</v>
      </c>
      <c r="J21" s="45">
        <f>(I21/'AAU 09-10'!I21)-1</f>
        <v>3.4743842326483643E-2</v>
      </c>
      <c r="K21" s="18"/>
      <c r="M21" s="38">
        <f>649+159</f>
        <v>808</v>
      </c>
      <c r="N21" s="38">
        <f>337+186</f>
        <v>523</v>
      </c>
      <c r="O21" s="38">
        <f>265+183</f>
        <v>448</v>
      </c>
      <c r="P21" s="36">
        <f t="shared" si="0"/>
        <v>107868</v>
      </c>
      <c r="Q21" s="36">
        <f t="shared" si="0"/>
        <v>44350.400000000001</v>
      </c>
      <c r="R21" s="36">
        <f t="shared" si="0"/>
        <v>35974.400000000001</v>
      </c>
      <c r="S21" s="36">
        <f t="shared" si="1"/>
        <v>1779</v>
      </c>
      <c r="T21" s="36">
        <f t="shared" si="2"/>
        <v>188192.8</v>
      </c>
      <c r="U21" s="37">
        <f t="shared" si="4"/>
        <v>105.7857223159078</v>
      </c>
    </row>
    <row r="22" spans="1:21" ht="13.5" customHeight="1" x14ac:dyDescent="0.3">
      <c r="A22" s="19"/>
      <c r="C22" s="31">
        <v>12</v>
      </c>
      <c r="D22" s="1" t="s">
        <v>22</v>
      </c>
      <c r="E22" s="20">
        <v>120.9</v>
      </c>
      <c r="F22" s="20">
        <v>82.2</v>
      </c>
      <c r="G22" s="20">
        <v>72.8</v>
      </c>
      <c r="I22" s="20">
        <f t="shared" si="3"/>
        <v>97.568937329700276</v>
      </c>
      <c r="J22" s="45">
        <f>(I22/'AAU 09-10'!I22)-1</f>
        <v>8.4641180397788673E-3</v>
      </c>
      <c r="K22" s="18"/>
      <c r="M22" s="38">
        <f>501+167</f>
        <v>668</v>
      </c>
      <c r="N22" s="38">
        <f>279+171</f>
        <v>450</v>
      </c>
      <c r="O22" s="38">
        <f>179+171</f>
        <v>350</v>
      </c>
      <c r="P22" s="36">
        <f t="shared" si="0"/>
        <v>80761.2</v>
      </c>
      <c r="Q22" s="36">
        <f t="shared" si="0"/>
        <v>36990</v>
      </c>
      <c r="R22" s="36">
        <f t="shared" si="0"/>
        <v>25480</v>
      </c>
      <c r="S22" s="36">
        <f t="shared" si="1"/>
        <v>1468</v>
      </c>
      <c r="T22" s="36">
        <f t="shared" si="2"/>
        <v>143231.20000000001</v>
      </c>
      <c r="U22" s="37">
        <f t="shared" si="4"/>
        <v>97.568937329700276</v>
      </c>
    </row>
    <row r="23" spans="1:21" ht="13.5" customHeight="1" x14ac:dyDescent="0.3">
      <c r="A23" s="19"/>
      <c r="C23" s="31">
        <v>13</v>
      </c>
      <c r="D23" s="1" t="s">
        <v>23</v>
      </c>
      <c r="E23" s="20">
        <v>126.3</v>
      </c>
      <c r="F23" s="20">
        <v>84.1</v>
      </c>
      <c r="G23" s="20">
        <v>72.5</v>
      </c>
      <c r="I23" s="20">
        <f t="shared" si="3"/>
        <v>99.754576271186437</v>
      </c>
      <c r="J23" s="45">
        <f>(I23/'AAU 09-10'!I23)-1</f>
        <v>2.4375522933118399E-2</v>
      </c>
      <c r="K23" s="18"/>
      <c r="M23" s="38">
        <f>381+137</f>
        <v>518</v>
      </c>
      <c r="N23" s="38">
        <f>206+164</f>
        <v>370</v>
      </c>
      <c r="O23" s="38">
        <f>145+147</f>
        <v>292</v>
      </c>
      <c r="P23" s="36">
        <f t="shared" si="0"/>
        <v>65423.4</v>
      </c>
      <c r="Q23" s="36">
        <f t="shared" si="0"/>
        <v>31116.999999999996</v>
      </c>
      <c r="R23" s="36">
        <f t="shared" si="0"/>
        <v>21170</v>
      </c>
      <c r="S23" s="36">
        <f t="shared" si="1"/>
        <v>1180</v>
      </c>
      <c r="T23" s="36">
        <f t="shared" si="2"/>
        <v>117710.39999999999</v>
      </c>
      <c r="U23" s="37">
        <f t="shared" si="4"/>
        <v>99.754576271186437</v>
      </c>
    </row>
    <row r="24" spans="1:21" ht="13.5" customHeight="1" x14ac:dyDescent="0.3">
      <c r="A24" s="19"/>
      <c r="C24" s="31">
        <v>14</v>
      </c>
      <c r="D24" s="1" t="s">
        <v>24</v>
      </c>
      <c r="E24" s="20">
        <v>114.3</v>
      </c>
      <c r="F24" s="20">
        <v>82.3</v>
      </c>
      <c r="G24" s="20">
        <v>73.7</v>
      </c>
      <c r="I24" s="20">
        <f t="shared" si="3"/>
        <v>93.600082850041431</v>
      </c>
      <c r="J24" s="45">
        <f>(I24/'AAU 09-10'!I24)-1</f>
        <v>2.5154366592151201E-2</v>
      </c>
      <c r="K24" s="18"/>
      <c r="M24" s="38">
        <f>425+84</f>
        <v>509</v>
      </c>
      <c r="N24" s="38">
        <f>257+133</f>
        <v>390</v>
      </c>
      <c r="O24" s="38">
        <f>183+125</f>
        <v>308</v>
      </c>
      <c r="P24" s="36">
        <f t="shared" si="0"/>
        <v>58178.7</v>
      </c>
      <c r="Q24" s="36">
        <f t="shared" si="0"/>
        <v>32097</v>
      </c>
      <c r="R24" s="36">
        <f t="shared" si="0"/>
        <v>22699.600000000002</v>
      </c>
      <c r="S24" s="36">
        <f t="shared" si="1"/>
        <v>1207</v>
      </c>
      <c r="T24" s="36">
        <f t="shared" si="2"/>
        <v>112975.3</v>
      </c>
      <c r="U24" s="37">
        <f t="shared" si="4"/>
        <v>93.600082850041431</v>
      </c>
    </row>
    <row r="25" spans="1:21" ht="13.5" customHeight="1" x14ac:dyDescent="0.3">
      <c r="A25" s="19"/>
      <c r="C25" s="31">
        <v>15</v>
      </c>
      <c r="D25" s="1" t="s">
        <v>25</v>
      </c>
      <c r="E25" s="20">
        <v>117.7</v>
      </c>
      <c r="F25" s="20">
        <v>79.400000000000006</v>
      </c>
      <c r="G25" s="20">
        <v>66.3</v>
      </c>
      <c r="I25" s="20">
        <f t="shared" si="3"/>
        <v>91.377912867274574</v>
      </c>
      <c r="J25" s="45">
        <f>(I25/'AAU 09-10'!I25)-1</f>
        <v>4.4731385427014825E-3</v>
      </c>
      <c r="K25" s="18"/>
      <c r="M25" s="38">
        <f>301+86</f>
        <v>387</v>
      </c>
      <c r="N25" s="38">
        <f>225+146</f>
        <v>371</v>
      </c>
      <c r="O25" s="38">
        <f>128+101</f>
        <v>229</v>
      </c>
      <c r="P25" s="36">
        <f t="shared" si="0"/>
        <v>45549.9</v>
      </c>
      <c r="Q25" s="36">
        <f t="shared" si="0"/>
        <v>29457.4</v>
      </c>
      <c r="R25" s="36">
        <f t="shared" si="0"/>
        <v>15182.699999999999</v>
      </c>
      <c r="S25" s="36">
        <f t="shared" si="1"/>
        <v>987</v>
      </c>
      <c r="T25" s="36">
        <f t="shared" si="2"/>
        <v>90190</v>
      </c>
      <c r="U25" s="37">
        <f t="shared" si="4"/>
        <v>91.377912867274574</v>
      </c>
    </row>
    <row r="26" spans="1:21" ht="13.5" customHeight="1" x14ac:dyDescent="0.3">
      <c r="A26" s="19"/>
      <c r="C26" s="31">
        <v>16</v>
      </c>
      <c r="D26" s="1" t="s">
        <v>26</v>
      </c>
      <c r="E26" s="20">
        <v>134.4</v>
      </c>
      <c r="F26" s="20">
        <v>94.5</v>
      </c>
      <c r="G26" s="20">
        <v>82.4</v>
      </c>
      <c r="I26" s="20">
        <f t="shared" si="3"/>
        <v>110.92139156180606</v>
      </c>
      <c r="J26" s="45">
        <f>(I26/'AAU 09-10'!I26)-1</f>
        <v>5.7070808201054035E-5</v>
      </c>
      <c r="K26" s="18"/>
      <c r="M26" s="38">
        <f>507+140</f>
        <v>647</v>
      </c>
      <c r="N26" s="38">
        <f>265+139</f>
        <v>404</v>
      </c>
      <c r="O26" s="38">
        <f>178+122</f>
        <v>300</v>
      </c>
      <c r="P26" s="36">
        <f t="shared" si="0"/>
        <v>86956.800000000003</v>
      </c>
      <c r="Q26" s="36">
        <f t="shared" si="0"/>
        <v>38178</v>
      </c>
      <c r="R26" s="36">
        <f t="shared" si="0"/>
        <v>24720</v>
      </c>
      <c r="S26" s="36">
        <f t="shared" si="1"/>
        <v>1351</v>
      </c>
      <c r="T26" s="36">
        <f t="shared" si="2"/>
        <v>149854.79999999999</v>
      </c>
      <c r="U26" s="37">
        <f t="shared" si="4"/>
        <v>110.92139156180606</v>
      </c>
    </row>
    <row r="27" spans="1:21" ht="13.5" customHeight="1" x14ac:dyDescent="0.3">
      <c r="A27" s="19"/>
      <c r="C27" s="31">
        <v>17</v>
      </c>
      <c r="D27" s="1" t="s">
        <v>27</v>
      </c>
      <c r="E27" s="20">
        <v>146.9</v>
      </c>
      <c r="F27" s="20">
        <v>96.1</v>
      </c>
      <c r="G27" s="20">
        <v>84.5</v>
      </c>
      <c r="I27" s="20">
        <f t="shared" si="3"/>
        <v>117.28964843750001</v>
      </c>
      <c r="J27" s="45">
        <f>(I27/'AAU 09-10'!I27)-1</f>
        <v>2.3166350463593055E-2</v>
      </c>
      <c r="K27" s="18"/>
      <c r="M27" s="38">
        <f>745+228</f>
        <v>973</v>
      </c>
      <c r="N27" s="38">
        <f>326+229</f>
        <v>555</v>
      </c>
      <c r="O27" s="38">
        <f>297+223</f>
        <v>520</v>
      </c>
      <c r="P27" s="36">
        <f t="shared" si="0"/>
        <v>142933.70000000001</v>
      </c>
      <c r="Q27" s="36">
        <f t="shared" si="0"/>
        <v>53335.5</v>
      </c>
      <c r="R27" s="36">
        <f t="shared" si="0"/>
        <v>43940</v>
      </c>
      <c r="S27" s="36">
        <f t="shared" si="1"/>
        <v>2048</v>
      </c>
      <c r="T27" s="36">
        <f t="shared" si="2"/>
        <v>240209.2</v>
      </c>
      <c r="U27" s="37">
        <f t="shared" si="4"/>
        <v>117.28964843750001</v>
      </c>
    </row>
    <row r="28" spans="1:21" ht="13.5" customHeight="1" x14ac:dyDescent="0.3">
      <c r="A28" s="19"/>
      <c r="C28" s="31">
        <v>18</v>
      </c>
      <c r="D28" s="1" t="s">
        <v>28</v>
      </c>
      <c r="E28" s="20">
        <v>125.2</v>
      </c>
      <c r="F28" s="20">
        <v>87</v>
      </c>
      <c r="G28" s="20">
        <v>69.099999999999994</v>
      </c>
      <c r="I28" s="20">
        <f t="shared" si="3"/>
        <v>98.228102710413694</v>
      </c>
      <c r="J28" s="45">
        <f>(I28/'AAU 09-10'!I28)-1</f>
        <v>8.076809771920157E-3</v>
      </c>
      <c r="K28" s="18"/>
      <c r="M28" s="38">
        <f>714+197</f>
        <v>911</v>
      </c>
      <c r="N28" s="38">
        <f>345+222</f>
        <v>567</v>
      </c>
      <c r="O28" s="38">
        <f>334+291</f>
        <v>625</v>
      </c>
      <c r="P28" s="36">
        <f t="shared" si="0"/>
        <v>114057.2</v>
      </c>
      <c r="Q28" s="36">
        <f t="shared" si="0"/>
        <v>49329</v>
      </c>
      <c r="R28" s="36">
        <f t="shared" si="0"/>
        <v>43187.5</v>
      </c>
      <c r="S28" s="36">
        <f t="shared" si="1"/>
        <v>2103</v>
      </c>
      <c r="T28" s="36">
        <f t="shared" si="2"/>
        <v>206573.7</v>
      </c>
      <c r="U28" s="37">
        <f t="shared" si="4"/>
        <v>98.228102710413694</v>
      </c>
    </row>
    <row r="29" spans="1:21" ht="13.5" customHeight="1" x14ac:dyDescent="0.3">
      <c r="A29" s="19"/>
      <c r="C29" s="31">
        <v>19</v>
      </c>
      <c r="D29" s="1" t="s">
        <v>29</v>
      </c>
      <c r="E29" s="20">
        <v>123.2</v>
      </c>
      <c r="F29" s="20">
        <v>85.1</v>
      </c>
      <c r="G29" s="20">
        <v>78.5</v>
      </c>
      <c r="I29" s="20">
        <f t="shared" si="3"/>
        <v>100.35733678086619</v>
      </c>
      <c r="J29" s="45">
        <f>(I29/'AAU 09-10'!I29)-1</f>
        <v>2.2912327464901239E-3</v>
      </c>
      <c r="K29" s="18"/>
      <c r="M29" s="38">
        <f>514+167</f>
        <v>681</v>
      </c>
      <c r="N29" s="38">
        <f>286+225</f>
        <v>511</v>
      </c>
      <c r="O29" s="38">
        <f>189+166</f>
        <v>355</v>
      </c>
      <c r="P29" s="36">
        <f t="shared" si="0"/>
        <v>83899.199999999997</v>
      </c>
      <c r="Q29" s="36">
        <f t="shared" si="0"/>
        <v>43486.1</v>
      </c>
      <c r="R29" s="36">
        <f t="shared" si="0"/>
        <v>27867.5</v>
      </c>
      <c r="S29" s="36">
        <f t="shared" si="1"/>
        <v>1547</v>
      </c>
      <c r="T29" s="36">
        <f t="shared" si="2"/>
        <v>155252.79999999999</v>
      </c>
      <c r="U29" s="37">
        <f t="shared" si="4"/>
        <v>100.35733678086619</v>
      </c>
    </row>
    <row r="30" spans="1:21" ht="13.5" customHeight="1" x14ac:dyDescent="0.3">
      <c r="A30" s="19"/>
      <c r="C30" s="31">
        <v>20</v>
      </c>
      <c r="D30" s="24" t="s">
        <v>30</v>
      </c>
      <c r="E30" s="25">
        <v>111.1</v>
      </c>
      <c r="F30" s="25">
        <v>73.5</v>
      </c>
      <c r="G30" s="25">
        <v>60.9</v>
      </c>
      <c r="H30" s="24"/>
      <c r="I30" s="25">
        <f t="shared" si="3"/>
        <v>81.324376731301939</v>
      </c>
      <c r="J30" s="47">
        <f>(I30/'AAU 09-10'!I30)-1</f>
        <v>-3.7557658613076583E-3</v>
      </c>
      <c r="K30" s="18"/>
      <c r="M30" s="38">
        <f>263+82</f>
        <v>345</v>
      </c>
      <c r="N30" s="38">
        <f>235+146</f>
        <v>381</v>
      </c>
      <c r="O30" s="38">
        <f>170+187</f>
        <v>357</v>
      </c>
      <c r="P30" s="36">
        <f t="shared" si="0"/>
        <v>38329.5</v>
      </c>
      <c r="Q30" s="36">
        <f t="shared" si="0"/>
        <v>28003.5</v>
      </c>
      <c r="R30" s="36">
        <f t="shared" si="0"/>
        <v>21741.3</v>
      </c>
      <c r="S30" s="36">
        <f t="shared" si="1"/>
        <v>1083</v>
      </c>
      <c r="T30" s="36">
        <f t="shared" si="2"/>
        <v>88074.3</v>
      </c>
      <c r="U30" s="37">
        <f t="shared" si="4"/>
        <v>81.324376731301939</v>
      </c>
    </row>
    <row r="31" spans="1:21" ht="13.5" customHeight="1" x14ac:dyDescent="0.3">
      <c r="A31" s="19"/>
      <c r="C31" s="31">
        <v>21</v>
      </c>
      <c r="D31" s="1" t="s">
        <v>64</v>
      </c>
      <c r="E31" s="20">
        <v>112.3</v>
      </c>
      <c r="F31" s="20">
        <v>76.7</v>
      </c>
      <c r="G31" s="20">
        <v>68.900000000000006</v>
      </c>
      <c r="I31" s="20">
        <f>U31</f>
        <v>91.981153846153845</v>
      </c>
      <c r="J31" s="45">
        <f>(I31/'AAU 09-10'!I31)-1</f>
        <v>1.0849895921860586E-3</v>
      </c>
      <c r="K31" s="18"/>
      <c r="M31" s="38">
        <f>417+82</f>
        <v>499</v>
      </c>
      <c r="N31" s="38">
        <f>189+112</f>
        <v>301</v>
      </c>
      <c r="O31" s="38">
        <f>149+91</f>
        <v>240</v>
      </c>
      <c r="P31" s="36">
        <f t="shared" ref="P31" si="5">E31*M31</f>
        <v>56037.7</v>
      </c>
      <c r="Q31" s="36">
        <f t="shared" ref="Q31" si="6">F31*N31</f>
        <v>23086.7</v>
      </c>
      <c r="R31" s="36">
        <f t="shared" ref="R31" si="7">G31*O31</f>
        <v>16536</v>
      </c>
      <c r="S31" s="36">
        <f t="shared" ref="S31" si="8">M31+N31+O31</f>
        <v>1040</v>
      </c>
      <c r="T31" s="36">
        <f t="shared" ref="T31" si="9">P31+Q31+R31</f>
        <v>95660.4</v>
      </c>
      <c r="U31" s="37">
        <f>T31/S31</f>
        <v>91.981153846153845</v>
      </c>
    </row>
    <row r="32" spans="1:21" ht="13.5" customHeight="1" x14ac:dyDescent="0.3">
      <c r="A32" s="19"/>
      <c r="C32" s="31">
        <v>22</v>
      </c>
      <c r="D32" s="1" t="s">
        <v>45</v>
      </c>
      <c r="E32" s="20">
        <v>143.30000000000001</v>
      </c>
      <c r="F32" s="20">
        <v>93.1</v>
      </c>
      <c r="G32" s="20">
        <v>81.099999999999994</v>
      </c>
      <c r="I32" s="20">
        <f t="shared" si="3"/>
        <v>114.12772727272727</v>
      </c>
      <c r="J32" s="45">
        <f>(I32/'AAU 09-10'!I32)-1</f>
        <v>7.7932782020457836E-3</v>
      </c>
      <c r="K32" s="18"/>
      <c r="M32" s="38">
        <f>464+169</f>
        <v>633</v>
      </c>
      <c r="N32" s="38">
        <f>201+151</f>
        <v>352</v>
      </c>
      <c r="O32" s="38">
        <f>180+155</f>
        <v>335</v>
      </c>
      <c r="P32" s="36">
        <f t="shared" si="0"/>
        <v>90708.900000000009</v>
      </c>
      <c r="Q32" s="36">
        <f t="shared" si="0"/>
        <v>32771.199999999997</v>
      </c>
      <c r="R32" s="36">
        <f t="shared" si="0"/>
        <v>27168.499999999996</v>
      </c>
      <c r="S32" s="36">
        <f t="shared" si="1"/>
        <v>1320</v>
      </c>
      <c r="T32" s="36">
        <f t="shared" si="2"/>
        <v>150648.6</v>
      </c>
      <c r="U32" s="37">
        <f t="shared" si="4"/>
        <v>114.12772727272727</v>
      </c>
    </row>
    <row r="33" spans="1:21" ht="13.5" customHeight="1" x14ac:dyDescent="0.3">
      <c r="A33" s="19"/>
      <c r="C33" s="31">
        <v>23</v>
      </c>
      <c r="D33" s="1" t="s">
        <v>31</v>
      </c>
      <c r="E33" s="20">
        <v>131.5</v>
      </c>
      <c r="F33" s="20">
        <v>87.7</v>
      </c>
      <c r="G33" s="20">
        <v>79.400000000000006</v>
      </c>
      <c r="I33" s="20">
        <f t="shared" si="3"/>
        <v>105.5171195652174</v>
      </c>
      <c r="J33" s="45">
        <f>(I33/'AAU 09-10'!I33)-1</f>
        <v>1.9435192136612045E-2</v>
      </c>
      <c r="K33" s="18"/>
      <c r="M33" s="38">
        <f>767+221</f>
        <v>988</v>
      </c>
      <c r="N33" s="38">
        <f>449+297</f>
        <v>746</v>
      </c>
      <c r="O33" s="38">
        <f>250+224</f>
        <v>474</v>
      </c>
      <c r="P33" s="36">
        <f t="shared" si="0"/>
        <v>129922</v>
      </c>
      <c r="Q33" s="36">
        <f t="shared" si="0"/>
        <v>65424.200000000004</v>
      </c>
      <c r="R33" s="36">
        <f t="shared" si="0"/>
        <v>37635.600000000006</v>
      </c>
      <c r="S33" s="36">
        <f t="shared" si="1"/>
        <v>2208</v>
      </c>
      <c r="T33" s="36">
        <f t="shared" si="2"/>
        <v>232981.80000000002</v>
      </c>
      <c r="U33" s="37">
        <f t="shared" si="4"/>
        <v>105.5171195652174</v>
      </c>
    </row>
    <row r="34" spans="1:21" ht="13.5" customHeight="1" x14ac:dyDescent="0.3">
      <c r="A34" s="19"/>
      <c r="C34" s="31">
        <v>24</v>
      </c>
      <c r="D34" s="1" t="s">
        <v>32</v>
      </c>
      <c r="E34" s="20">
        <v>104.9</v>
      </c>
      <c r="F34" s="20">
        <v>75.5</v>
      </c>
      <c r="G34" s="20">
        <v>72</v>
      </c>
      <c r="I34" s="20">
        <f t="shared" si="3"/>
        <v>85.189531250000002</v>
      </c>
      <c r="J34" s="45">
        <f>(I34/'AAU 09-10'!I34)-1</f>
        <v>1.706070459199438E-2</v>
      </c>
      <c r="K34" s="18"/>
      <c r="M34" s="38">
        <f>168+64</f>
        <v>232</v>
      </c>
      <c r="N34" s="38">
        <f>149+82</f>
        <v>231</v>
      </c>
      <c r="O34" s="38">
        <f>105+72</f>
        <v>177</v>
      </c>
      <c r="P34" s="36">
        <f t="shared" si="0"/>
        <v>24336.800000000003</v>
      </c>
      <c r="Q34" s="36">
        <f t="shared" si="0"/>
        <v>17440.5</v>
      </c>
      <c r="R34" s="36">
        <f t="shared" si="0"/>
        <v>12744</v>
      </c>
      <c r="S34" s="36">
        <f t="shared" si="1"/>
        <v>640</v>
      </c>
      <c r="T34" s="36">
        <f t="shared" si="2"/>
        <v>54521.3</v>
      </c>
      <c r="U34" s="37">
        <f t="shared" si="4"/>
        <v>85.189531250000002</v>
      </c>
    </row>
    <row r="35" spans="1:21" ht="13.5" customHeight="1" x14ac:dyDescent="0.3">
      <c r="A35" s="19"/>
      <c r="C35" s="31">
        <v>25</v>
      </c>
      <c r="D35" s="1" t="s">
        <v>33</v>
      </c>
      <c r="E35" s="20">
        <v>133.5</v>
      </c>
      <c r="F35" s="20">
        <v>89</v>
      </c>
      <c r="G35" s="20">
        <v>75.900000000000006</v>
      </c>
      <c r="I35" s="20">
        <f t="shared" si="3"/>
        <v>106.61691772885283</v>
      </c>
      <c r="J35" s="45">
        <f>(I35/'AAU 09-10'!I35)-1</f>
        <v>3.2817867757896302E-2</v>
      </c>
      <c r="K35" s="18"/>
      <c r="M35" s="38">
        <f>644+165</f>
        <v>809</v>
      </c>
      <c r="N35" s="38">
        <f>310+180</f>
        <v>490</v>
      </c>
      <c r="O35" s="38">
        <f>229+198</f>
        <v>427</v>
      </c>
      <c r="P35" s="36">
        <f t="shared" si="0"/>
        <v>108001.5</v>
      </c>
      <c r="Q35" s="36">
        <f t="shared" si="0"/>
        <v>43610</v>
      </c>
      <c r="R35" s="36">
        <f t="shared" si="0"/>
        <v>32409.300000000003</v>
      </c>
      <c r="S35" s="36">
        <f t="shared" si="1"/>
        <v>1726</v>
      </c>
      <c r="T35" s="36">
        <f t="shared" si="2"/>
        <v>184020.8</v>
      </c>
      <c r="U35" s="37">
        <f t="shared" si="4"/>
        <v>106.61691772885283</v>
      </c>
    </row>
    <row r="36" spans="1:21" ht="13.5" customHeight="1" x14ac:dyDescent="0.3">
      <c r="A36" s="19"/>
      <c r="C36" s="31">
        <v>26</v>
      </c>
      <c r="D36" s="1" t="s">
        <v>34</v>
      </c>
      <c r="E36" s="20">
        <v>132.80000000000001</v>
      </c>
      <c r="F36" s="20">
        <v>88.4</v>
      </c>
      <c r="G36" s="20">
        <v>72.2</v>
      </c>
      <c r="I36" s="20">
        <f t="shared" si="3"/>
        <v>98.450944716585042</v>
      </c>
      <c r="J36" s="45">
        <f>(I36/'AAU 09-10'!I36)-1</f>
        <v>3.6314917988168327E-2</v>
      </c>
      <c r="K36" s="18"/>
      <c r="M36" s="38">
        <f>381+122</f>
        <v>503</v>
      </c>
      <c r="N36" s="38">
        <f>286+148</f>
        <v>434</v>
      </c>
      <c r="O36" s="38">
        <f>239+253</f>
        <v>492</v>
      </c>
      <c r="P36" s="36">
        <f t="shared" si="0"/>
        <v>66798.400000000009</v>
      </c>
      <c r="Q36" s="36">
        <f t="shared" si="0"/>
        <v>38365.600000000006</v>
      </c>
      <c r="R36" s="36">
        <f t="shared" si="0"/>
        <v>35522.400000000001</v>
      </c>
      <c r="S36" s="36">
        <f t="shared" si="1"/>
        <v>1429</v>
      </c>
      <c r="T36" s="36">
        <f t="shared" si="2"/>
        <v>140686.40000000002</v>
      </c>
      <c r="U36" s="37">
        <f t="shared" si="4"/>
        <v>98.450944716585042</v>
      </c>
    </row>
    <row r="37" spans="1:21" ht="13.5" customHeight="1" x14ac:dyDescent="0.3">
      <c r="A37" s="19"/>
      <c r="C37" s="31">
        <v>27</v>
      </c>
      <c r="D37" s="1" t="s">
        <v>35</v>
      </c>
      <c r="E37" s="20">
        <v>122.1</v>
      </c>
      <c r="F37" s="20">
        <v>84.8</v>
      </c>
      <c r="G37" s="20">
        <v>77.400000000000006</v>
      </c>
      <c r="I37" s="20">
        <f t="shared" si="3"/>
        <v>99.16059637912673</v>
      </c>
      <c r="J37" s="45">
        <f>(I37/'AAU 09-10'!I37)-1</f>
        <v>6.3640919149444697E-2</v>
      </c>
      <c r="K37" s="18"/>
      <c r="M37" s="38">
        <f>694+132</f>
        <v>826</v>
      </c>
      <c r="N37" s="38">
        <f>361+172</f>
        <v>533</v>
      </c>
      <c r="O37" s="38">
        <f>291+228</f>
        <v>519</v>
      </c>
      <c r="P37" s="36">
        <f t="shared" si="0"/>
        <v>100854.59999999999</v>
      </c>
      <c r="Q37" s="36">
        <f t="shared" si="0"/>
        <v>45198.400000000001</v>
      </c>
      <c r="R37" s="36">
        <f t="shared" si="0"/>
        <v>40170.600000000006</v>
      </c>
      <c r="S37" s="36">
        <f t="shared" si="1"/>
        <v>1878</v>
      </c>
      <c r="T37" s="36">
        <f t="shared" si="2"/>
        <v>186223.6</v>
      </c>
      <c r="U37" s="37">
        <f t="shared" si="4"/>
        <v>99.16059637912673</v>
      </c>
    </row>
    <row r="38" spans="1:21" ht="13.5" customHeight="1" x14ac:dyDescent="0.3">
      <c r="A38" s="19"/>
      <c r="C38" s="31">
        <v>28</v>
      </c>
      <c r="D38" s="1" t="s">
        <v>36</v>
      </c>
      <c r="E38" s="20">
        <v>142.69999999999999</v>
      </c>
      <c r="F38" s="20">
        <v>96.7</v>
      </c>
      <c r="G38" s="20">
        <v>78.900000000000006</v>
      </c>
      <c r="I38" s="20">
        <f t="shared" si="3"/>
        <v>116.40712290502793</v>
      </c>
      <c r="J38" s="45">
        <f>(I38/'AAU 09-10'!I38)-1</f>
        <v>1.627314717038808E-2</v>
      </c>
      <c r="K38" s="18"/>
      <c r="M38" s="38">
        <f>558+165</f>
        <v>723</v>
      </c>
      <c r="N38" s="39">
        <f>246+180</f>
        <v>426</v>
      </c>
      <c r="O38" s="38">
        <f>130+153</f>
        <v>283</v>
      </c>
      <c r="P38" s="36">
        <f t="shared" si="0"/>
        <v>103172.09999999999</v>
      </c>
      <c r="Q38" s="36">
        <f t="shared" si="0"/>
        <v>41194.200000000004</v>
      </c>
      <c r="R38" s="36">
        <f t="shared" si="0"/>
        <v>22328.7</v>
      </c>
      <c r="S38" s="36">
        <f t="shared" si="1"/>
        <v>1432</v>
      </c>
      <c r="T38" s="36">
        <f t="shared" si="2"/>
        <v>166695</v>
      </c>
      <c r="U38" s="37">
        <f t="shared" si="4"/>
        <v>116.40712290502793</v>
      </c>
    </row>
    <row r="39" spans="1:21" ht="13.5" customHeight="1" x14ac:dyDescent="0.3">
      <c r="A39" s="19"/>
      <c r="C39" s="31">
        <v>29</v>
      </c>
      <c r="D39" s="1" t="s">
        <v>46</v>
      </c>
      <c r="E39" s="20">
        <v>134.9</v>
      </c>
      <c r="F39" s="20">
        <v>92.8</v>
      </c>
      <c r="G39" s="20">
        <v>77.2</v>
      </c>
      <c r="I39" s="20">
        <f t="shared" si="3"/>
        <v>103.56261040235525</v>
      </c>
      <c r="J39" s="45">
        <f>(I39/'AAU 09-10'!I39)-1</f>
        <v>4.3169257837630148E-2</v>
      </c>
      <c r="K39" s="18"/>
      <c r="M39" s="38">
        <f>299+76</f>
        <v>375</v>
      </c>
      <c r="N39" s="38">
        <f>209+126</f>
        <v>335</v>
      </c>
      <c r="O39" s="38">
        <f>149+160</f>
        <v>309</v>
      </c>
      <c r="P39" s="36">
        <f t="shared" si="0"/>
        <v>50587.5</v>
      </c>
      <c r="Q39" s="36">
        <f t="shared" si="0"/>
        <v>31088</v>
      </c>
      <c r="R39" s="36">
        <f t="shared" si="0"/>
        <v>23854.799999999999</v>
      </c>
      <c r="S39" s="36">
        <f t="shared" si="1"/>
        <v>1019</v>
      </c>
      <c r="T39" s="36">
        <f t="shared" si="2"/>
        <v>105530.3</v>
      </c>
      <c r="U39" s="37">
        <f t="shared" si="4"/>
        <v>103.56261040235525</v>
      </c>
    </row>
    <row r="40" spans="1:21" ht="13.5" customHeight="1" x14ac:dyDescent="0.3">
      <c r="A40" s="19"/>
      <c r="C40" s="31">
        <v>30</v>
      </c>
      <c r="D40" s="1" t="s">
        <v>47</v>
      </c>
      <c r="E40" s="20">
        <v>138.6</v>
      </c>
      <c r="F40" s="20">
        <v>99.6</v>
      </c>
      <c r="G40" s="20">
        <v>78.599999999999994</v>
      </c>
      <c r="I40" s="20">
        <f t="shared" si="3"/>
        <v>111.13875968992249</v>
      </c>
      <c r="J40" s="45">
        <f>(I40/'AAU 09-10'!I40)-1</f>
        <v>4.9182577233055191E-2</v>
      </c>
      <c r="K40" s="18"/>
      <c r="M40" s="38">
        <f>275+66</f>
        <v>341</v>
      </c>
      <c r="N40" s="38">
        <f>140+85</f>
        <v>225</v>
      </c>
      <c r="O40" s="38">
        <f>123+85</f>
        <v>208</v>
      </c>
      <c r="P40" s="36">
        <f t="shared" si="0"/>
        <v>47262.6</v>
      </c>
      <c r="Q40" s="36">
        <f t="shared" si="0"/>
        <v>22410</v>
      </c>
      <c r="R40" s="36">
        <f t="shared" si="0"/>
        <v>16348.8</v>
      </c>
      <c r="S40" s="36">
        <f t="shared" si="1"/>
        <v>774</v>
      </c>
      <c r="T40" s="36">
        <f t="shared" si="2"/>
        <v>86021.400000000009</v>
      </c>
      <c r="U40" s="37">
        <f t="shared" si="4"/>
        <v>111.13875968992249</v>
      </c>
    </row>
    <row r="41" spans="1:21" ht="13.5" customHeight="1" x14ac:dyDescent="0.3">
      <c r="A41" s="19"/>
      <c r="C41" s="31">
        <v>31</v>
      </c>
      <c r="D41" s="1" t="s">
        <v>48</v>
      </c>
      <c r="E41" s="20">
        <v>136.5</v>
      </c>
      <c r="F41" s="20">
        <v>88.6</v>
      </c>
      <c r="G41" s="20">
        <v>82.4</v>
      </c>
      <c r="I41" s="20">
        <f t="shared" si="3"/>
        <v>111.34029697900667</v>
      </c>
      <c r="J41" s="45">
        <f>(I41/'AAU 09-10'!I41)-1</f>
        <v>2.8706162417677872E-2</v>
      </c>
      <c r="K41" s="18"/>
      <c r="M41" s="38">
        <f>778+206</f>
        <v>984</v>
      </c>
      <c r="N41" s="38">
        <f>331+199</f>
        <v>530</v>
      </c>
      <c r="O41" s="38">
        <f>252+187</f>
        <v>439</v>
      </c>
      <c r="P41" s="36">
        <f t="shared" si="0"/>
        <v>134316</v>
      </c>
      <c r="Q41" s="36">
        <f t="shared" si="0"/>
        <v>46958</v>
      </c>
      <c r="R41" s="36">
        <f t="shared" si="0"/>
        <v>36173.600000000006</v>
      </c>
      <c r="S41" s="36">
        <f t="shared" si="1"/>
        <v>1953</v>
      </c>
      <c r="T41" s="36">
        <f t="shared" si="2"/>
        <v>217447.6</v>
      </c>
      <c r="U41" s="37">
        <f t="shared" si="4"/>
        <v>111.34029697900667</v>
      </c>
    </row>
    <row r="42" spans="1:21" ht="13.5" customHeight="1" x14ac:dyDescent="0.3">
      <c r="A42" s="19"/>
      <c r="C42" s="31">
        <v>32</v>
      </c>
      <c r="D42" s="1" t="s">
        <v>37</v>
      </c>
      <c r="E42" s="20">
        <v>118.9</v>
      </c>
      <c r="F42" s="20">
        <v>81.900000000000006</v>
      </c>
      <c r="G42" s="20">
        <v>73.7</v>
      </c>
      <c r="I42" s="20">
        <f t="shared" si="3"/>
        <v>95.868213457076564</v>
      </c>
      <c r="J42" s="45">
        <f>(I42/'AAU 09-10'!I42)-1</f>
        <v>-1.3394575195056158E-2</v>
      </c>
      <c r="K42" s="18"/>
      <c r="M42" s="38">
        <f>666+91</f>
        <v>757</v>
      </c>
      <c r="N42" s="38">
        <f>340+148</f>
        <v>488</v>
      </c>
      <c r="O42" s="38">
        <f>297+182</f>
        <v>479</v>
      </c>
      <c r="P42" s="36">
        <f t="shared" si="0"/>
        <v>90007.3</v>
      </c>
      <c r="Q42" s="36">
        <f t="shared" si="0"/>
        <v>39967.200000000004</v>
      </c>
      <c r="R42" s="36">
        <f t="shared" si="0"/>
        <v>35302.300000000003</v>
      </c>
      <c r="S42" s="36">
        <f t="shared" si="1"/>
        <v>1724</v>
      </c>
      <c r="T42" s="36">
        <f t="shared" si="2"/>
        <v>165276.79999999999</v>
      </c>
      <c r="U42" s="37">
        <f t="shared" si="4"/>
        <v>95.868213457076564</v>
      </c>
    </row>
    <row r="43" spans="1:21" ht="13.5" customHeight="1" x14ac:dyDescent="0.3">
      <c r="A43" s="19"/>
      <c r="C43" s="31">
        <v>33</v>
      </c>
      <c r="D43" s="1" t="s">
        <v>38</v>
      </c>
      <c r="E43" s="20">
        <v>136.5</v>
      </c>
      <c r="F43" s="20">
        <v>91.8</v>
      </c>
      <c r="G43" s="20">
        <v>76.3</v>
      </c>
      <c r="I43" s="20">
        <f t="shared" si="3"/>
        <v>110.42506690454951</v>
      </c>
      <c r="J43" s="45">
        <f>(I43/'AAU 09-10'!I43)-1</f>
        <v>1.9201463717004152E-2</v>
      </c>
      <c r="K43" s="18"/>
      <c r="M43" s="38">
        <f>444+107</f>
        <v>551</v>
      </c>
      <c r="N43" s="38">
        <f>207+121</f>
        <v>328</v>
      </c>
      <c r="O43" s="38">
        <f>121+121</f>
        <v>242</v>
      </c>
      <c r="P43" s="36">
        <f t="shared" si="0"/>
        <v>75211.5</v>
      </c>
      <c r="Q43" s="36">
        <f t="shared" si="0"/>
        <v>30110.399999999998</v>
      </c>
      <c r="R43" s="36">
        <f t="shared" si="0"/>
        <v>18464.599999999999</v>
      </c>
      <c r="S43" s="36">
        <f t="shared" si="1"/>
        <v>1121</v>
      </c>
      <c r="T43" s="36">
        <f t="shared" si="2"/>
        <v>123786.5</v>
      </c>
      <c r="U43" s="37">
        <f t="shared" si="4"/>
        <v>110.42506690454951</v>
      </c>
    </row>
    <row r="44" spans="1:21" ht="13.5" customHeight="1" x14ac:dyDescent="0.3">
      <c r="A44" s="19"/>
      <c r="C44" s="31">
        <v>34</v>
      </c>
      <c r="D44" s="1" t="s">
        <v>39</v>
      </c>
      <c r="E44" s="20">
        <v>118.3</v>
      </c>
      <c r="F44" s="20">
        <v>86.8</v>
      </c>
      <c r="G44" s="20">
        <v>77.400000000000006</v>
      </c>
      <c r="I44" s="20">
        <f t="shared" si="3"/>
        <v>100.37822477650063</v>
      </c>
      <c r="J44" s="45">
        <f>(I44/'AAU 09-10'!I44)-1</f>
        <v>-2.4279760786353521E-2</v>
      </c>
      <c r="K44" s="18"/>
      <c r="M44" s="38">
        <f>576+199</f>
        <v>775</v>
      </c>
      <c r="N44" s="38">
        <f>247+209</f>
        <v>456</v>
      </c>
      <c r="O44" s="38">
        <f>181+154</f>
        <v>335</v>
      </c>
      <c r="P44" s="36">
        <f t="shared" si="0"/>
        <v>91682.5</v>
      </c>
      <c r="Q44" s="36">
        <f t="shared" si="0"/>
        <v>39580.799999999996</v>
      </c>
      <c r="R44" s="36">
        <f t="shared" si="0"/>
        <v>25929.000000000004</v>
      </c>
      <c r="S44" s="36">
        <f t="shared" si="1"/>
        <v>1566</v>
      </c>
      <c r="T44" s="36">
        <f t="shared" si="2"/>
        <v>157192.29999999999</v>
      </c>
      <c r="U44" s="37">
        <f t="shared" si="4"/>
        <v>100.37822477650063</v>
      </c>
    </row>
    <row r="45" spans="1:21" ht="13.5" customHeight="1" x14ac:dyDescent="0.3">
      <c r="A45" s="19"/>
      <c r="C45" s="31">
        <v>35</v>
      </c>
      <c r="D45" s="1" t="s">
        <v>40</v>
      </c>
      <c r="E45" s="20">
        <v>113.8</v>
      </c>
      <c r="F45" s="20">
        <v>87.3</v>
      </c>
      <c r="G45" s="20">
        <v>74.900000000000006</v>
      </c>
      <c r="I45" s="20">
        <f t="shared" si="3"/>
        <v>99.628972653362894</v>
      </c>
      <c r="J45" s="45">
        <f>(I45/'AAU 09-10'!I45)-1</f>
        <v>2.8287897234282156E-2</v>
      </c>
      <c r="K45" s="18"/>
      <c r="M45" s="38">
        <f>557+218</f>
        <v>775</v>
      </c>
      <c r="N45" s="38">
        <f>158+109</f>
        <v>267</v>
      </c>
      <c r="O45" s="38">
        <f>166+145</f>
        <v>311</v>
      </c>
      <c r="P45" s="36">
        <f t="shared" si="0"/>
        <v>88195</v>
      </c>
      <c r="Q45" s="36">
        <f t="shared" si="0"/>
        <v>23309.1</v>
      </c>
      <c r="R45" s="36">
        <f t="shared" si="0"/>
        <v>23293.9</v>
      </c>
      <c r="S45" s="36">
        <f t="shared" si="1"/>
        <v>1353</v>
      </c>
      <c r="T45" s="36">
        <f t="shared" si="2"/>
        <v>134798</v>
      </c>
      <c r="U45" s="37">
        <f t="shared" si="4"/>
        <v>99.628972653362894</v>
      </c>
    </row>
    <row r="46" spans="1:21" ht="13.5" customHeight="1" x14ac:dyDescent="0.3">
      <c r="A46" s="19"/>
      <c r="K46" s="18"/>
    </row>
    <row r="47" spans="1:21" ht="13.5" customHeight="1" x14ac:dyDescent="0.3">
      <c r="A47" s="19"/>
      <c r="D47" s="44" t="s">
        <v>54</v>
      </c>
      <c r="E47" s="41">
        <f>P47/M47</f>
        <v>129.90442627322017</v>
      </c>
      <c r="F47" s="41">
        <f t="shared" ref="F47" si="10">Q47/N47</f>
        <v>86.98094119374494</v>
      </c>
      <c r="G47" s="41">
        <f>R47/O47</f>
        <v>76.040039737387715</v>
      </c>
      <c r="H47" s="40"/>
      <c r="I47" s="41">
        <f t="shared" si="3"/>
        <v>104.57486110819933</v>
      </c>
      <c r="J47" s="46">
        <f>(I47/'AAU 09-10'!I47)-1</f>
        <v>1.7681976248794751E-2</v>
      </c>
      <c r="K47" s="18"/>
      <c r="M47" s="39">
        <f>SUM(M11:M45)</f>
        <v>22502</v>
      </c>
      <c r="N47" s="39">
        <f t="shared" ref="N47:R47" si="11">SUM(N11:N45)</f>
        <v>13621</v>
      </c>
      <c r="O47" s="39">
        <f t="shared" si="11"/>
        <v>11576</v>
      </c>
      <c r="P47" s="39">
        <f>SUM(P11:P45)</f>
        <v>2923109.4</v>
      </c>
      <c r="Q47" s="39">
        <f t="shared" si="11"/>
        <v>1184767.3999999999</v>
      </c>
      <c r="R47" s="39">
        <f t="shared" si="11"/>
        <v>880239.50000000012</v>
      </c>
      <c r="S47" s="36">
        <f>M47+N47+O47</f>
        <v>47699</v>
      </c>
      <c r="T47" s="36">
        <f>P47+Q47+R47</f>
        <v>4988116.3</v>
      </c>
      <c r="U47" s="37">
        <f>T47/S47</f>
        <v>104.57486110819933</v>
      </c>
    </row>
    <row r="48" spans="1:21" ht="13.5" customHeight="1" x14ac:dyDescent="0.3">
      <c r="A48" s="19"/>
      <c r="D48" s="44" t="s">
        <v>55</v>
      </c>
      <c r="E48" s="41">
        <f>MEDIAN(E11:E45)</f>
        <v>131.5</v>
      </c>
      <c r="F48" s="41">
        <f t="shared" ref="F48:G48" si="12">MEDIAN(F11:F45)</f>
        <v>86.8</v>
      </c>
      <c r="G48" s="41">
        <f t="shared" si="12"/>
        <v>77.2</v>
      </c>
      <c r="H48" s="40"/>
      <c r="I48" s="41">
        <f>MEDIAN(I11:I45)</f>
        <v>103.56261040235525</v>
      </c>
      <c r="J48" s="46">
        <f>(I48/'AAU 09-10'!I48)-1</f>
        <v>1.2998456342526277E-2</v>
      </c>
      <c r="K48" s="18"/>
    </row>
    <row r="49" spans="1:11" ht="13.5" customHeight="1" x14ac:dyDescent="0.3">
      <c r="A49" s="19"/>
      <c r="B49" s="22"/>
      <c r="C49" s="33"/>
      <c r="D49" s="22"/>
      <c r="E49" s="22"/>
      <c r="F49" s="22"/>
      <c r="G49" s="22"/>
      <c r="H49" s="22"/>
      <c r="I49" s="22"/>
      <c r="J49" s="22"/>
      <c r="K49" s="18"/>
    </row>
    <row r="50" spans="1:11" ht="13.5" customHeight="1" x14ac:dyDescent="0.3">
      <c r="A50" s="19"/>
      <c r="B50" s="1" t="s">
        <v>67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19"/>
      <c r="B52" s="16" t="s">
        <v>58</v>
      </c>
      <c r="K52" s="18"/>
    </row>
    <row r="53" spans="1:11" ht="13.5" customHeight="1" x14ac:dyDescent="0.3">
      <c r="A53" s="19"/>
      <c r="K53" s="18"/>
    </row>
    <row r="54" spans="1:11" ht="13.5" customHeight="1" x14ac:dyDescent="0.3">
      <c r="A54" s="21"/>
      <c r="B54" s="42" t="s">
        <v>56</v>
      </c>
      <c r="C54" s="33"/>
      <c r="D54" s="22"/>
      <c r="E54" s="22"/>
      <c r="F54" s="22"/>
      <c r="G54" s="22"/>
      <c r="H54" s="22"/>
      <c r="I54" s="22"/>
      <c r="J54" s="43" t="s">
        <v>65</v>
      </c>
      <c r="K54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53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68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117.3</v>
      </c>
      <c r="F11" s="20">
        <v>79.599999999999994</v>
      </c>
      <c r="G11" s="20">
        <v>68</v>
      </c>
      <c r="I11" s="20">
        <f>U11</f>
        <v>94.487518355359768</v>
      </c>
      <c r="J11" s="45">
        <f>(I11/'AAU 08-09'!I11)-1</f>
        <v>2.1806245949533842E-2</v>
      </c>
      <c r="K11" s="18"/>
      <c r="M11" s="38">
        <f>481+155</f>
        <v>636</v>
      </c>
      <c r="N11" s="38">
        <f>245+162</f>
        <v>407</v>
      </c>
      <c r="O11" s="38">
        <f>178+141</f>
        <v>319</v>
      </c>
      <c r="P11" s="36">
        <f t="shared" ref="P11:R45" si="0">E11*M11</f>
        <v>74602.8</v>
      </c>
      <c r="Q11" s="36">
        <f t="shared" si="0"/>
        <v>32397.199999999997</v>
      </c>
      <c r="R11" s="36">
        <f t="shared" si="0"/>
        <v>21692</v>
      </c>
      <c r="S11" s="36">
        <f t="shared" ref="S11:S45" si="1">M11+N11+O11</f>
        <v>1362</v>
      </c>
      <c r="T11" s="36">
        <f t="shared" ref="T11:T45" si="2">P11+Q11+R11</f>
        <v>128692</v>
      </c>
      <c r="U11" s="37">
        <f>T11/S11</f>
        <v>94.487518355359768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145.80000000000001</v>
      </c>
      <c r="F12" s="20">
        <v>98.2</v>
      </c>
      <c r="G12" s="20">
        <v>84.4</v>
      </c>
      <c r="I12" s="20">
        <f t="shared" ref="I12:I47" si="3">U12</f>
        <v>124.42077738515901</v>
      </c>
      <c r="J12" s="45">
        <f>(I12/'AAU 08-09'!I12)-1</f>
        <v>1.9095289930669779E-2</v>
      </c>
      <c r="K12" s="18"/>
      <c r="M12" s="38">
        <f>653+203</f>
        <v>856</v>
      </c>
      <c r="N12" s="38">
        <f>170+125</f>
        <v>295</v>
      </c>
      <c r="O12" s="38">
        <f>168+96</f>
        <v>264</v>
      </c>
      <c r="P12" s="36">
        <f t="shared" si="0"/>
        <v>124804.8</v>
      </c>
      <c r="Q12" s="36">
        <f t="shared" si="0"/>
        <v>28969</v>
      </c>
      <c r="R12" s="36">
        <f t="shared" si="0"/>
        <v>22281.600000000002</v>
      </c>
      <c r="S12" s="36">
        <f t="shared" si="1"/>
        <v>1415</v>
      </c>
      <c r="T12" s="36">
        <f t="shared" si="2"/>
        <v>176055.4</v>
      </c>
      <c r="U12" s="37">
        <f t="shared" ref="U12:U45" si="4">T12/S12</f>
        <v>124.42077738515901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123.4</v>
      </c>
      <c r="F13" s="20">
        <v>83.9</v>
      </c>
      <c r="G13" s="20">
        <v>77</v>
      </c>
      <c r="I13" s="20">
        <f t="shared" si="3"/>
        <v>105.97779310344829</v>
      </c>
      <c r="J13" s="45">
        <f>(I13/'AAU 08-09'!I13)-1</f>
        <v>1.0215951144448399E-2</v>
      </c>
      <c r="K13" s="18"/>
      <c r="M13" s="38">
        <f>659+207</f>
        <v>866</v>
      </c>
      <c r="N13" s="38">
        <f>149+117</f>
        <v>266</v>
      </c>
      <c r="O13" s="38">
        <f>180+138</f>
        <v>318</v>
      </c>
      <c r="P13" s="36">
        <f t="shared" si="0"/>
        <v>106864.40000000001</v>
      </c>
      <c r="Q13" s="36">
        <f t="shared" si="0"/>
        <v>22317.4</v>
      </c>
      <c r="R13" s="36">
        <f t="shared" si="0"/>
        <v>24486</v>
      </c>
      <c r="S13" s="36">
        <f t="shared" si="1"/>
        <v>1450</v>
      </c>
      <c r="T13" s="36">
        <f t="shared" si="2"/>
        <v>153667.80000000002</v>
      </c>
      <c r="U13" s="37">
        <f t="shared" si="4"/>
        <v>105.97779310344829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132.69999999999999</v>
      </c>
      <c r="F14" s="20">
        <v>85.7</v>
      </c>
      <c r="G14" s="20">
        <v>75.599999999999994</v>
      </c>
      <c r="I14" s="20">
        <f t="shared" si="3"/>
        <v>107.8468316831683</v>
      </c>
      <c r="J14" s="45">
        <f>(I14/'AAU 08-09'!I14)-1</f>
        <v>1.8533544137784297E-2</v>
      </c>
      <c r="K14" s="18"/>
      <c r="M14" s="38">
        <f>406+123</f>
        <v>529</v>
      </c>
      <c r="N14" s="38">
        <f>144+90</f>
        <v>234</v>
      </c>
      <c r="O14" s="38">
        <f>134+113</f>
        <v>247</v>
      </c>
      <c r="P14" s="36">
        <f t="shared" si="0"/>
        <v>70198.299999999988</v>
      </c>
      <c r="Q14" s="36">
        <f t="shared" si="0"/>
        <v>20053.8</v>
      </c>
      <c r="R14" s="36">
        <f t="shared" si="0"/>
        <v>18673.199999999997</v>
      </c>
      <c r="S14" s="36">
        <f t="shared" si="1"/>
        <v>1010</v>
      </c>
      <c r="T14" s="36">
        <f t="shared" si="2"/>
        <v>108925.29999999999</v>
      </c>
      <c r="U14" s="37">
        <f t="shared" si="4"/>
        <v>107.8468316831683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148</v>
      </c>
      <c r="F15" s="20">
        <v>95.2</v>
      </c>
      <c r="G15" s="20">
        <v>81.7</v>
      </c>
      <c r="I15" s="20">
        <f t="shared" si="3"/>
        <v>125.34620763851534</v>
      </c>
      <c r="J15" s="45">
        <f>(I15/'AAU 08-09'!I15)-1</f>
        <v>3.7108060071143978E-2</v>
      </c>
      <c r="K15" s="18"/>
      <c r="M15" s="38">
        <f>854+302</f>
        <v>1156</v>
      </c>
      <c r="N15" s="38">
        <f>203+130</f>
        <v>333</v>
      </c>
      <c r="O15" s="38">
        <f>221+149</f>
        <v>370</v>
      </c>
      <c r="P15" s="36">
        <f t="shared" si="0"/>
        <v>171088</v>
      </c>
      <c r="Q15" s="36">
        <f t="shared" si="0"/>
        <v>31701.600000000002</v>
      </c>
      <c r="R15" s="36">
        <f t="shared" si="0"/>
        <v>30229</v>
      </c>
      <c r="S15" s="36">
        <f t="shared" si="1"/>
        <v>1859</v>
      </c>
      <c r="T15" s="36">
        <f t="shared" si="2"/>
        <v>233018.6</v>
      </c>
      <c r="U15" s="37">
        <f t="shared" si="4"/>
        <v>125.34620763851534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135.4</v>
      </c>
      <c r="F16" s="20">
        <v>88.2</v>
      </c>
      <c r="G16" s="20">
        <v>79.599999999999994</v>
      </c>
      <c r="I16" s="20">
        <f t="shared" si="3"/>
        <v>113.58377142857144</v>
      </c>
      <c r="J16" s="45">
        <f>(I16/'AAU 08-09'!I16)-1</f>
        <v>1.2816771972629315E-2</v>
      </c>
      <c r="K16" s="18"/>
      <c r="M16" s="38">
        <f>423+80</f>
        <v>503</v>
      </c>
      <c r="N16" s="38">
        <f>134+60</f>
        <v>194</v>
      </c>
      <c r="O16" s="38">
        <f>116+62</f>
        <v>178</v>
      </c>
      <c r="P16" s="36">
        <f t="shared" si="0"/>
        <v>68106.2</v>
      </c>
      <c r="Q16" s="36">
        <f t="shared" si="0"/>
        <v>17110.8</v>
      </c>
      <c r="R16" s="36">
        <f t="shared" si="0"/>
        <v>14168.8</v>
      </c>
      <c r="S16" s="36">
        <f t="shared" si="1"/>
        <v>875</v>
      </c>
      <c r="T16" s="36">
        <f t="shared" si="2"/>
        <v>99385.8</v>
      </c>
      <c r="U16" s="37">
        <f t="shared" si="4"/>
        <v>113.58377142857144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131.1</v>
      </c>
      <c r="F17" s="20">
        <v>80.099999999999994</v>
      </c>
      <c r="G17" s="20">
        <v>76.400000000000006</v>
      </c>
      <c r="I17" s="20">
        <f t="shared" si="3"/>
        <v>111.95782051282052</v>
      </c>
      <c r="J17" s="45">
        <f>(I17/'AAU 08-09'!I17)-1</f>
        <v>2.1484320333093665E-2</v>
      </c>
      <c r="K17" s="18"/>
      <c r="M17" s="38">
        <f>380+115</f>
        <v>495</v>
      </c>
      <c r="N17" s="38">
        <f>96+82</f>
        <v>178</v>
      </c>
      <c r="O17" s="38">
        <f>68+39</f>
        <v>107</v>
      </c>
      <c r="P17" s="36">
        <f t="shared" si="0"/>
        <v>64894.5</v>
      </c>
      <c r="Q17" s="36">
        <f t="shared" si="0"/>
        <v>14257.8</v>
      </c>
      <c r="R17" s="36">
        <f t="shared" si="0"/>
        <v>8174.8</v>
      </c>
      <c r="S17" s="36">
        <f t="shared" si="1"/>
        <v>780</v>
      </c>
      <c r="T17" s="36">
        <f t="shared" si="2"/>
        <v>87327.1</v>
      </c>
      <c r="U17" s="37">
        <f t="shared" si="4"/>
        <v>111.95782051282052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121.6</v>
      </c>
      <c r="F18" s="20">
        <v>88.7</v>
      </c>
      <c r="G18" s="20">
        <v>75.2</v>
      </c>
      <c r="I18" s="20">
        <f t="shared" si="3"/>
        <v>98.152646239554315</v>
      </c>
      <c r="J18" s="45">
        <f>(I18/'AAU 08-09'!I18)-1</f>
        <v>-3.3924358077355166E-3</v>
      </c>
      <c r="K18" s="18"/>
      <c r="M18" s="38">
        <f>344+91</f>
        <v>435</v>
      </c>
      <c r="N18" s="38">
        <f>219+117</f>
        <v>336</v>
      </c>
      <c r="O18" s="38">
        <f>170+136</f>
        <v>306</v>
      </c>
      <c r="P18" s="36">
        <f t="shared" si="0"/>
        <v>52896</v>
      </c>
      <c r="Q18" s="36">
        <f t="shared" si="0"/>
        <v>29803.200000000001</v>
      </c>
      <c r="R18" s="36">
        <f t="shared" si="0"/>
        <v>23011.200000000001</v>
      </c>
      <c r="S18" s="36">
        <f t="shared" si="1"/>
        <v>1077</v>
      </c>
      <c r="T18" s="36">
        <f t="shared" si="2"/>
        <v>105710.39999999999</v>
      </c>
      <c r="U18" s="37">
        <f t="shared" si="4"/>
        <v>98.152646239554315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117</v>
      </c>
      <c r="F19" s="20">
        <v>75.5</v>
      </c>
      <c r="G19" s="20">
        <v>63.9</v>
      </c>
      <c r="I19" s="20">
        <f t="shared" si="3"/>
        <v>88.364794215795328</v>
      </c>
      <c r="J19" s="45">
        <f>(I19/'AAU 08-09'!I19)-1</f>
        <v>3.883318539210201E-3</v>
      </c>
      <c r="K19" s="18"/>
      <c r="M19" s="38">
        <f>564+139</f>
        <v>703</v>
      </c>
      <c r="N19" s="38">
        <f>363+211</f>
        <v>574</v>
      </c>
      <c r="O19" s="38">
        <f>307+214</f>
        <v>521</v>
      </c>
      <c r="P19" s="36">
        <f t="shared" si="0"/>
        <v>82251</v>
      </c>
      <c r="Q19" s="36">
        <f t="shared" si="0"/>
        <v>43337</v>
      </c>
      <c r="R19" s="36">
        <f t="shared" si="0"/>
        <v>33291.9</v>
      </c>
      <c r="S19" s="36">
        <f t="shared" si="1"/>
        <v>1798</v>
      </c>
      <c r="T19" s="36">
        <f t="shared" si="2"/>
        <v>158879.9</v>
      </c>
      <c r="U19" s="37">
        <f t="shared" si="4"/>
        <v>88.364794215795328</v>
      </c>
    </row>
    <row r="20" spans="1:21" ht="13.5" hidden="1" customHeight="1" x14ac:dyDescent="0.3">
      <c r="A20" s="19"/>
      <c r="B20" s="49"/>
      <c r="C20" s="31">
        <v>10</v>
      </c>
      <c r="D20" s="1" t="s">
        <v>20</v>
      </c>
      <c r="E20" s="20">
        <v>139.4</v>
      </c>
      <c r="F20" s="20">
        <v>95.3</v>
      </c>
      <c r="G20" s="20">
        <v>85.5</v>
      </c>
      <c r="I20" s="20">
        <f t="shared" si="3"/>
        <v>112.41441340782123</v>
      </c>
      <c r="K20" s="18"/>
      <c r="M20" s="38">
        <f>359+43</f>
        <v>402</v>
      </c>
      <c r="N20" s="38">
        <f>194+53</f>
        <v>247</v>
      </c>
      <c r="O20" s="38">
        <f>174+72</f>
        <v>246</v>
      </c>
      <c r="P20" s="36">
        <f t="shared" si="0"/>
        <v>56038.8</v>
      </c>
      <c r="Q20" s="36">
        <f t="shared" si="0"/>
        <v>23539.1</v>
      </c>
      <c r="R20" s="36">
        <f t="shared" si="0"/>
        <v>21033</v>
      </c>
      <c r="S20" s="36">
        <f t="shared" si="1"/>
        <v>895</v>
      </c>
      <c r="T20" s="36">
        <f t="shared" si="2"/>
        <v>100610.9</v>
      </c>
      <c r="U20" s="37">
        <f t="shared" si="4"/>
        <v>112.41441340782123</v>
      </c>
    </row>
    <row r="21" spans="1:21" ht="13.5" customHeight="1" x14ac:dyDescent="0.3">
      <c r="A21" s="19"/>
      <c r="C21" s="31">
        <v>11</v>
      </c>
      <c r="D21" s="1" t="s">
        <v>21</v>
      </c>
      <c r="E21" s="20">
        <v>130</v>
      </c>
      <c r="F21" s="20">
        <v>83.2</v>
      </c>
      <c r="G21" s="20">
        <v>76.8</v>
      </c>
      <c r="I21" s="20">
        <f t="shared" si="3"/>
        <v>102.23372972972973</v>
      </c>
      <c r="J21" s="45">
        <f>(I21/'AAU 08-09'!I20)-1</f>
        <v>6.2756320702241908E-3</v>
      </c>
      <c r="K21" s="18"/>
      <c r="M21" s="38">
        <f>666+153</f>
        <v>819</v>
      </c>
      <c r="N21" s="38">
        <f>350+194</f>
        <v>544</v>
      </c>
      <c r="O21" s="38">
        <f>296+191</f>
        <v>487</v>
      </c>
      <c r="P21" s="36">
        <f t="shared" si="0"/>
        <v>106470</v>
      </c>
      <c r="Q21" s="36">
        <f t="shared" si="0"/>
        <v>45260.800000000003</v>
      </c>
      <c r="R21" s="36">
        <f t="shared" si="0"/>
        <v>37401.599999999999</v>
      </c>
      <c r="S21" s="36">
        <f t="shared" si="1"/>
        <v>1850</v>
      </c>
      <c r="T21" s="36">
        <f t="shared" si="2"/>
        <v>189132.4</v>
      </c>
      <c r="U21" s="37">
        <f t="shared" si="4"/>
        <v>102.23372972972973</v>
      </c>
    </row>
    <row r="22" spans="1:21" ht="13.5" customHeight="1" x14ac:dyDescent="0.3">
      <c r="A22" s="19"/>
      <c r="C22" s="31">
        <v>12</v>
      </c>
      <c r="D22" s="1" t="s">
        <v>22</v>
      </c>
      <c r="E22" s="20">
        <v>120.7</v>
      </c>
      <c r="F22" s="20">
        <v>82</v>
      </c>
      <c r="G22" s="20">
        <v>72.400000000000006</v>
      </c>
      <c r="I22" s="20">
        <f t="shared" si="3"/>
        <v>96.750033624747829</v>
      </c>
      <c r="J22" s="45">
        <f>(I22/'AAU 08-09'!I21)-1</f>
        <v>2.0096070420812184E-2</v>
      </c>
      <c r="K22" s="18"/>
      <c r="M22" s="38">
        <f>501+162</f>
        <v>663</v>
      </c>
      <c r="N22" s="38">
        <f>270+166</f>
        <v>436</v>
      </c>
      <c r="O22" s="38">
        <f>210+178</f>
        <v>388</v>
      </c>
      <c r="P22" s="36">
        <f t="shared" si="0"/>
        <v>80024.100000000006</v>
      </c>
      <c r="Q22" s="36">
        <f t="shared" si="0"/>
        <v>35752</v>
      </c>
      <c r="R22" s="36">
        <f t="shared" si="0"/>
        <v>28091.200000000001</v>
      </c>
      <c r="S22" s="36">
        <f t="shared" si="1"/>
        <v>1487</v>
      </c>
      <c r="T22" s="36">
        <f t="shared" si="2"/>
        <v>143867.30000000002</v>
      </c>
      <c r="U22" s="37">
        <f t="shared" si="4"/>
        <v>96.750033624747829</v>
      </c>
    </row>
    <row r="23" spans="1:21" ht="13.5" customHeight="1" x14ac:dyDescent="0.3">
      <c r="A23" s="19"/>
      <c r="C23" s="31">
        <v>13</v>
      </c>
      <c r="D23" s="1" t="s">
        <v>23</v>
      </c>
      <c r="E23" s="20">
        <v>124.1</v>
      </c>
      <c r="F23" s="20">
        <v>82.5</v>
      </c>
      <c r="G23" s="20">
        <v>71.400000000000006</v>
      </c>
      <c r="I23" s="20">
        <f t="shared" si="3"/>
        <v>97.380866721177441</v>
      </c>
      <c r="J23" s="45">
        <f>(I23/'AAU 08-09'!I22)-1</f>
        <v>8.4721937510856549E-5</v>
      </c>
      <c r="K23" s="18"/>
      <c r="M23" s="38">
        <f>399+122</f>
        <v>521</v>
      </c>
      <c r="N23" s="38">
        <f>212+177</f>
        <v>389</v>
      </c>
      <c r="O23" s="38">
        <f>162+151</f>
        <v>313</v>
      </c>
      <c r="P23" s="36">
        <f t="shared" si="0"/>
        <v>64656.1</v>
      </c>
      <c r="Q23" s="36">
        <f t="shared" si="0"/>
        <v>32092.5</v>
      </c>
      <c r="R23" s="36">
        <f t="shared" si="0"/>
        <v>22348.2</v>
      </c>
      <c r="S23" s="36">
        <f t="shared" si="1"/>
        <v>1223</v>
      </c>
      <c r="T23" s="36">
        <f t="shared" si="2"/>
        <v>119096.8</v>
      </c>
      <c r="U23" s="37">
        <f t="shared" si="4"/>
        <v>97.380866721177441</v>
      </c>
    </row>
    <row r="24" spans="1:21" ht="13.5" customHeight="1" x14ac:dyDescent="0.3">
      <c r="A24" s="19"/>
      <c r="C24" s="31">
        <v>14</v>
      </c>
      <c r="D24" s="1" t="s">
        <v>24</v>
      </c>
      <c r="E24" s="20">
        <v>111.6</v>
      </c>
      <c r="F24" s="20">
        <v>81.8</v>
      </c>
      <c r="G24" s="20">
        <v>71.400000000000006</v>
      </c>
      <c r="I24" s="20">
        <f t="shared" si="3"/>
        <v>91.303403565640195</v>
      </c>
      <c r="J24" s="45">
        <f>(I24/'AAU 08-09'!I23)-1</f>
        <v>-5.3468653885835327E-3</v>
      </c>
      <c r="K24" s="18"/>
      <c r="M24" s="38">
        <f>424+84</f>
        <v>508</v>
      </c>
      <c r="N24" s="38">
        <f>261+137</f>
        <v>398</v>
      </c>
      <c r="O24" s="38">
        <f>204+124</f>
        <v>328</v>
      </c>
      <c r="P24" s="36">
        <f t="shared" si="0"/>
        <v>56692.799999999996</v>
      </c>
      <c r="Q24" s="36">
        <f t="shared" si="0"/>
        <v>32556.399999999998</v>
      </c>
      <c r="R24" s="36">
        <f t="shared" si="0"/>
        <v>23419.200000000001</v>
      </c>
      <c r="S24" s="36">
        <f t="shared" si="1"/>
        <v>1234</v>
      </c>
      <c r="T24" s="36">
        <f t="shared" si="2"/>
        <v>112668.4</v>
      </c>
      <c r="U24" s="37">
        <f t="shared" si="4"/>
        <v>91.303403565640195</v>
      </c>
    </row>
    <row r="25" spans="1:21" ht="13.5" customHeight="1" x14ac:dyDescent="0.3">
      <c r="A25" s="19"/>
      <c r="C25" s="31">
        <v>15</v>
      </c>
      <c r="D25" s="1" t="s">
        <v>25</v>
      </c>
      <c r="E25" s="20">
        <v>116.9</v>
      </c>
      <c r="F25" s="20">
        <v>79.3</v>
      </c>
      <c r="G25" s="20">
        <v>65.900000000000006</v>
      </c>
      <c r="I25" s="20">
        <f t="shared" si="3"/>
        <v>90.970987038883351</v>
      </c>
      <c r="J25" s="45">
        <f>(I25/'AAU 08-09'!I24)-1</f>
        <v>-3.9250324762986066E-3</v>
      </c>
      <c r="K25" s="18"/>
      <c r="M25" s="38">
        <f>313+86</f>
        <v>399</v>
      </c>
      <c r="N25" s="38">
        <f>221+137</f>
        <v>358</v>
      </c>
      <c r="O25" s="38">
        <f>136+110</f>
        <v>246</v>
      </c>
      <c r="P25" s="36">
        <f t="shared" si="0"/>
        <v>46643.100000000006</v>
      </c>
      <c r="Q25" s="36">
        <f t="shared" si="0"/>
        <v>28389.399999999998</v>
      </c>
      <c r="R25" s="36">
        <f t="shared" si="0"/>
        <v>16211.400000000001</v>
      </c>
      <c r="S25" s="36">
        <f t="shared" si="1"/>
        <v>1003</v>
      </c>
      <c r="T25" s="36">
        <f t="shared" si="2"/>
        <v>91243.9</v>
      </c>
      <c r="U25" s="37">
        <f t="shared" si="4"/>
        <v>90.970987038883351</v>
      </c>
    </row>
    <row r="26" spans="1:21" ht="13.5" customHeight="1" x14ac:dyDescent="0.3">
      <c r="A26" s="19"/>
      <c r="C26" s="31">
        <v>16</v>
      </c>
      <c r="D26" s="1" t="s">
        <v>26</v>
      </c>
      <c r="E26" s="20">
        <v>134.69999999999999</v>
      </c>
      <c r="F26" s="20">
        <v>94.4</v>
      </c>
      <c r="G26" s="20">
        <v>82.6</v>
      </c>
      <c r="I26" s="20">
        <f t="shared" si="3"/>
        <v>110.91506154960175</v>
      </c>
      <c r="J26" s="45">
        <f>(I26/'AAU 08-09'!I25)-1</f>
        <v>6.1337402349843639E-3</v>
      </c>
      <c r="K26" s="18"/>
      <c r="M26" s="38">
        <f>523+134</f>
        <v>657</v>
      </c>
      <c r="N26" s="38">
        <f>272+141</f>
        <v>413</v>
      </c>
      <c r="O26" s="38">
        <f>178+133</f>
        <v>311</v>
      </c>
      <c r="P26" s="36">
        <f t="shared" si="0"/>
        <v>88497.9</v>
      </c>
      <c r="Q26" s="36">
        <f t="shared" si="0"/>
        <v>38987.200000000004</v>
      </c>
      <c r="R26" s="36">
        <f t="shared" si="0"/>
        <v>25688.6</v>
      </c>
      <c r="S26" s="36">
        <f t="shared" si="1"/>
        <v>1381</v>
      </c>
      <c r="T26" s="36">
        <f t="shared" si="2"/>
        <v>153173.70000000001</v>
      </c>
      <c r="U26" s="37">
        <f t="shared" si="4"/>
        <v>110.91506154960175</v>
      </c>
    </row>
    <row r="27" spans="1:21" ht="13.5" customHeight="1" x14ac:dyDescent="0.3">
      <c r="A27" s="19"/>
      <c r="C27" s="31">
        <v>17</v>
      </c>
      <c r="D27" s="1" t="s">
        <v>27</v>
      </c>
      <c r="E27" s="20">
        <v>144</v>
      </c>
      <c r="F27" s="20">
        <v>94.3</v>
      </c>
      <c r="G27" s="20">
        <v>83.1</v>
      </c>
      <c r="I27" s="20">
        <f t="shared" si="3"/>
        <v>114.63399708596405</v>
      </c>
      <c r="J27" s="45">
        <f>(I27/'AAU 08-09'!I26)-1</f>
        <v>1.5925383329713272E-2</v>
      </c>
      <c r="K27" s="18"/>
      <c r="M27" s="38">
        <f>739+226</f>
        <v>965</v>
      </c>
      <c r="N27" s="38">
        <f>327+223</f>
        <v>550</v>
      </c>
      <c r="O27" s="38">
        <f>308+236</f>
        <v>544</v>
      </c>
      <c r="P27" s="36">
        <f t="shared" si="0"/>
        <v>138960</v>
      </c>
      <c r="Q27" s="36">
        <f t="shared" si="0"/>
        <v>51865</v>
      </c>
      <c r="R27" s="36">
        <f t="shared" si="0"/>
        <v>45206.399999999994</v>
      </c>
      <c r="S27" s="36">
        <f t="shared" si="1"/>
        <v>2059</v>
      </c>
      <c r="T27" s="36">
        <f t="shared" si="2"/>
        <v>236031.4</v>
      </c>
      <c r="U27" s="37">
        <f t="shared" si="4"/>
        <v>114.63399708596405</v>
      </c>
    </row>
    <row r="28" spans="1:21" ht="13.5" customHeight="1" x14ac:dyDescent="0.3">
      <c r="A28" s="19"/>
      <c r="C28" s="31">
        <v>18</v>
      </c>
      <c r="D28" s="1" t="s">
        <v>28</v>
      </c>
      <c r="E28" s="20">
        <v>125</v>
      </c>
      <c r="F28" s="20">
        <v>87.3</v>
      </c>
      <c r="G28" s="20">
        <v>68.599999999999994</v>
      </c>
      <c r="I28" s="20">
        <f t="shared" si="3"/>
        <v>97.44108956602031</v>
      </c>
      <c r="J28" s="45">
        <f>(I28/'AAU 08-09'!I27)-1</f>
        <v>2.2745070083403984E-2</v>
      </c>
      <c r="K28" s="18"/>
      <c r="M28" s="38">
        <f>713+199</f>
        <v>912</v>
      </c>
      <c r="N28" s="38">
        <f>353+237</f>
        <v>590</v>
      </c>
      <c r="O28" s="38">
        <f>366+298</f>
        <v>664</v>
      </c>
      <c r="P28" s="36">
        <f t="shared" si="0"/>
        <v>114000</v>
      </c>
      <c r="Q28" s="36">
        <f t="shared" si="0"/>
        <v>51507</v>
      </c>
      <c r="R28" s="36">
        <f t="shared" si="0"/>
        <v>45550.399999999994</v>
      </c>
      <c r="S28" s="36">
        <f t="shared" si="1"/>
        <v>2166</v>
      </c>
      <c r="T28" s="36">
        <f t="shared" si="2"/>
        <v>211057.4</v>
      </c>
      <c r="U28" s="37">
        <f t="shared" si="4"/>
        <v>97.44108956602031</v>
      </c>
    </row>
    <row r="29" spans="1:21" ht="13.5" customHeight="1" x14ac:dyDescent="0.3">
      <c r="A29" s="19"/>
      <c r="C29" s="31">
        <v>19</v>
      </c>
      <c r="D29" s="1" t="s">
        <v>29</v>
      </c>
      <c r="E29" s="20">
        <v>124.8</v>
      </c>
      <c r="F29" s="20">
        <v>85.4</v>
      </c>
      <c r="G29" s="20">
        <v>76.5</v>
      </c>
      <c r="I29" s="20">
        <f t="shared" si="3"/>
        <v>100.12792041078305</v>
      </c>
      <c r="J29" s="45">
        <f>(I29/'AAU 08-09'!I28)-1</f>
        <v>-8.668028006987627E-3</v>
      </c>
      <c r="K29" s="18"/>
      <c r="M29" s="38">
        <f>509+159</f>
        <v>668</v>
      </c>
      <c r="N29" s="38">
        <f>290+221</f>
        <v>511</v>
      </c>
      <c r="O29" s="38">
        <f>198+181</f>
        <v>379</v>
      </c>
      <c r="P29" s="36">
        <f t="shared" si="0"/>
        <v>83366.399999999994</v>
      </c>
      <c r="Q29" s="36">
        <f t="shared" si="0"/>
        <v>43639.4</v>
      </c>
      <c r="R29" s="36">
        <f t="shared" si="0"/>
        <v>28993.5</v>
      </c>
      <c r="S29" s="36">
        <f t="shared" si="1"/>
        <v>1558</v>
      </c>
      <c r="T29" s="36">
        <f t="shared" si="2"/>
        <v>155999.29999999999</v>
      </c>
      <c r="U29" s="37">
        <f t="shared" si="4"/>
        <v>100.12792041078305</v>
      </c>
    </row>
    <row r="30" spans="1:21" ht="13.5" customHeight="1" x14ac:dyDescent="0.3">
      <c r="A30" s="19"/>
      <c r="C30" s="31">
        <v>20</v>
      </c>
      <c r="D30" s="24" t="s">
        <v>30</v>
      </c>
      <c r="E30" s="25">
        <v>111</v>
      </c>
      <c r="F30" s="25">
        <v>74.099999999999994</v>
      </c>
      <c r="G30" s="25">
        <v>60.7</v>
      </c>
      <c r="H30" s="24"/>
      <c r="I30" s="25">
        <f t="shared" si="3"/>
        <v>81.630963517305887</v>
      </c>
      <c r="J30" s="47">
        <f>(I30/'AAU 08-09'!I29)-1</f>
        <v>3.3023593283831865E-4</v>
      </c>
      <c r="K30" s="18"/>
      <c r="M30" s="38">
        <v>346</v>
      </c>
      <c r="N30" s="38">
        <v>371</v>
      </c>
      <c r="O30" s="38">
        <v>352</v>
      </c>
      <c r="P30" s="36">
        <f t="shared" si="0"/>
        <v>38406</v>
      </c>
      <c r="Q30" s="36">
        <f t="shared" si="0"/>
        <v>27491.1</v>
      </c>
      <c r="R30" s="36">
        <f t="shared" si="0"/>
        <v>21366.400000000001</v>
      </c>
      <c r="S30" s="36">
        <f t="shared" si="1"/>
        <v>1069</v>
      </c>
      <c r="T30" s="36">
        <f t="shared" si="2"/>
        <v>87263.5</v>
      </c>
      <c r="U30" s="37">
        <f t="shared" si="4"/>
        <v>81.630963517305887</v>
      </c>
    </row>
    <row r="31" spans="1:21" ht="13.5" customHeight="1" x14ac:dyDescent="0.3">
      <c r="A31" s="19"/>
      <c r="C31" s="31">
        <v>21</v>
      </c>
      <c r="D31" s="1" t="s">
        <v>64</v>
      </c>
      <c r="E31" s="20">
        <v>112</v>
      </c>
      <c r="F31" s="20">
        <v>77.2</v>
      </c>
      <c r="G31" s="20">
        <v>68.900000000000006</v>
      </c>
      <c r="I31" s="20">
        <f>U31</f>
        <v>91.88146341463414</v>
      </c>
      <c r="J31" s="45">
        <f>(I31/'AAU 08-09'!I30)-1</f>
        <v>2.0738103194809065E-2</v>
      </c>
      <c r="K31" s="18"/>
      <c r="M31" s="38">
        <f>409+79</f>
        <v>488</v>
      </c>
      <c r="N31" s="38">
        <f>195+109</f>
        <v>304</v>
      </c>
      <c r="O31" s="38">
        <f>150+83</f>
        <v>233</v>
      </c>
      <c r="P31" s="36">
        <f t="shared" si="0"/>
        <v>54656</v>
      </c>
      <c r="Q31" s="36">
        <f t="shared" si="0"/>
        <v>23468.799999999999</v>
      </c>
      <c r="R31" s="36">
        <f t="shared" si="0"/>
        <v>16053.7</v>
      </c>
      <c r="S31" s="36">
        <f t="shared" si="1"/>
        <v>1025</v>
      </c>
      <c r="T31" s="36">
        <f t="shared" si="2"/>
        <v>94178.5</v>
      </c>
      <c r="U31" s="37">
        <f>T31/S31</f>
        <v>91.88146341463414</v>
      </c>
    </row>
    <row r="32" spans="1:21" ht="13.5" customHeight="1" x14ac:dyDescent="0.3">
      <c r="A32" s="19"/>
      <c r="C32" s="31">
        <v>22</v>
      </c>
      <c r="D32" s="1" t="s">
        <v>45</v>
      </c>
      <c r="E32" s="20">
        <v>143</v>
      </c>
      <c r="F32" s="20">
        <v>92.6</v>
      </c>
      <c r="G32" s="20">
        <v>80.8</v>
      </c>
      <c r="I32" s="20">
        <f t="shared" si="3"/>
        <v>113.24517611026035</v>
      </c>
      <c r="J32" s="45">
        <f>(I32/'AAU 08-09'!I31)-1</f>
        <v>-3.0595876676019484E-3</v>
      </c>
      <c r="K32" s="18"/>
      <c r="M32" s="38">
        <f>454+158</f>
        <v>612</v>
      </c>
      <c r="N32" s="38">
        <f>215+150</f>
        <v>365</v>
      </c>
      <c r="O32" s="38">
        <f>176+153</f>
        <v>329</v>
      </c>
      <c r="P32" s="36">
        <f t="shared" si="0"/>
        <v>87516</v>
      </c>
      <c r="Q32" s="36">
        <f t="shared" si="0"/>
        <v>33799</v>
      </c>
      <c r="R32" s="36">
        <f t="shared" si="0"/>
        <v>26583.200000000001</v>
      </c>
      <c r="S32" s="36">
        <f t="shared" si="1"/>
        <v>1306</v>
      </c>
      <c r="T32" s="36">
        <f t="shared" si="2"/>
        <v>147898.20000000001</v>
      </c>
      <c r="U32" s="37">
        <f t="shared" si="4"/>
        <v>113.24517611026035</v>
      </c>
    </row>
    <row r="33" spans="1:21" ht="13.5" customHeight="1" x14ac:dyDescent="0.3">
      <c r="A33" s="19"/>
      <c r="C33" s="31">
        <v>23</v>
      </c>
      <c r="D33" s="1" t="s">
        <v>31</v>
      </c>
      <c r="E33" s="20">
        <v>129.5</v>
      </c>
      <c r="F33" s="20">
        <v>85.8</v>
      </c>
      <c r="G33" s="20">
        <v>78</v>
      </c>
      <c r="I33" s="20">
        <f t="shared" si="3"/>
        <v>103.50547085201794</v>
      </c>
      <c r="J33" s="45">
        <f>(I33/'AAU 08-09'!I32)-1</f>
        <v>2.8525964850821595E-2</v>
      </c>
      <c r="K33" s="18"/>
      <c r="M33" s="38">
        <f>771+223</f>
        <v>994</v>
      </c>
      <c r="N33" s="38">
        <f>444+285</f>
        <v>729</v>
      </c>
      <c r="O33" s="38">
        <f>275+232</f>
        <v>507</v>
      </c>
      <c r="P33" s="36">
        <f t="shared" si="0"/>
        <v>128723</v>
      </c>
      <c r="Q33" s="36">
        <f t="shared" si="0"/>
        <v>62548.2</v>
      </c>
      <c r="R33" s="36">
        <f t="shared" si="0"/>
        <v>39546</v>
      </c>
      <c r="S33" s="36">
        <f t="shared" si="1"/>
        <v>2230</v>
      </c>
      <c r="T33" s="36">
        <f t="shared" si="2"/>
        <v>230817.2</v>
      </c>
      <c r="U33" s="37">
        <f t="shared" si="4"/>
        <v>103.50547085201794</v>
      </c>
    </row>
    <row r="34" spans="1:21" ht="13.5" customHeight="1" x14ac:dyDescent="0.3">
      <c r="A34" s="19"/>
      <c r="C34" s="31">
        <v>24</v>
      </c>
      <c r="D34" s="1" t="s">
        <v>32</v>
      </c>
      <c r="E34" s="20">
        <v>103</v>
      </c>
      <c r="F34" s="20">
        <v>74.599999999999994</v>
      </c>
      <c r="G34" s="20">
        <v>69.400000000000006</v>
      </c>
      <c r="I34" s="20">
        <f t="shared" si="3"/>
        <v>83.760517799352755</v>
      </c>
      <c r="J34" s="45">
        <f>(I34/'AAU 08-09'!I33)-1</f>
        <v>4.4512115201875035E-2</v>
      </c>
      <c r="K34" s="18"/>
      <c r="M34" s="38">
        <f>163+66</f>
        <v>229</v>
      </c>
      <c r="N34" s="38">
        <f>141+86</f>
        <v>227</v>
      </c>
      <c r="O34" s="38">
        <f>92+70</f>
        <v>162</v>
      </c>
      <c r="P34" s="36">
        <f t="shared" si="0"/>
        <v>23587</v>
      </c>
      <c r="Q34" s="36">
        <f t="shared" si="0"/>
        <v>16934.199999999997</v>
      </c>
      <c r="R34" s="36">
        <f t="shared" si="0"/>
        <v>11242.800000000001</v>
      </c>
      <c r="S34" s="36">
        <f t="shared" si="1"/>
        <v>618</v>
      </c>
      <c r="T34" s="36">
        <f t="shared" si="2"/>
        <v>51764</v>
      </c>
      <c r="U34" s="37">
        <f t="shared" si="4"/>
        <v>83.760517799352755</v>
      </c>
    </row>
    <row r="35" spans="1:21" ht="13.5" customHeight="1" x14ac:dyDescent="0.3">
      <c r="A35" s="19"/>
      <c r="C35" s="31">
        <v>25</v>
      </c>
      <c r="D35" s="1" t="s">
        <v>33</v>
      </c>
      <c r="E35" s="20">
        <v>130.4</v>
      </c>
      <c r="F35" s="20">
        <v>86.7</v>
      </c>
      <c r="G35" s="20">
        <v>72</v>
      </c>
      <c r="I35" s="20">
        <f t="shared" si="3"/>
        <v>103.22915690866512</v>
      </c>
      <c r="J35" s="45">
        <f>(I35/'AAU 08-09'!I34)-1</f>
        <v>-3.4777787900081014E-3</v>
      </c>
      <c r="K35" s="18"/>
      <c r="M35" s="38">
        <f>632+157</f>
        <v>789</v>
      </c>
      <c r="N35" s="38">
        <f>311+183</f>
        <v>494</v>
      </c>
      <c r="O35" s="38">
        <f>231+194</f>
        <v>425</v>
      </c>
      <c r="P35" s="36">
        <f t="shared" si="0"/>
        <v>102885.6</v>
      </c>
      <c r="Q35" s="36">
        <f t="shared" si="0"/>
        <v>42829.8</v>
      </c>
      <c r="R35" s="36">
        <f t="shared" si="0"/>
        <v>30600</v>
      </c>
      <c r="S35" s="36">
        <f t="shared" si="1"/>
        <v>1708</v>
      </c>
      <c r="T35" s="36">
        <f t="shared" si="2"/>
        <v>176315.40000000002</v>
      </c>
      <c r="U35" s="37">
        <f t="shared" si="4"/>
        <v>103.22915690866512</v>
      </c>
    </row>
    <row r="36" spans="1:21" ht="13.5" customHeight="1" x14ac:dyDescent="0.3">
      <c r="A36" s="19"/>
      <c r="C36" s="31">
        <v>26</v>
      </c>
      <c r="D36" s="1" t="s">
        <v>34</v>
      </c>
      <c r="E36" s="20">
        <v>128.30000000000001</v>
      </c>
      <c r="F36" s="20">
        <v>84.6</v>
      </c>
      <c r="G36" s="20">
        <v>70.099999999999994</v>
      </c>
      <c r="I36" s="20">
        <f t="shared" si="3"/>
        <v>95.000991501416422</v>
      </c>
      <c r="J36" s="45">
        <f>(I36/'AAU 08-09'!I35)-1</f>
        <v>2.5227438620010201E-3</v>
      </c>
      <c r="K36" s="18"/>
      <c r="M36" s="38">
        <f>379+117</f>
        <v>496</v>
      </c>
      <c r="N36" s="38">
        <f>290+144</f>
        <v>434</v>
      </c>
      <c r="O36" s="38">
        <f>226+256</f>
        <v>482</v>
      </c>
      <c r="P36" s="36">
        <f t="shared" si="0"/>
        <v>63636.800000000003</v>
      </c>
      <c r="Q36" s="36">
        <f t="shared" si="0"/>
        <v>36716.399999999994</v>
      </c>
      <c r="R36" s="36">
        <f t="shared" si="0"/>
        <v>33788.199999999997</v>
      </c>
      <c r="S36" s="36">
        <f t="shared" si="1"/>
        <v>1412</v>
      </c>
      <c r="T36" s="36">
        <f t="shared" si="2"/>
        <v>134141.4</v>
      </c>
      <c r="U36" s="37">
        <f t="shared" si="4"/>
        <v>95.000991501416422</v>
      </c>
    </row>
    <row r="37" spans="1:21" ht="13.5" customHeight="1" x14ac:dyDescent="0.3">
      <c r="A37" s="19"/>
      <c r="C37" s="31">
        <v>27</v>
      </c>
      <c r="D37" s="1" t="s">
        <v>35</v>
      </c>
      <c r="E37" s="20">
        <v>115.8</v>
      </c>
      <c r="F37" s="20">
        <v>80.2</v>
      </c>
      <c r="G37" s="20">
        <v>72.7</v>
      </c>
      <c r="I37" s="20">
        <f t="shared" si="3"/>
        <v>93.227511835875859</v>
      </c>
      <c r="J37" s="45">
        <f>(I37/'AAU 08-09'!I36)-1</f>
        <v>4.7902469882308285E-3</v>
      </c>
      <c r="K37" s="18"/>
      <c r="M37" s="38">
        <f>692+121</f>
        <v>813</v>
      </c>
      <c r="N37" s="38">
        <f>364+167</f>
        <v>531</v>
      </c>
      <c r="O37" s="38">
        <f>325+232</f>
        <v>557</v>
      </c>
      <c r="P37" s="36">
        <f t="shared" si="0"/>
        <v>94145.4</v>
      </c>
      <c r="Q37" s="36">
        <f t="shared" si="0"/>
        <v>42586.200000000004</v>
      </c>
      <c r="R37" s="36">
        <f t="shared" si="0"/>
        <v>40493.9</v>
      </c>
      <c r="S37" s="36">
        <f t="shared" si="1"/>
        <v>1901</v>
      </c>
      <c r="T37" s="36">
        <f t="shared" si="2"/>
        <v>177225.5</v>
      </c>
      <c r="U37" s="37">
        <f t="shared" si="4"/>
        <v>93.227511835875859</v>
      </c>
    </row>
    <row r="38" spans="1:21" ht="13.5" customHeight="1" x14ac:dyDescent="0.3">
      <c r="A38" s="19"/>
      <c r="C38" s="31">
        <v>28</v>
      </c>
      <c r="D38" s="1" t="s">
        <v>36</v>
      </c>
      <c r="E38" s="20">
        <v>140.1</v>
      </c>
      <c r="F38" s="20">
        <v>94.9</v>
      </c>
      <c r="G38" s="20">
        <v>76.900000000000006</v>
      </c>
      <c r="I38" s="20">
        <f t="shared" si="3"/>
        <v>114.54314544189283</v>
      </c>
      <c r="J38" s="45">
        <f>(I38/'AAU 08-09'!I37)-1</f>
        <v>1.4311417481141175E-2</v>
      </c>
      <c r="K38" s="18"/>
      <c r="M38" s="38">
        <f>579+157</f>
        <v>736</v>
      </c>
      <c r="N38" s="38">
        <f>245+176</f>
        <v>421</v>
      </c>
      <c r="O38" s="38">
        <f>135+145</f>
        <v>280</v>
      </c>
      <c r="P38" s="36">
        <f t="shared" si="0"/>
        <v>103113.59999999999</v>
      </c>
      <c r="Q38" s="36">
        <f t="shared" si="0"/>
        <v>39952.9</v>
      </c>
      <c r="R38" s="36">
        <f t="shared" si="0"/>
        <v>21532</v>
      </c>
      <c r="S38" s="36">
        <f t="shared" si="1"/>
        <v>1437</v>
      </c>
      <c r="T38" s="36">
        <f t="shared" si="2"/>
        <v>164598.5</v>
      </c>
      <c r="U38" s="37">
        <f t="shared" si="4"/>
        <v>114.54314544189283</v>
      </c>
    </row>
    <row r="39" spans="1:21" ht="13.5" customHeight="1" x14ac:dyDescent="0.3">
      <c r="A39" s="19"/>
      <c r="C39" s="31">
        <v>29</v>
      </c>
      <c r="D39" s="1" t="s">
        <v>46</v>
      </c>
      <c r="E39" s="20">
        <v>129.1</v>
      </c>
      <c r="F39" s="20">
        <v>89.6</v>
      </c>
      <c r="G39" s="20">
        <v>74.400000000000006</v>
      </c>
      <c r="I39" s="20">
        <f t="shared" si="3"/>
        <v>99.276900296150046</v>
      </c>
      <c r="J39" s="45">
        <f>(I39/'AAU 08-09'!I38)-1</f>
        <v>2.9085636868072084E-2</v>
      </c>
      <c r="K39" s="18"/>
      <c r="M39" s="38">
        <f>299+70</f>
        <v>369</v>
      </c>
      <c r="N39" s="38">
        <f>205+125</f>
        <v>330</v>
      </c>
      <c r="O39" s="38">
        <f>165+149</f>
        <v>314</v>
      </c>
      <c r="P39" s="36">
        <f t="shared" si="0"/>
        <v>47637.9</v>
      </c>
      <c r="Q39" s="36">
        <f t="shared" si="0"/>
        <v>29567.999999999996</v>
      </c>
      <c r="R39" s="36">
        <f t="shared" si="0"/>
        <v>23361.600000000002</v>
      </c>
      <c r="S39" s="36">
        <f t="shared" si="1"/>
        <v>1013</v>
      </c>
      <c r="T39" s="36">
        <f t="shared" si="2"/>
        <v>100567.5</v>
      </c>
      <c r="U39" s="37">
        <f t="shared" si="4"/>
        <v>99.276900296150046</v>
      </c>
    </row>
    <row r="40" spans="1:21" ht="13.5" customHeight="1" x14ac:dyDescent="0.3">
      <c r="A40" s="19"/>
      <c r="C40" s="31">
        <v>30</v>
      </c>
      <c r="D40" s="1" t="s">
        <v>47</v>
      </c>
      <c r="E40" s="20">
        <v>131.9</v>
      </c>
      <c r="F40" s="20">
        <v>95.3</v>
      </c>
      <c r="G40" s="20">
        <v>74.900000000000006</v>
      </c>
      <c r="I40" s="20">
        <f t="shared" si="3"/>
        <v>105.92890322580645</v>
      </c>
      <c r="J40" s="45">
        <f>(I40/'AAU 08-09'!I39)-1</f>
        <v>4.2481618887243222E-2</v>
      </c>
      <c r="K40" s="18"/>
      <c r="M40" s="38">
        <f>274+67</f>
        <v>341</v>
      </c>
      <c r="N40" s="38">
        <f>143+83</f>
        <v>226</v>
      </c>
      <c r="O40" s="38">
        <f>125+83</f>
        <v>208</v>
      </c>
      <c r="P40" s="36">
        <f t="shared" si="0"/>
        <v>44977.9</v>
      </c>
      <c r="Q40" s="36">
        <f t="shared" si="0"/>
        <v>21537.8</v>
      </c>
      <c r="R40" s="36">
        <f t="shared" si="0"/>
        <v>15579.2</v>
      </c>
      <c r="S40" s="36">
        <f t="shared" si="1"/>
        <v>775</v>
      </c>
      <c r="T40" s="36">
        <f t="shared" si="2"/>
        <v>82094.899999999994</v>
      </c>
      <c r="U40" s="37">
        <f t="shared" si="4"/>
        <v>105.92890322580645</v>
      </c>
    </row>
    <row r="41" spans="1:21" ht="13.5" customHeight="1" x14ac:dyDescent="0.3">
      <c r="A41" s="19"/>
      <c r="C41" s="31">
        <v>31</v>
      </c>
      <c r="D41" s="1" t="s">
        <v>48</v>
      </c>
      <c r="E41" s="20">
        <v>133.30000000000001</v>
      </c>
      <c r="F41" s="20">
        <v>85.3</v>
      </c>
      <c r="G41" s="20">
        <v>82.2</v>
      </c>
      <c r="I41" s="20">
        <f t="shared" si="3"/>
        <v>108.23333333333333</v>
      </c>
      <c r="J41" s="45">
        <f>(I41/'AAU 08-09'!I40)-1</f>
        <v>-3.5957958187271544E-4</v>
      </c>
      <c r="K41" s="18"/>
      <c r="M41" s="38">
        <f>786+191</f>
        <v>977</v>
      </c>
      <c r="N41" s="38">
        <f>324+199</f>
        <v>523</v>
      </c>
      <c r="O41" s="38">
        <f>281+199</f>
        <v>480</v>
      </c>
      <c r="P41" s="36">
        <f t="shared" si="0"/>
        <v>130234.1</v>
      </c>
      <c r="Q41" s="36">
        <f t="shared" si="0"/>
        <v>44611.9</v>
      </c>
      <c r="R41" s="36">
        <f t="shared" si="0"/>
        <v>39456</v>
      </c>
      <c r="S41" s="36">
        <f t="shared" si="1"/>
        <v>1980</v>
      </c>
      <c r="T41" s="36">
        <f t="shared" si="2"/>
        <v>214302</v>
      </c>
      <c r="U41" s="37">
        <f t="shared" si="4"/>
        <v>108.23333333333333</v>
      </c>
    </row>
    <row r="42" spans="1:21" ht="13.5" customHeight="1" x14ac:dyDescent="0.3">
      <c r="A42" s="19"/>
      <c r="C42" s="31">
        <v>32</v>
      </c>
      <c r="D42" s="1" t="s">
        <v>37</v>
      </c>
      <c r="E42" s="20">
        <v>120.3</v>
      </c>
      <c r="F42" s="20">
        <v>82.5</v>
      </c>
      <c r="G42" s="20">
        <v>73.599999999999994</v>
      </c>
      <c r="I42" s="20">
        <f t="shared" si="3"/>
        <v>97.169761129207373</v>
      </c>
      <c r="J42" s="45">
        <f>(I42/'AAU 08-09'!I41)-1</f>
        <v>2.3231094223423288E-2</v>
      </c>
      <c r="K42" s="18"/>
      <c r="M42" s="38">
        <f>738+100</f>
        <v>838</v>
      </c>
      <c r="N42" s="38">
        <f>351+130</f>
        <v>481</v>
      </c>
      <c r="O42" s="38">
        <f>324+199</f>
        <v>523</v>
      </c>
      <c r="P42" s="36">
        <f t="shared" si="0"/>
        <v>100811.4</v>
      </c>
      <c r="Q42" s="36">
        <f t="shared" si="0"/>
        <v>39682.5</v>
      </c>
      <c r="R42" s="36">
        <f t="shared" si="0"/>
        <v>38492.799999999996</v>
      </c>
      <c r="S42" s="36">
        <f t="shared" si="1"/>
        <v>1842</v>
      </c>
      <c r="T42" s="36">
        <f t="shared" si="2"/>
        <v>178986.69999999998</v>
      </c>
      <c r="U42" s="37">
        <f t="shared" si="4"/>
        <v>97.169761129207373</v>
      </c>
    </row>
    <row r="43" spans="1:21" ht="13.5" customHeight="1" x14ac:dyDescent="0.3">
      <c r="A43" s="19"/>
      <c r="C43" s="31">
        <v>33</v>
      </c>
      <c r="D43" s="1" t="s">
        <v>38</v>
      </c>
      <c r="E43" s="20">
        <v>134.69999999999999</v>
      </c>
      <c r="F43" s="20">
        <v>92.7</v>
      </c>
      <c r="G43" s="20">
        <v>75.2</v>
      </c>
      <c r="I43" s="20">
        <f t="shared" si="3"/>
        <v>108.34469026548672</v>
      </c>
      <c r="J43" s="45">
        <f>(I43/'AAU 08-09'!I42)-1</f>
        <v>1.2346960137193275E-2</v>
      </c>
      <c r="K43" s="18"/>
      <c r="M43" s="38">
        <f>433+100</f>
        <v>533</v>
      </c>
      <c r="N43" s="38">
        <f>213+115</f>
        <v>328</v>
      </c>
      <c r="O43" s="38">
        <f>132+137</f>
        <v>269</v>
      </c>
      <c r="P43" s="36">
        <f t="shared" si="0"/>
        <v>71795.099999999991</v>
      </c>
      <c r="Q43" s="36">
        <f t="shared" si="0"/>
        <v>30405.600000000002</v>
      </c>
      <c r="R43" s="36">
        <f t="shared" si="0"/>
        <v>20228.8</v>
      </c>
      <c r="S43" s="36">
        <f t="shared" si="1"/>
        <v>1130</v>
      </c>
      <c r="T43" s="36">
        <f t="shared" si="2"/>
        <v>122429.5</v>
      </c>
      <c r="U43" s="37">
        <f t="shared" si="4"/>
        <v>108.34469026548672</v>
      </c>
    </row>
    <row r="44" spans="1:21" ht="13.5" customHeight="1" x14ac:dyDescent="0.3">
      <c r="A44" s="19"/>
      <c r="C44" s="31">
        <v>34</v>
      </c>
      <c r="D44" s="1" t="s">
        <v>39</v>
      </c>
      <c r="E44" s="20">
        <v>121.9</v>
      </c>
      <c r="F44" s="20">
        <v>88.1</v>
      </c>
      <c r="G44" s="20">
        <v>77.2</v>
      </c>
      <c r="I44" s="20">
        <f t="shared" si="3"/>
        <v>102.87603017991874</v>
      </c>
      <c r="J44" s="45">
        <f>(I44/'AAU 08-09'!I43)-1</f>
        <v>-1.50156435853388E-3</v>
      </c>
      <c r="K44" s="18"/>
      <c r="M44" s="38">
        <f>650+219</f>
        <v>869</v>
      </c>
      <c r="N44" s="38">
        <f>275+220</f>
        <v>495</v>
      </c>
      <c r="O44" s="38">
        <f>192+167</f>
        <v>359</v>
      </c>
      <c r="P44" s="36">
        <f t="shared" si="0"/>
        <v>105931.1</v>
      </c>
      <c r="Q44" s="36">
        <f t="shared" si="0"/>
        <v>43609.5</v>
      </c>
      <c r="R44" s="36">
        <f t="shared" si="0"/>
        <v>27714.799999999999</v>
      </c>
      <c r="S44" s="36">
        <f t="shared" si="1"/>
        <v>1723</v>
      </c>
      <c r="T44" s="36">
        <f t="shared" si="2"/>
        <v>177255.4</v>
      </c>
      <c r="U44" s="37">
        <f t="shared" si="4"/>
        <v>102.87603017991874</v>
      </c>
    </row>
    <row r="45" spans="1:21" ht="13.5" customHeight="1" x14ac:dyDescent="0.3">
      <c r="A45" s="19"/>
      <c r="C45" s="31">
        <v>35</v>
      </c>
      <c r="D45" s="1" t="s">
        <v>40</v>
      </c>
      <c r="E45" s="20">
        <v>111.1</v>
      </c>
      <c r="F45" s="20">
        <v>85.8</v>
      </c>
      <c r="G45" s="20">
        <v>73.599999999999994</v>
      </c>
      <c r="I45" s="20">
        <f t="shared" si="3"/>
        <v>96.888208955223874</v>
      </c>
      <c r="J45" s="45">
        <f>(I45/'AAU 08-09'!I44)-1</f>
        <v>1.1917075313407466E-2</v>
      </c>
      <c r="K45" s="18"/>
      <c r="M45" s="38">
        <f>542+202</f>
        <v>744</v>
      </c>
      <c r="N45" s="38">
        <f>169+102</f>
        <v>271</v>
      </c>
      <c r="O45" s="38">
        <f>168+157</f>
        <v>325</v>
      </c>
      <c r="P45" s="36">
        <f t="shared" si="0"/>
        <v>82658.399999999994</v>
      </c>
      <c r="Q45" s="36">
        <f t="shared" si="0"/>
        <v>23251.8</v>
      </c>
      <c r="R45" s="36">
        <f t="shared" si="0"/>
        <v>23919.999999999996</v>
      </c>
      <c r="S45" s="36">
        <f t="shared" si="1"/>
        <v>1340</v>
      </c>
      <c r="T45" s="36">
        <f t="shared" si="2"/>
        <v>129830.2</v>
      </c>
      <c r="U45" s="37">
        <f t="shared" si="4"/>
        <v>96.888208955223874</v>
      </c>
    </row>
    <row r="46" spans="1:21" ht="13.5" customHeight="1" x14ac:dyDescent="0.3">
      <c r="A46" s="19"/>
      <c r="K46" s="18"/>
    </row>
    <row r="47" spans="1:21" ht="13.5" customHeight="1" x14ac:dyDescent="0.3">
      <c r="A47" s="19"/>
      <c r="D47" s="44" t="s">
        <v>54</v>
      </c>
      <c r="E47" s="41">
        <f>P47/M47</f>
        <v>128.20966895526306</v>
      </c>
      <c r="F47" s="41">
        <f t="shared" ref="F47" si="5">Q47/N47</f>
        <v>85.796292534281363</v>
      </c>
      <c r="G47" s="41">
        <f>R47/O47</f>
        <v>74.541074467223083</v>
      </c>
      <c r="H47" s="40"/>
      <c r="I47" s="41">
        <f t="shared" si="3"/>
        <v>102.75789838950011</v>
      </c>
      <c r="J47" s="46">
        <f>(I47/'AAU 08-09'!I46)-1</f>
        <v>1.3779691907650049E-2</v>
      </c>
      <c r="K47" s="18"/>
      <c r="M47" s="39">
        <f>SUM(M11:M45)</f>
        <v>22867</v>
      </c>
      <c r="N47" s="39">
        <f t="shared" ref="N47:R47" si="6">SUM(N11:N45)</f>
        <v>13783</v>
      </c>
      <c r="O47" s="39">
        <f t="shared" si="6"/>
        <v>12341</v>
      </c>
      <c r="P47" s="39">
        <f>SUM(P11:P45)</f>
        <v>2931770.5</v>
      </c>
      <c r="Q47" s="39">
        <f t="shared" si="6"/>
        <v>1182530.3</v>
      </c>
      <c r="R47" s="39">
        <f t="shared" si="6"/>
        <v>919911.4</v>
      </c>
      <c r="S47" s="36">
        <f>M47+N47+O47</f>
        <v>48991</v>
      </c>
      <c r="T47" s="36">
        <f>P47+Q47+R47</f>
        <v>5034212.2</v>
      </c>
      <c r="U47" s="37">
        <f>T47/S47</f>
        <v>102.75789838950011</v>
      </c>
    </row>
    <row r="48" spans="1:21" ht="13.5" customHeight="1" x14ac:dyDescent="0.3">
      <c r="A48" s="19"/>
      <c r="D48" s="44" t="s">
        <v>55</v>
      </c>
      <c r="E48" s="41">
        <f>MEDIAN(E11:E45)</f>
        <v>128.30000000000001</v>
      </c>
      <c r="F48" s="41">
        <f t="shared" ref="F48:G48" si="7">MEDIAN(F11:F45)</f>
        <v>85.7</v>
      </c>
      <c r="G48" s="41">
        <f t="shared" si="7"/>
        <v>75.2</v>
      </c>
      <c r="H48" s="40"/>
      <c r="I48" s="41">
        <f>MEDIAN(I11:I45)</f>
        <v>102.23372972972973</v>
      </c>
      <c r="J48" s="46">
        <f>(I48/'AAU 08-09'!I47)-1</f>
        <v>1.4031427140476005E-2</v>
      </c>
      <c r="K48" s="18"/>
    </row>
    <row r="49" spans="1:11" ht="13.5" customHeight="1" x14ac:dyDescent="0.3">
      <c r="A49" s="19"/>
      <c r="B49" s="22"/>
      <c r="C49" s="33"/>
      <c r="D49" s="22"/>
      <c r="E49" s="22"/>
      <c r="F49" s="22"/>
      <c r="G49" s="22"/>
      <c r="H49" s="22"/>
      <c r="I49" s="22"/>
      <c r="J49" s="22"/>
      <c r="K49" s="18"/>
    </row>
    <row r="50" spans="1:11" ht="13.5" customHeight="1" x14ac:dyDescent="0.3">
      <c r="A50" s="19"/>
      <c r="K50" s="18"/>
    </row>
    <row r="51" spans="1:11" ht="13.5" customHeight="1" x14ac:dyDescent="0.3">
      <c r="A51" s="19"/>
      <c r="B51" s="16" t="s">
        <v>58</v>
      </c>
      <c r="K51" s="18"/>
    </row>
    <row r="52" spans="1:11" ht="13.5" customHeight="1" x14ac:dyDescent="0.3">
      <c r="A52" s="19"/>
      <c r="K52" s="18"/>
    </row>
    <row r="53" spans="1:11" ht="13.5" customHeight="1" x14ac:dyDescent="0.3">
      <c r="A53" s="21"/>
      <c r="B53" s="42" t="s">
        <v>56</v>
      </c>
      <c r="C53" s="33"/>
      <c r="D53" s="22"/>
      <c r="E53" s="22"/>
      <c r="F53" s="22"/>
      <c r="G53" s="22"/>
      <c r="H53" s="22"/>
      <c r="I53" s="22"/>
      <c r="J53" s="43" t="s">
        <v>69</v>
      </c>
      <c r="K53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70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114.5</v>
      </c>
      <c r="F11" s="20">
        <v>79.5</v>
      </c>
      <c r="G11" s="20">
        <v>66.599999999999994</v>
      </c>
      <c r="I11" s="20">
        <f>U11</f>
        <v>92.471071428571435</v>
      </c>
      <c r="J11" s="45">
        <f>(I11/'AAU 07-08'!I11)-1</f>
        <v>-9.0472238950914941E-3</v>
      </c>
      <c r="K11" s="18"/>
      <c r="M11" s="38">
        <f>496+150</f>
        <v>646</v>
      </c>
      <c r="N11" s="38">
        <f>250+159</f>
        <v>409</v>
      </c>
      <c r="O11" s="38">
        <f>190+155</f>
        <v>345</v>
      </c>
      <c r="P11" s="36">
        <f t="shared" ref="P11:R44" si="0">E11*M11</f>
        <v>73967</v>
      </c>
      <c r="Q11" s="36">
        <f t="shared" si="0"/>
        <v>32515.5</v>
      </c>
      <c r="R11" s="36">
        <f t="shared" si="0"/>
        <v>22976.999999999996</v>
      </c>
      <c r="S11" s="36">
        <f t="shared" ref="S11:S44" si="1">M11+N11+O11</f>
        <v>1400</v>
      </c>
      <c r="T11" s="36">
        <f t="shared" ref="T11:T44" si="2">P11+Q11+R11</f>
        <v>129459.5</v>
      </c>
      <c r="U11" s="37">
        <f>T11/S11</f>
        <v>92.471071428571435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143.5</v>
      </c>
      <c r="F12" s="20">
        <v>96.1</v>
      </c>
      <c r="G12" s="20">
        <v>81.3</v>
      </c>
      <c r="I12" s="20">
        <f t="shared" ref="I12:I46" si="3">U12</f>
        <v>122.08944405348346</v>
      </c>
      <c r="J12" s="45">
        <f>(I12/'AAU 07-08'!I12)-1</f>
        <v>1.9529263300801292E-2</v>
      </c>
      <c r="K12" s="18"/>
      <c r="M12" s="38">
        <f>663+202</f>
        <v>865</v>
      </c>
      <c r="N12" s="38">
        <f>164+117</f>
        <v>281</v>
      </c>
      <c r="O12" s="38">
        <f>173+102</f>
        <v>275</v>
      </c>
      <c r="P12" s="36">
        <f t="shared" si="0"/>
        <v>124127.5</v>
      </c>
      <c r="Q12" s="36">
        <f t="shared" si="0"/>
        <v>27004.1</v>
      </c>
      <c r="R12" s="36">
        <f t="shared" si="0"/>
        <v>22357.5</v>
      </c>
      <c r="S12" s="36">
        <f t="shared" si="1"/>
        <v>1421</v>
      </c>
      <c r="T12" s="36">
        <f t="shared" si="2"/>
        <v>173489.1</v>
      </c>
      <c r="U12" s="37">
        <f t="shared" ref="U12:U44" si="4">T12/S12</f>
        <v>122.08944405348346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122.7</v>
      </c>
      <c r="F13" s="20">
        <v>83.1</v>
      </c>
      <c r="G13" s="20">
        <v>75.900000000000006</v>
      </c>
      <c r="I13" s="20">
        <f t="shared" si="3"/>
        <v>104.9060777385159</v>
      </c>
      <c r="J13" s="45">
        <f>(I13/'AAU 07-08'!I13)-1</f>
        <v>1.1216069433546805E-2</v>
      </c>
      <c r="K13" s="18"/>
      <c r="M13" s="38">
        <f>641+196</f>
        <v>837</v>
      </c>
      <c r="N13" s="38">
        <f>149+111</f>
        <v>260</v>
      </c>
      <c r="O13" s="38">
        <f>180+138</f>
        <v>318</v>
      </c>
      <c r="P13" s="36">
        <f t="shared" si="0"/>
        <v>102699.90000000001</v>
      </c>
      <c r="Q13" s="36">
        <f t="shared" si="0"/>
        <v>21606</v>
      </c>
      <c r="R13" s="36">
        <f t="shared" si="0"/>
        <v>24136.2</v>
      </c>
      <c r="S13" s="36">
        <f t="shared" si="1"/>
        <v>1415</v>
      </c>
      <c r="T13" s="36">
        <f t="shared" si="2"/>
        <v>148442.1</v>
      </c>
      <c r="U13" s="37">
        <f t="shared" si="4"/>
        <v>104.9060777385159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131.80000000000001</v>
      </c>
      <c r="F14" s="20">
        <v>84.6</v>
      </c>
      <c r="G14" s="20">
        <v>75.099999999999994</v>
      </c>
      <c r="I14" s="20">
        <f t="shared" si="3"/>
        <v>105.88441814595662</v>
      </c>
      <c r="J14" s="45">
        <f>(I14/'AAU 07-08'!I14)-1</f>
        <v>1.782550486949197E-2</v>
      </c>
      <c r="K14" s="18"/>
      <c r="M14" s="38">
        <f>396+116</f>
        <v>512</v>
      </c>
      <c r="N14" s="38">
        <f>146+84</f>
        <v>230</v>
      </c>
      <c r="O14" s="38">
        <f>157+115</f>
        <v>272</v>
      </c>
      <c r="P14" s="36">
        <f t="shared" si="0"/>
        <v>67481.600000000006</v>
      </c>
      <c r="Q14" s="36">
        <f t="shared" si="0"/>
        <v>19458</v>
      </c>
      <c r="R14" s="36">
        <f t="shared" si="0"/>
        <v>20427.199999999997</v>
      </c>
      <c r="S14" s="36">
        <f t="shared" si="1"/>
        <v>1014</v>
      </c>
      <c r="T14" s="36">
        <f t="shared" si="2"/>
        <v>107366.8</v>
      </c>
      <c r="U14" s="37">
        <f t="shared" si="4"/>
        <v>105.88441814595662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144.5</v>
      </c>
      <c r="F15" s="20">
        <v>92.1</v>
      </c>
      <c r="G15" s="20">
        <v>79.599999999999994</v>
      </c>
      <c r="I15" s="20">
        <f t="shared" si="3"/>
        <v>120.86127999999999</v>
      </c>
      <c r="J15" s="45">
        <f>(I15/'AAU 07-08'!I15)-1</f>
        <v>1.8084055802167542E-2</v>
      </c>
      <c r="K15" s="18"/>
      <c r="M15" s="38">
        <f>846+280</f>
        <v>1126</v>
      </c>
      <c r="N15" s="38">
        <f>208+135</f>
        <v>343</v>
      </c>
      <c r="O15" s="38">
        <f>246+160</f>
        <v>406</v>
      </c>
      <c r="P15" s="36">
        <f t="shared" si="0"/>
        <v>162707</v>
      </c>
      <c r="Q15" s="36">
        <f t="shared" si="0"/>
        <v>31590.3</v>
      </c>
      <c r="R15" s="36">
        <f t="shared" si="0"/>
        <v>32317.599999999999</v>
      </c>
      <c r="S15" s="36">
        <f t="shared" si="1"/>
        <v>1875</v>
      </c>
      <c r="T15" s="36">
        <f t="shared" si="2"/>
        <v>226614.9</v>
      </c>
      <c r="U15" s="37">
        <f t="shared" si="4"/>
        <v>120.86127999999999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133.80000000000001</v>
      </c>
      <c r="F16" s="20">
        <v>85.5</v>
      </c>
      <c r="G16" s="20">
        <v>77.7</v>
      </c>
      <c r="I16" s="20">
        <f t="shared" si="3"/>
        <v>112.14641638225257</v>
      </c>
      <c r="J16" s="45">
        <f>(I16/'AAU 07-08'!I16)-1</f>
        <v>1.0021910951367063E-2</v>
      </c>
      <c r="K16" s="18"/>
      <c r="M16" s="38">
        <f>434+80</f>
        <v>514</v>
      </c>
      <c r="N16" s="38">
        <f>127+58</f>
        <v>185</v>
      </c>
      <c r="O16" s="38">
        <f>123+57</f>
        <v>180</v>
      </c>
      <c r="P16" s="36">
        <f t="shared" si="0"/>
        <v>68773.200000000012</v>
      </c>
      <c r="Q16" s="36">
        <f t="shared" si="0"/>
        <v>15817.5</v>
      </c>
      <c r="R16" s="36">
        <f t="shared" si="0"/>
        <v>13986</v>
      </c>
      <c r="S16" s="36">
        <f t="shared" si="1"/>
        <v>879</v>
      </c>
      <c r="T16" s="36">
        <f t="shared" si="2"/>
        <v>98576.700000000012</v>
      </c>
      <c r="U16" s="37">
        <f t="shared" si="4"/>
        <v>112.14641638225257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129</v>
      </c>
      <c r="F17" s="20">
        <v>78.5</v>
      </c>
      <c r="G17" s="20">
        <v>74</v>
      </c>
      <c r="I17" s="20">
        <f t="shared" si="3"/>
        <v>109.60307298335468</v>
      </c>
      <c r="J17" s="45">
        <f>(I17/'AAU 07-08'!I17)-1</f>
        <v>1.6152986054609908E-2</v>
      </c>
      <c r="K17" s="18"/>
      <c r="M17" s="38">
        <f>384+107</f>
        <v>491</v>
      </c>
      <c r="N17" s="38">
        <f>103+75</f>
        <v>178</v>
      </c>
      <c r="O17" s="38">
        <f>65+47</f>
        <v>112</v>
      </c>
      <c r="P17" s="36">
        <f t="shared" si="0"/>
        <v>63339</v>
      </c>
      <c r="Q17" s="36">
        <f t="shared" si="0"/>
        <v>13973</v>
      </c>
      <c r="R17" s="36">
        <f t="shared" si="0"/>
        <v>8288</v>
      </c>
      <c r="S17" s="36">
        <f t="shared" si="1"/>
        <v>781</v>
      </c>
      <c r="T17" s="36">
        <f t="shared" si="2"/>
        <v>85600</v>
      </c>
      <c r="U17" s="37">
        <f t="shared" si="4"/>
        <v>109.60307298335468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121.5</v>
      </c>
      <c r="F18" s="20">
        <v>88.9</v>
      </c>
      <c r="G18" s="20">
        <v>75.599999999999994</v>
      </c>
      <c r="I18" s="20">
        <f t="shared" si="3"/>
        <v>98.486756238003835</v>
      </c>
      <c r="J18" s="45">
        <f>(I18/'AAU 07-08'!I18)-1</f>
        <v>4.3220363573171383E-2</v>
      </c>
      <c r="K18" s="18"/>
      <c r="M18" s="38">
        <f>345+83</f>
        <v>428</v>
      </c>
      <c r="N18" s="38">
        <f>212+104</f>
        <v>316</v>
      </c>
      <c r="O18" s="38">
        <f>167+131</f>
        <v>298</v>
      </c>
      <c r="P18" s="36">
        <f t="shared" si="0"/>
        <v>52002</v>
      </c>
      <c r="Q18" s="36">
        <f t="shared" si="0"/>
        <v>28092.400000000001</v>
      </c>
      <c r="R18" s="36">
        <f t="shared" si="0"/>
        <v>22528.799999999999</v>
      </c>
      <c r="S18" s="36">
        <f t="shared" si="1"/>
        <v>1042</v>
      </c>
      <c r="T18" s="36">
        <f t="shared" si="2"/>
        <v>102623.2</v>
      </c>
      <c r="U18" s="37">
        <f t="shared" si="4"/>
        <v>98.486756238003835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115.2</v>
      </c>
      <c r="F19" s="20">
        <v>75.400000000000006</v>
      </c>
      <c r="G19" s="20">
        <v>63.6</v>
      </c>
      <c r="I19" s="20">
        <f t="shared" si="3"/>
        <v>88.02297297297298</v>
      </c>
      <c r="J19" s="45">
        <f>(I19/'AAU 07-08'!I19)-1</f>
        <v>3.4738782704011539E-2</v>
      </c>
      <c r="K19" s="18"/>
      <c r="M19" s="38">
        <f>576+137</f>
        <v>713</v>
      </c>
      <c r="N19" s="38">
        <f>363+195</f>
        <v>558</v>
      </c>
      <c r="O19" s="38">
        <f>310+195</f>
        <v>505</v>
      </c>
      <c r="P19" s="36">
        <f t="shared" si="0"/>
        <v>82137.600000000006</v>
      </c>
      <c r="Q19" s="36">
        <f t="shared" si="0"/>
        <v>42073.200000000004</v>
      </c>
      <c r="R19" s="36">
        <f t="shared" si="0"/>
        <v>32118</v>
      </c>
      <c r="S19" s="36">
        <f t="shared" si="1"/>
        <v>1776</v>
      </c>
      <c r="T19" s="36">
        <f t="shared" si="2"/>
        <v>156328.80000000002</v>
      </c>
      <c r="U19" s="37">
        <f t="shared" si="4"/>
        <v>88.02297297297298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129.6</v>
      </c>
      <c r="F20" s="20">
        <v>83.5</v>
      </c>
      <c r="G20" s="20">
        <v>76.3</v>
      </c>
      <c r="I20" s="20">
        <f t="shared" si="3"/>
        <v>101.59614967462038</v>
      </c>
      <c r="J20" s="45">
        <f>(I20/'AAU 07-08'!I20)-1</f>
        <v>2.87487110512894E-2</v>
      </c>
      <c r="K20" s="18"/>
      <c r="M20" s="38">
        <f>659+142</f>
        <v>801</v>
      </c>
      <c r="N20" s="38">
        <f>360+189</f>
        <v>549</v>
      </c>
      <c r="O20" s="38">
        <f>305+189</f>
        <v>494</v>
      </c>
      <c r="P20" s="36">
        <f t="shared" si="0"/>
        <v>103809.59999999999</v>
      </c>
      <c r="Q20" s="36">
        <f t="shared" si="0"/>
        <v>45841.5</v>
      </c>
      <c r="R20" s="36">
        <f t="shared" si="0"/>
        <v>37692.199999999997</v>
      </c>
      <c r="S20" s="36">
        <f t="shared" si="1"/>
        <v>1844</v>
      </c>
      <c r="T20" s="36">
        <f t="shared" si="2"/>
        <v>187343.3</v>
      </c>
      <c r="U20" s="37">
        <f t="shared" si="4"/>
        <v>101.59614967462038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118.4</v>
      </c>
      <c r="F21" s="20">
        <v>81.599999999999994</v>
      </c>
      <c r="G21" s="20">
        <v>71.099999999999994</v>
      </c>
      <c r="I21" s="20">
        <f t="shared" si="3"/>
        <v>94.844041095890404</v>
      </c>
      <c r="J21" s="45">
        <f>(I21/'AAU 07-08'!I21)-1</f>
        <v>4.073476007709198E-2</v>
      </c>
      <c r="K21" s="18"/>
      <c r="M21" s="38">
        <f>490+151</f>
        <v>641</v>
      </c>
      <c r="N21" s="38">
        <f>260+154</f>
        <v>414</v>
      </c>
      <c r="O21" s="38">
        <f>219+186</f>
        <v>405</v>
      </c>
      <c r="P21" s="36">
        <f t="shared" si="0"/>
        <v>75894.400000000009</v>
      </c>
      <c r="Q21" s="36">
        <f t="shared" si="0"/>
        <v>33782.399999999994</v>
      </c>
      <c r="R21" s="36">
        <f t="shared" si="0"/>
        <v>28795.499999999996</v>
      </c>
      <c r="S21" s="36">
        <f t="shared" si="1"/>
        <v>1460</v>
      </c>
      <c r="T21" s="36">
        <f t="shared" si="2"/>
        <v>138472.29999999999</v>
      </c>
      <c r="U21" s="37">
        <f t="shared" si="4"/>
        <v>94.844041095890404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124.6</v>
      </c>
      <c r="F22" s="20">
        <v>83.1</v>
      </c>
      <c r="G22" s="20">
        <v>72.599999999999994</v>
      </c>
      <c r="I22" s="20">
        <f t="shared" si="3"/>
        <v>97.372617124394168</v>
      </c>
      <c r="J22" s="45">
        <f>(I22/'AAU 07-08'!I22)-1</f>
        <v>4.098519249439736E-2</v>
      </c>
      <c r="K22" s="18"/>
      <c r="M22" s="38">
        <f>393+115</f>
        <v>508</v>
      </c>
      <c r="N22" s="38">
        <f>232+173</f>
        <v>405</v>
      </c>
      <c r="O22" s="38">
        <f>170+155</f>
        <v>325</v>
      </c>
      <c r="P22" s="36">
        <f t="shared" si="0"/>
        <v>63296.799999999996</v>
      </c>
      <c r="Q22" s="36">
        <f t="shared" si="0"/>
        <v>33655.5</v>
      </c>
      <c r="R22" s="36">
        <f t="shared" si="0"/>
        <v>23594.999999999996</v>
      </c>
      <c r="S22" s="36">
        <f t="shared" si="1"/>
        <v>1238</v>
      </c>
      <c r="T22" s="36">
        <f t="shared" si="2"/>
        <v>120547.29999999999</v>
      </c>
      <c r="U22" s="37">
        <f t="shared" si="4"/>
        <v>97.372617124394168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112.1</v>
      </c>
      <c r="F23" s="20">
        <v>81.900000000000006</v>
      </c>
      <c r="G23" s="20">
        <v>71.5</v>
      </c>
      <c r="I23" s="20">
        <f t="shared" si="3"/>
        <v>91.794214876033053</v>
      </c>
      <c r="J23" s="45">
        <f>(I23/'AAU 07-08'!I23)-1</f>
        <v>5.0732086147040167E-2</v>
      </c>
      <c r="K23" s="18"/>
      <c r="M23" s="38">
        <f>427+81</f>
        <v>508</v>
      </c>
      <c r="N23" s="38">
        <f>251+127</f>
        <v>378</v>
      </c>
      <c r="O23" s="38">
        <f>208+116</f>
        <v>324</v>
      </c>
      <c r="P23" s="36">
        <f t="shared" si="0"/>
        <v>56946.799999999996</v>
      </c>
      <c r="Q23" s="36">
        <f t="shared" si="0"/>
        <v>30958.2</v>
      </c>
      <c r="R23" s="36">
        <f t="shared" si="0"/>
        <v>23166</v>
      </c>
      <c r="S23" s="36">
        <f t="shared" si="1"/>
        <v>1210</v>
      </c>
      <c r="T23" s="36">
        <f t="shared" si="2"/>
        <v>111071</v>
      </c>
      <c r="U23" s="37">
        <f t="shared" si="4"/>
        <v>91.794214876033053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117.3</v>
      </c>
      <c r="F24" s="20">
        <v>79.599999999999994</v>
      </c>
      <c r="G24" s="20">
        <v>67.099999999999994</v>
      </c>
      <c r="I24" s="20">
        <f t="shared" si="3"/>
        <v>91.329458128078812</v>
      </c>
      <c r="J24" s="45">
        <f>(I24/'AAU 07-08'!I24)-1</f>
        <v>5.3518882375620302E-2</v>
      </c>
      <c r="K24" s="18"/>
      <c r="M24" s="38">
        <f>319+83</f>
        <v>402</v>
      </c>
      <c r="N24" s="38">
        <f>217+136</f>
        <v>353</v>
      </c>
      <c r="O24" s="38">
        <f>151+109</f>
        <v>260</v>
      </c>
      <c r="P24" s="36">
        <f t="shared" si="0"/>
        <v>47154.6</v>
      </c>
      <c r="Q24" s="36">
        <f t="shared" si="0"/>
        <v>28098.799999999999</v>
      </c>
      <c r="R24" s="36">
        <f t="shared" si="0"/>
        <v>17446</v>
      </c>
      <c r="S24" s="36">
        <f t="shared" si="1"/>
        <v>1015</v>
      </c>
      <c r="T24" s="36">
        <f t="shared" si="2"/>
        <v>92699.4</v>
      </c>
      <c r="U24" s="37">
        <f t="shared" si="4"/>
        <v>91.329458128078812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133.4</v>
      </c>
      <c r="F25" s="20">
        <v>94.9</v>
      </c>
      <c r="G25" s="20">
        <v>83.4</v>
      </c>
      <c r="I25" s="20">
        <f t="shared" si="3"/>
        <v>110.23888486603911</v>
      </c>
      <c r="J25" s="45">
        <f>(I25/'AAU 07-08'!I25)-1</f>
        <v>4.4944772047865067E-2</v>
      </c>
      <c r="K25" s="18"/>
      <c r="M25" s="38">
        <f>508+136</f>
        <v>644</v>
      </c>
      <c r="N25" s="38">
        <f>281+142</f>
        <v>423</v>
      </c>
      <c r="O25" s="38">
        <f>185+129</f>
        <v>314</v>
      </c>
      <c r="P25" s="36">
        <f t="shared" si="0"/>
        <v>85909.6</v>
      </c>
      <c r="Q25" s="36">
        <f t="shared" si="0"/>
        <v>40142.700000000004</v>
      </c>
      <c r="R25" s="36">
        <f t="shared" si="0"/>
        <v>26187.600000000002</v>
      </c>
      <c r="S25" s="36">
        <f t="shared" si="1"/>
        <v>1381</v>
      </c>
      <c r="T25" s="36">
        <f t="shared" si="2"/>
        <v>152239.90000000002</v>
      </c>
      <c r="U25" s="37">
        <f t="shared" si="4"/>
        <v>110.23888486603911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142.1</v>
      </c>
      <c r="F26" s="20">
        <v>93.1</v>
      </c>
      <c r="G26" s="20">
        <v>81.599999999999994</v>
      </c>
      <c r="I26" s="20">
        <f t="shared" si="3"/>
        <v>112.83702422145328</v>
      </c>
      <c r="J26" s="45">
        <f>(I26/'AAU 07-08'!I26)-1</f>
        <v>3.6646869436431029E-2</v>
      </c>
      <c r="K26" s="18"/>
      <c r="M26" s="38">
        <f>727+216</f>
        <v>943</v>
      </c>
      <c r="N26" s="38">
        <f>316+218</f>
        <v>534</v>
      </c>
      <c r="O26" s="38">
        <f>306+240</f>
        <v>546</v>
      </c>
      <c r="P26" s="36">
        <f t="shared" si="0"/>
        <v>134000.29999999999</v>
      </c>
      <c r="Q26" s="36">
        <f t="shared" si="0"/>
        <v>49715.399999999994</v>
      </c>
      <c r="R26" s="36">
        <f t="shared" si="0"/>
        <v>44553.599999999999</v>
      </c>
      <c r="S26" s="36">
        <f t="shared" si="1"/>
        <v>2023</v>
      </c>
      <c r="T26" s="36">
        <f t="shared" si="2"/>
        <v>228269.3</v>
      </c>
      <c r="U26" s="37">
        <f t="shared" si="4"/>
        <v>112.83702422145328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121.9</v>
      </c>
      <c r="F27" s="20">
        <v>85.9</v>
      </c>
      <c r="G27" s="20">
        <v>66.900000000000006</v>
      </c>
      <c r="I27" s="20">
        <f t="shared" si="3"/>
        <v>95.274074074074079</v>
      </c>
      <c r="J27" s="45">
        <f>(I27/'AAU 07-08'!I27)-1</f>
        <v>4.4745492153734912E-2</v>
      </c>
      <c r="K27" s="18"/>
      <c r="M27" s="38">
        <f>719+196</f>
        <v>915</v>
      </c>
      <c r="N27" s="38">
        <f>357+220</f>
        <v>577</v>
      </c>
      <c r="O27" s="38">
        <f>367+301</f>
        <v>668</v>
      </c>
      <c r="P27" s="36">
        <f t="shared" si="0"/>
        <v>111538.5</v>
      </c>
      <c r="Q27" s="36">
        <f t="shared" si="0"/>
        <v>49564.3</v>
      </c>
      <c r="R27" s="36">
        <f t="shared" si="0"/>
        <v>44689.200000000004</v>
      </c>
      <c r="S27" s="36">
        <f t="shared" si="1"/>
        <v>2160</v>
      </c>
      <c r="T27" s="36">
        <f t="shared" si="2"/>
        <v>205792</v>
      </c>
      <c r="U27" s="37">
        <f t="shared" si="4"/>
        <v>95.274074074074079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127.4</v>
      </c>
      <c r="F28" s="20">
        <v>86.2</v>
      </c>
      <c r="G28" s="20">
        <v>75</v>
      </c>
      <c r="I28" s="20">
        <f t="shared" si="3"/>
        <v>101.00342089187538</v>
      </c>
      <c r="J28" s="45">
        <f>(I28/'AAU 07-08'!I28)-1</f>
        <v>2.3710987714621101E-2</v>
      </c>
      <c r="K28" s="18"/>
      <c r="M28" s="38">
        <f>541+160</f>
        <v>701</v>
      </c>
      <c r="N28" s="38">
        <f>293+228</f>
        <v>521</v>
      </c>
      <c r="O28" s="38">
        <f>222+193</f>
        <v>415</v>
      </c>
      <c r="P28" s="36">
        <f t="shared" si="0"/>
        <v>89307.400000000009</v>
      </c>
      <c r="Q28" s="36">
        <f t="shared" si="0"/>
        <v>44910.200000000004</v>
      </c>
      <c r="R28" s="36">
        <f t="shared" si="0"/>
        <v>31125</v>
      </c>
      <c r="S28" s="36">
        <f t="shared" si="1"/>
        <v>1637</v>
      </c>
      <c r="T28" s="36">
        <f t="shared" si="2"/>
        <v>165342.6</v>
      </c>
      <c r="U28" s="37">
        <f t="shared" si="4"/>
        <v>101.00342089187538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111.2</v>
      </c>
      <c r="F29" s="25">
        <v>75.3</v>
      </c>
      <c r="G29" s="25">
        <v>61.1</v>
      </c>
      <c r="H29" s="24"/>
      <c r="I29" s="25">
        <f t="shared" si="3"/>
        <v>81.604014939309053</v>
      </c>
      <c r="J29" s="47">
        <f>(I29/'AAU 07-08'!I29)-1</f>
        <v>7.1774294116471182E-2</v>
      </c>
      <c r="K29" s="18"/>
      <c r="M29" s="38">
        <f>257+79</f>
        <v>336</v>
      </c>
      <c r="N29" s="38">
        <f>222+139</f>
        <v>361</v>
      </c>
      <c r="O29" s="38">
        <f>186+188</f>
        <v>374</v>
      </c>
      <c r="P29" s="36">
        <f t="shared" si="0"/>
        <v>37363.200000000004</v>
      </c>
      <c r="Q29" s="36">
        <f t="shared" si="0"/>
        <v>27183.3</v>
      </c>
      <c r="R29" s="36">
        <f t="shared" si="0"/>
        <v>22851.4</v>
      </c>
      <c r="S29" s="36">
        <f t="shared" si="1"/>
        <v>1071</v>
      </c>
      <c r="T29" s="36">
        <f t="shared" si="2"/>
        <v>87397.9</v>
      </c>
      <c r="U29" s="37">
        <f t="shared" si="4"/>
        <v>81.604014939309053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110.1</v>
      </c>
      <c r="F30" s="20">
        <v>76.7</v>
      </c>
      <c r="G30" s="20">
        <v>66.3</v>
      </c>
      <c r="I30" s="20">
        <f>U30</f>
        <v>90.014728682170542</v>
      </c>
      <c r="J30" s="45">
        <f>(I30/'AAU 07-08'!I30)-1</f>
        <v>3.1908664174582491E-2</v>
      </c>
      <c r="K30" s="18"/>
      <c r="M30" s="38">
        <f>410+78</f>
        <v>488</v>
      </c>
      <c r="N30" s="38">
        <f>188+110</f>
        <v>298</v>
      </c>
      <c r="O30" s="38">
        <f>154+92</f>
        <v>246</v>
      </c>
      <c r="P30" s="36">
        <f t="shared" si="0"/>
        <v>53728.799999999996</v>
      </c>
      <c r="Q30" s="36">
        <f t="shared" si="0"/>
        <v>22856.600000000002</v>
      </c>
      <c r="R30" s="36">
        <f t="shared" si="0"/>
        <v>16309.8</v>
      </c>
      <c r="S30" s="36">
        <f t="shared" si="1"/>
        <v>1032</v>
      </c>
      <c r="T30" s="36">
        <f t="shared" si="2"/>
        <v>92895.2</v>
      </c>
      <c r="U30" s="37">
        <f>T30/S30</f>
        <v>90.014728682170542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142.69999999999999</v>
      </c>
      <c r="F31" s="20">
        <v>94.1</v>
      </c>
      <c r="G31" s="20">
        <v>82</v>
      </c>
      <c r="I31" s="20">
        <f t="shared" si="3"/>
        <v>113.59272300469483</v>
      </c>
      <c r="J31" s="45">
        <f>(I31/'AAU 07-08'!I31)-1</f>
        <v>3.5684573744779735E-2</v>
      </c>
      <c r="K31" s="18"/>
      <c r="M31" s="38">
        <f>439+155</f>
        <v>594</v>
      </c>
      <c r="N31" s="38">
        <f>214+143</f>
        <v>357</v>
      </c>
      <c r="O31" s="38">
        <f>171+156</f>
        <v>327</v>
      </c>
      <c r="P31" s="36">
        <f t="shared" si="0"/>
        <v>84763.799999999988</v>
      </c>
      <c r="Q31" s="36">
        <f t="shared" si="0"/>
        <v>33593.699999999997</v>
      </c>
      <c r="R31" s="36">
        <f t="shared" si="0"/>
        <v>26814</v>
      </c>
      <c r="S31" s="36">
        <f t="shared" si="1"/>
        <v>1278</v>
      </c>
      <c r="T31" s="36">
        <f t="shared" si="2"/>
        <v>145171.5</v>
      </c>
      <c r="U31" s="37">
        <f t="shared" si="4"/>
        <v>113.59272300469483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126.4</v>
      </c>
      <c r="F32" s="20">
        <v>84.2</v>
      </c>
      <c r="G32" s="20">
        <v>75</v>
      </c>
      <c r="I32" s="20">
        <f t="shared" si="3"/>
        <v>100.6347670250896</v>
      </c>
      <c r="J32" s="45">
        <f>(I32/'AAU 07-08'!I32)-1</f>
        <v>4.9259267791369465E-2</v>
      </c>
      <c r="K32" s="18"/>
      <c r="M32" s="38">
        <f>772+208</f>
        <v>980</v>
      </c>
      <c r="N32" s="38">
        <f>465+279</f>
        <v>744</v>
      </c>
      <c r="O32" s="38">
        <f>279+229</f>
        <v>508</v>
      </c>
      <c r="P32" s="36">
        <f t="shared" si="0"/>
        <v>123872</v>
      </c>
      <c r="Q32" s="36">
        <f t="shared" si="0"/>
        <v>62644.800000000003</v>
      </c>
      <c r="R32" s="36">
        <f t="shared" si="0"/>
        <v>38100</v>
      </c>
      <c r="S32" s="36">
        <f t="shared" si="1"/>
        <v>2232</v>
      </c>
      <c r="T32" s="36">
        <f t="shared" si="2"/>
        <v>224616.8</v>
      </c>
      <c r="U32" s="37">
        <f t="shared" si="4"/>
        <v>100.6347670250896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99.8</v>
      </c>
      <c r="F33" s="20">
        <v>72.400000000000006</v>
      </c>
      <c r="G33" s="20">
        <v>66.400000000000006</v>
      </c>
      <c r="I33" s="20">
        <f t="shared" si="3"/>
        <v>80.191044776119412</v>
      </c>
      <c r="J33" s="45">
        <f>(I33/'AAU 07-08'!I33)-1</f>
        <v>6.2882164439505672E-2</v>
      </c>
      <c r="K33" s="18"/>
      <c r="M33" s="38">
        <f>156+54</f>
        <v>210</v>
      </c>
      <c r="N33" s="38">
        <f>138+79</f>
        <v>217</v>
      </c>
      <c r="O33" s="38">
        <f>89+87</f>
        <v>176</v>
      </c>
      <c r="P33" s="36">
        <f t="shared" si="0"/>
        <v>20958</v>
      </c>
      <c r="Q33" s="36">
        <f t="shared" si="0"/>
        <v>15710.800000000001</v>
      </c>
      <c r="R33" s="36">
        <f t="shared" si="0"/>
        <v>11686.400000000001</v>
      </c>
      <c r="S33" s="36">
        <f t="shared" si="1"/>
        <v>603</v>
      </c>
      <c r="T33" s="36">
        <f t="shared" si="2"/>
        <v>48355.200000000004</v>
      </c>
      <c r="U33" s="37">
        <f t="shared" si="4"/>
        <v>80.191044776119412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131.1</v>
      </c>
      <c r="F34" s="20">
        <v>87.7</v>
      </c>
      <c r="G34" s="20">
        <v>72.400000000000006</v>
      </c>
      <c r="I34" s="20">
        <f t="shared" si="3"/>
        <v>103.589417989418</v>
      </c>
      <c r="J34" s="45">
        <f>(I34/'AAU 07-08'!I34)-1</f>
        <v>4.0821439788456537E-2</v>
      </c>
      <c r="K34" s="18"/>
      <c r="M34" s="38">
        <f>627+147</f>
        <v>774</v>
      </c>
      <c r="N34" s="38">
        <f>322+176</f>
        <v>498</v>
      </c>
      <c r="O34" s="38">
        <f>230+199</f>
        <v>429</v>
      </c>
      <c r="P34" s="36">
        <f t="shared" si="0"/>
        <v>101471.4</v>
      </c>
      <c r="Q34" s="36">
        <f t="shared" si="0"/>
        <v>43674.6</v>
      </c>
      <c r="R34" s="36">
        <f t="shared" si="0"/>
        <v>31059.600000000002</v>
      </c>
      <c r="S34" s="36">
        <f t="shared" si="1"/>
        <v>1701</v>
      </c>
      <c r="T34" s="36">
        <f t="shared" si="2"/>
        <v>176205.6</v>
      </c>
      <c r="U34" s="37">
        <f t="shared" si="4"/>
        <v>103.589417989418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127.3</v>
      </c>
      <c r="F35" s="20">
        <v>85.6</v>
      </c>
      <c r="G35" s="20">
        <v>71.099999999999994</v>
      </c>
      <c r="I35" s="20">
        <f t="shared" si="3"/>
        <v>94.761931420573816</v>
      </c>
      <c r="J35" s="45">
        <f>(I35/'AAU 07-08'!I35)-1</f>
        <v>5.0502741504133475E-2</v>
      </c>
      <c r="K35" s="18"/>
      <c r="M35" s="38">
        <f>378+114</f>
        <v>492</v>
      </c>
      <c r="N35" s="38">
        <f>293+132</f>
        <v>425</v>
      </c>
      <c r="O35" s="38">
        <f>248+264</f>
        <v>512</v>
      </c>
      <c r="P35" s="36">
        <f t="shared" si="0"/>
        <v>62631.6</v>
      </c>
      <c r="Q35" s="36">
        <f t="shared" si="0"/>
        <v>36380</v>
      </c>
      <c r="R35" s="36">
        <f t="shared" si="0"/>
        <v>36403.199999999997</v>
      </c>
      <c r="S35" s="36">
        <f t="shared" si="1"/>
        <v>1429</v>
      </c>
      <c r="T35" s="36">
        <f t="shared" si="2"/>
        <v>135414.79999999999</v>
      </c>
      <c r="U35" s="37">
        <f t="shared" si="4"/>
        <v>94.761931420573816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115</v>
      </c>
      <c r="F36" s="20">
        <v>80.2</v>
      </c>
      <c r="G36" s="20">
        <v>72.3</v>
      </c>
      <c r="I36" s="20">
        <f t="shared" si="3"/>
        <v>92.783058071390528</v>
      </c>
      <c r="J36" s="45">
        <f>(I36/'AAU 07-08'!I36)-1</f>
        <v>3.6618979799948548E-2</v>
      </c>
      <c r="K36" s="18"/>
      <c r="M36" s="38">
        <f>685+119</f>
        <v>804</v>
      </c>
      <c r="N36" s="38">
        <f>355+166</f>
        <v>521</v>
      </c>
      <c r="O36" s="38">
        <f>327+225</f>
        <v>552</v>
      </c>
      <c r="P36" s="36">
        <f t="shared" si="0"/>
        <v>92460</v>
      </c>
      <c r="Q36" s="36">
        <f t="shared" si="0"/>
        <v>41784.200000000004</v>
      </c>
      <c r="R36" s="36">
        <f t="shared" si="0"/>
        <v>39909.599999999999</v>
      </c>
      <c r="S36" s="36">
        <f t="shared" si="1"/>
        <v>1877</v>
      </c>
      <c r="T36" s="36">
        <f t="shared" si="2"/>
        <v>174153.80000000002</v>
      </c>
      <c r="U36" s="37">
        <f t="shared" si="4"/>
        <v>92.783058071390528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137.5</v>
      </c>
      <c r="F37" s="20">
        <v>94.9</v>
      </c>
      <c r="G37" s="20">
        <v>76</v>
      </c>
      <c r="I37" s="20">
        <f t="shared" si="3"/>
        <v>112.92699999999999</v>
      </c>
      <c r="J37" s="45">
        <f>(I37/'AAU 07-08'!I37)-1</f>
        <v>5.5785355822928429E-2</v>
      </c>
      <c r="K37" s="18"/>
      <c r="M37" s="38">
        <f>557+157</f>
        <v>714</v>
      </c>
      <c r="N37" s="38">
        <f>239+173</f>
        <v>412</v>
      </c>
      <c r="O37" s="38">
        <f>144+130</f>
        <v>274</v>
      </c>
      <c r="P37" s="36">
        <f t="shared" si="0"/>
        <v>98175</v>
      </c>
      <c r="Q37" s="36">
        <f t="shared" si="0"/>
        <v>39098.800000000003</v>
      </c>
      <c r="R37" s="36">
        <f t="shared" si="0"/>
        <v>20824</v>
      </c>
      <c r="S37" s="36">
        <f t="shared" si="1"/>
        <v>1400</v>
      </c>
      <c r="T37" s="36">
        <f t="shared" si="2"/>
        <v>158097.79999999999</v>
      </c>
      <c r="U37" s="37">
        <f t="shared" si="4"/>
        <v>112.92699999999999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126.6</v>
      </c>
      <c r="F38" s="20">
        <v>88</v>
      </c>
      <c r="G38" s="20">
        <v>71.599999999999994</v>
      </c>
      <c r="I38" s="20">
        <f t="shared" si="3"/>
        <v>96.470980392156861</v>
      </c>
      <c r="J38" s="45">
        <f>(I38/'AAU 07-08'!I38)-1</f>
        <v>6.9568851557589184E-2</v>
      </c>
      <c r="K38" s="18"/>
      <c r="M38" s="38">
        <f>307+63</f>
        <v>370</v>
      </c>
      <c r="N38" s="38">
        <f>188+118</f>
        <v>306</v>
      </c>
      <c r="O38" s="38">
        <f>181+163</f>
        <v>344</v>
      </c>
      <c r="P38" s="36">
        <f t="shared" si="0"/>
        <v>46842</v>
      </c>
      <c r="Q38" s="36">
        <f t="shared" si="0"/>
        <v>26928</v>
      </c>
      <c r="R38" s="36">
        <f t="shared" si="0"/>
        <v>24630.399999999998</v>
      </c>
      <c r="S38" s="36">
        <f t="shared" si="1"/>
        <v>1020</v>
      </c>
      <c r="T38" s="36">
        <f t="shared" si="2"/>
        <v>98400.4</v>
      </c>
      <c r="U38" s="37">
        <f t="shared" si="4"/>
        <v>96.470980392156861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126.5</v>
      </c>
      <c r="F39" s="20">
        <v>92.2</v>
      </c>
      <c r="G39" s="20">
        <v>71.599999999999994</v>
      </c>
      <c r="I39" s="20">
        <f t="shared" si="3"/>
        <v>101.61225033288949</v>
      </c>
      <c r="J39" s="45">
        <f>(I39/'AAU 07-08'!I39)-1</f>
        <v>7.1590045191924689E-2</v>
      </c>
      <c r="K39" s="18"/>
      <c r="M39" s="38">
        <f>262+66</f>
        <v>328</v>
      </c>
      <c r="N39" s="38">
        <f>136+84</f>
        <v>220</v>
      </c>
      <c r="O39" s="38">
        <f>123+80</f>
        <v>203</v>
      </c>
      <c r="P39" s="36">
        <f t="shared" si="0"/>
        <v>41492</v>
      </c>
      <c r="Q39" s="36">
        <f t="shared" si="0"/>
        <v>20284</v>
      </c>
      <c r="R39" s="36">
        <f t="shared" si="0"/>
        <v>14534.8</v>
      </c>
      <c r="S39" s="36">
        <f t="shared" si="1"/>
        <v>751</v>
      </c>
      <c r="T39" s="36">
        <f t="shared" si="2"/>
        <v>76310.8</v>
      </c>
      <c r="U39" s="37">
        <f t="shared" si="4"/>
        <v>101.61225033288949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132.30000000000001</v>
      </c>
      <c r="F40" s="20">
        <v>85.3</v>
      </c>
      <c r="G40" s="20">
        <v>81.8</v>
      </c>
      <c r="I40" s="20">
        <f t="shared" si="3"/>
        <v>108.27226582940868</v>
      </c>
      <c r="J40" s="45">
        <f>(I40/'AAU 07-08'!I40)-1</f>
        <v>4.5471359518545196E-2</v>
      </c>
      <c r="K40" s="18"/>
      <c r="M40" s="38">
        <f>783+185</f>
        <v>968</v>
      </c>
      <c r="N40" s="38">
        <f>302+185</f>
        <v>487</v>
      </c>
      <c r="O40" s="38">
        <f>265+191</f>
        <v>456</v>
      </c>
      <c r="P40" s="36">
        <f t="shared" si="0"/>
        <v>128066.40000000001</v>
      </c>
      <c r="Q40" s="36">
        <f t="shared" si="0"/>
        <v>41541.1</v>
      </c>
      <c r="R40" s="36">
        <f t="shared" si="0"/>
        <v>37300.799999999996</v>
      </c>
      <c r="S40" s="36">
        <f t="shared" si="1"/>
        <v>1911</v>
      </c>
      <c r="T40" s="36">
        <f t="shared" si="2"/>
        <v>206908.3</v>
      </c>
      <c r="U40" s="37">
        <f t="shared" si="4"/>
        <v>108.27226582940868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116.3</v>
      </c>
      <c r="F41" s="20">
        <v>81.8</v>
      </c>
      <c r="G41" s="20">
        <v>72.2</v>
      </c>
      <c r="I41" s="20">
        <f t="shared" si="3"/>
        <v>94.963651591289789</v>
      </c>
      <c r="J41" s="45">
        <f>(I41/'AAU 07-08'!I41)-1</f>
        <v>2.7522868401819389E-2</v>
      </c>
      <c r="K41" s="18"/>
      <c r="M41" s="38">
        <f>730+95</f>
        <v>825</v>
      </c>
      <c r="N41" s="38">
        <f>332+125</f>
        <v>457</v>
      </c>
      <c r="O41" s="38">
        <f>320+189</f>
        <v>509</v>
      </c>
      <c r="P41" s="36">
        <f t="shared" si="0"/>
        <v>95947.5</v>
      </c>
      <c r="Q41" s="36">
        <f t="shared" si="0"/>
        <v>37382.6</v>
      </c>
      <c r="R41" s="36">
        <f t="shared" si="0"/>
        <v>36749.800000000003</v>
      </c>
      <c r="S41" s="36">
        <f t="shared" si="1"/>
        <v>1791</v>
      </c>
      <c r="T41" s="36">
        <f t="shared" si="2"/>
        <v>170079.90000000002</v>
      </c>
      <c r="U41" s="37">
        <f t="shared" si="4"/>
        <v>94.963651591289789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133.4</v>
      </c>
      <c r="F42" s="20">
        <v>91.7</v>
      </c>
      <c r="G42" s="20">
        <v>74.7</v>
      </c>
      <c r="I42" s="20">
        <f t="shared" si="3"/>
        <v>107.0232781168265</v>
      </c>
      <c r="J42" s="45">
        <f>(I42/'AAU 07-08'!I42)-1</f>
        <v>-1.6013370330950627E-3</v>
      </c>
      <c r="K42" s="18"/>
      <c r="M42" s="38">
        <f>434+100</f>
        <v>534</v>
      </c>
      <c r="N42" s="38">
        <f>224+113</f>
        <v>337</v>
      </c>
      <c r="O42" s="38">
        <f>135+141</f>
        <v>276</v>
      </c>
      <c r="P42" s="36">
        <f t="shared" si="0"/>
        <v>71235.600000000006</v>
      </c>
      <c r="Q42" s="36">
        <f t="shared" si="0"/>
        <v>30902.9</v>
      </c>
      <c r="R42" s="36">
        <f t="shared" si="0"/>
        <v>20617.2</v>
      </c>
      <c r="S42" s="36">
        <f t="shared" si="1"/>
        <v>1147</v>
      </c>
      <c r="T42" s="36">
        <f t="shared" si="2"/>
        <v>122755.7</v>
      </c>
      <c r="U42" s="37">
        <f t="shared" si="4"/>
        <v>107.0232781168265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121.7</v>
      </c>
      <c r="F43" s="20">
        <v>87.1</v>
      </c>
      <c r="G43" s="20">
        <v>78</v>
      </c>
      <c r="I43" s="20">
        <f t="shared" si="3"/>
        <v>103.03073746312684</v>
      </c>
      <c r="J43" s="45">
        <f>(I43/'AAU 07-08'!I43)-1</f>
        <v>5.2489243629198601E-2</v>
      </c>
      <c r="K43" s="18"/>
      <c r="M43" s="38">
        <f>659+214</f>
        <v>873</v>
      </c>
      <c r="N43" s="38">
        <f>261+209</f>
        <v>470</v>
      </c>
      <c r="O43" s="38">
        <f>176+176</f>
        <v>352</v>
      </c>
      <c r="P43" s="36">
        <f t="shared" si="0"/>
        <v>106244.1</v>
      </c>
      <c r="Q43" s="36">
        <f t="shared" si="0"/>
        <v>40937</v>
      </c>
      <c r="R43" s="36">
        <f t="shared" si="0"/>
        <v>27456</v>
      </c>
      <c r="S43" s="36">
        <f t="shared" si="1"/>
        <v>1695</v>
      </c>
      <c r="T43" s="36">
        <f t="shared" si="2"/>
        <v>174637.1</v>
      </c>
      <c r="U43" s="37">
        <f t="shared" si="4"/>
        <v>103.03073746312684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109.5</v>
      </c>
      <c r="F44" s="20">
        <v>84.5</v>
      </c>
      <c r="G44" s="20">
        <v>73</v>
      </c>
      <c r="I44" s="20">
        <f t="shared" si="3"/>
        <v>95.747182569496616</v>
      </c>
      <c r="J44" s="45">
        <f>(I44/'AAU 07-08'!I44)-1</f>
        <v>2.5758583502798249E-2</v>
      </c>
      <c r="K44" s="18"/>
      <c r="M44" s="38">
        <f>545+201</f>
        <v>746</v>
      </c>
      <c r="N44" s="38">
        <f>164+101</f>
        <v>265</v>
      </c>
      <c r="O44" s="38">
        <f>159+161</f>
        <v>320</v>
      </c>
      <c r="P44" s="36">
        <f t="shared" si="0"/>
        <v>81687</v>
      </c>
      <c r="Q44" s="36">
        <f t="shared" si="0"/>
        <v>22392.5</v>
      </c>
      <c r="R44" s="36">
        <f t="shared" si="0"/>
        <v>23360</v>
      </c>
      <c r="S44" s="36">
        <f t="shared" si="1"/>
        <v>1331</v>
      </c>
      <c r="T44" s="36">
        <f t="shared" si="2"/>
        <v>127439.5</v>
      </c>
      <c r="U44" s="37">
        <f t="shared" si="4"/>
        <v>95.747182569496616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126.49143988124692</v>
      </c>
      <c r="F46" s="41">
        <f t="shared" ref="F46" si="5">Q46/N46</f>
        <v>85.19030024832567</v>
      </c>
      <c r="G46" s="41">
        <f>R46/O46</f>
        <v>73.457256493506492</v>
      </c>
      <c r="H46" s="40"/>
      <c r="I46" s="41">
        <f t="shared" si="3"/>
        <v>101.36117265886287</v>
      </c>
      <c r="J46" s="46">
        <f>(I46/'AAU 07-08'!I46)-1</f>
        <v>3.5671137441538825E-2</v>
      </c>
      <c r="K46" s="18"/>
      <c r="M46" s="39">
        <f t="shared" ref="M46:R46" si="6">SUM(M11:M44)</f>
        <v>22231</v>
      </c>
      <c r="N46" s="39">
        <f t="shared" si="6"/>
        <v>13289</v>
      </c>
      <c r="O46" s="39">
        <f t="shared" si="6"/>
        <v>12320</v>
      </c>
      <c r="P46" s="39">
        <f t="shared" si="6"/>
        <v>2812031.2</v>
      </c>
      <c r="Q46" s="39">
        <f t="shared" si="6"/>
        <v>1132093.8999999999</v>
      </c>
      <c r="R46" s="39">
        <f t="shared" si="6"/>
        <v>904993.4</v>
      </c>
      <c r="S46" s="36">
        <f>M46+N46+O46</f>
        <v>47840</v>
      </c>
      <c r="T46" s="36">
        <f>P46+Q46+R46</f>
        <v>4849118.5</v>
      </c>
      <c r="U46" s="37">
        <f>T46/S46</f>
        <v>101.36117265886287</v>
      </c>
    </row>
    <row r="47" spans="1:21" ht="13.5" customHeight="1" x14ac:dyDescent="0.3">
      <c r="A47" s="19"/>
      <c r="D47" s="44" t="s">
        <v>55</v>
      </c>
      <c r="E47" s="41">
        <f>MEDIAN(E11:E44)</f>
        <v>126.45</v>
      </c>
      <c r="F47" s="41">
        <f t="shared" ref="F47:G47" si="7">MEDIAN(F11:F44)</f>
        <v>84.949999999999989</v>
      </c>
      <c r="G47" s="41">
        <f t="shared" si="7"/>
        <v>73.5</v>
      </c>
      <c r="H47" s="40"/>
      <c r="I47" s="41">
        <f>MEDIAN(I11:I44)</f>
        <v>100.81909395848248</v>
      </c>
      <c r="J47" s="46">
        <f>(I47/'AAU 07-08'!I47)-1</f>
        <v>5.7169022248026335E-2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71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72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113.1</v>
      </c>
      <c r="F11" s="20">
        <v>79</v>
      </c>
      <c r="G11" s="20">
        <v>69.7</v>
      </c>
      <c r="I11" s="20">
        <f>U11</f>
        <v>93.315315985130113</v>
      </c>
      <c r="J11" s="45">
        <f>(I11/'AAU 06-07'!I11)-1</f>
        <v>5.1916917421317876E-2</v>
      </c>
      <c r="K11" s="18"/>
      <c r="M11" s="38">
        <f>502+145</f>
        <v>647</v>
      </c>
      <c r="N11" s="38">
        <f>247+149</f>
        <v>396</v>
      </c>
      <c r="O11" s="38">
        <f>177+125</f>
        <v>302</v>
      </c>
      <c r="P11" s="36">
        <f t="shared" ref="P11:R44" si="0">E11*M11</f>
        <v>73175.7</v>
      </c>
      <c r="Q11" s="36">
        <f t="shared" si="0"/>
        <v>31284</v>
      </c>
      <c r="R11" s="36">
        <f t="shared" si="0"/>
        <v>21049.4</v>
      </c>
      <c r="S11" s="36">
        <f t="shared" ref="S11:S44" si="1">M11+N11+O11</f>
        <v>1345</v>
      </c>
      <c r="T11" s="36">
        <f t="shared" ref="T11:T44" si="2">P11+Q11+R11</f>
        <v>125509.1</v>
      </c>
      <c r="U11" s="37">
        <f>T11/S11</f>
        <v>93.315315985130113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141</v>
      </c>
      <c r="F12" s="20">
        <v>94.4</v>
      </c>
      <c r="G12" s="20">
        <v>78.5</v>
      </c>
      <c r="I12" s="20">
        <f t="shared" ref="I12:I46" si="3">U12</f>
        <v>119.75079916608756</v>
      </c>
      <c r="J12" s="45">
        <f>(I12/'AAU 06-07'!I12)-1</f>
        <v>6.463523790367387E-2</v>
      </c>
      <c r="K12" s="18"/>
      <c r="M12" s="38">
        <f>672+205</f>
        <v>877</v>
      </c>
      <c r="N12" s="38">
        <f>177+109</f>
        <v>286</v>
      </c>
      <c r="O12" s="38">
        <f>166+110</f>
        <v>276</v>
      </c>
      <c r="P12" s="36">
        <f t="shared" si="0"/>
        <v>123657</v>
      </c>
      <c r="Q12" s="36">
        <f t="shared" si="0"/>
        <v>26998.400000000001</v>
      </c>
      <c r="R12" s="36">
        <f t="shared" si="0"/>
        <v>21666</v>
      </c>
      <c r="S12" s="36">
        <f t="shared" si="1"/>
        <v>1439</v>
      </c>
      <c r="T12" s="36">
        <f t="shared" si="2"/>
        <v>172321.4</v>
      </c>
      <c r="U12" s="37">
        <f t="shared" ref="U12:U44" si="4">T12/S12</f>
        <v>119.75079916608756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121.5</v>
      </c>
      <c r="F13" s="20">
        <v>81.5</v>
      </c>
      <c r="G13" s="20">
        <v>74.2</v>
      </c>
      <c r="I13" s="20">
        <f t="shared" si="3"/>
        <v>103.74249471458774</v>
      </c>
      <c r="J13" s="45">
        <f>(I13/'AAU 06-07'!I13)-1</f>
        <v>6.8289987456687573E-2</v>
      </c>
      <c r="K13" s="18"/>
      <c r="M13" s="38">
        <f>648+200</f>
        <v>848</v>
      </c>
      <c r="N13" s="38">
        <f>147+101</f>
        <v>248</v>
      </c>
      <c r="O13" s="38">
        <f>173+150</f>
        <v>323</v>
      </c>
      <c r="P13" s="36">
        <f t="shared" si="0"/>
        <v>103032</v>
      </c>
      <c r="Q13" s="36">
        <f t="shared" si="0"/>
        <v>20212</v>
      </c>
      <c r="R13" s="36">
        <f t="shared" si="0"/>
        <v>23966.600000000002</v>
      </c>
      <c r="S13" s="36">
        <f t="shared" si="1"/>
        <v>1419</v>
      </c>
      <c r="T13" s="36">
        <f t="shared" si="2"/>
        <v>147210.6</v>
      </c>
      <c r="U13" s="37">
        <f t="shared" si="4"/>
        <v>103.74249471458774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128.69999999999999</v>
      </c>
      <c r="F14" s="20">
        <v>83.4</v>
      </c>
      <c r="G14" s="20">
        <v>74.2</v>
      </c>
      <c r="I14" s="20">
        <f t="shared" si="3"/>
        <v>104.03003033367037</v>
      </c>
      <c r="J14" s="45">
        <f>(I14/'AAU 06-07'!I14)-1</f>
        <v>8.2385318997536316E-2</v>
      </c>
      <c r="K14" s="18"/>
      <c r="M14" s="38">
        <f>393+110</f>
        <v>503</v>
      </c>
      <c r="N14" s="38">
        <f>136+91</f>
        <v>227</v>
      </c>
      <c r="O14" s="38">
        <f>152+107</f>
        <v>259</v>
      </c>
      <c r="P14" s="36">
        <f t="shared" si="0"/>
        <v>64736.099999999991</v>
      </c>
      <c r="Q14" s="36">
        <f t="shared" si="0"/>
        <v>18931.800000000003</v>
      </c>
      <c r="R14" s="36">
        <f t="shared" si="0"/>
        <v>19217.8</v>
      </c>
      <c r="S14" s="36">
        <f t="shared" si="1"/>
        <v>989</v>
      </c>
      <c r="T14" s="36">
        <f t="shared" si="2"/>
        <v>102885.7</v>
      </c>
      <c r="U14" s="37">
        <f t="shared" si="4"/>
        <v>104.03003033367037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142</v>
      </c>
      <c r="F15" s="20">
        <v>90.7</v>
      </c>
      <c r="G15" s="20">
        <v>76.8</v>
      </c>
      <c r="I15" s="20">
        <f t="shared" si="3"/>
        <v>118.71444141689373</v>
      </c>
      <c r="J15" s="45">
        <f>(I15/'AAU 06-07'!I15)-1</f>
        <v>6.2100644094308155E-2</v>
      </c>
      <c r="K15" s="18"/>
      <c r="M15" s="38">
        <f>838+273</f>
        <v>1111</v>
      </c>
      <c r="N15" s="38">
        <f>198+124</f>
        <v>322</v>
      </c>
      <c r="O15" s="38">
        <f>253+149</f>
        <v>402</v>
      </c>
      <c r="P15" s="36">
        <f t="shared" si="0"/>
        <v>157762</v>
      </c>
      <c r="Q15" s="36">
        <f t="shared" si="0"/>
        <v>29205.4</v>
      </c>
      <c r="R15" s="36">
        <f t="shared" si="0"/>
        <v>30873.599999999999</v>
      </c>
      <c r="S15" s="36">
        <f t="shared" si="1"/>
        <v>1835</v>
      </c>
      <c r="T15" s="36">
        <f t="shared" si="2"/>
        <v>217841</v>
      </c>
      <c r="U15" s="37">
        <f t="shared" si="4"/>
        <v>118.71444141689373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131.9</v>
      </c>
      <c r="F16" s="20">
        <v>82.7</v>
      </c>
      <c r="G16" s="20">
        <v>77.5</v>
      </c>
      <c r="I16" s="20">
        <f t="shared" si="3"/>
        <v>111.03364705882352</v>
      </c>
      <c r="J16" s="45">
        <f>(I16/'AAU 06-07'!I16)-1</f>
        <v>6.3183398752854947E-2</v>
      </c>
      <c r="K16" s="18"/>
      <c r="M16" s="38">
        <f>436+72</f>
        <v>508</v>
      </c>
      <c r="N16" s="38">
        <f>113+54</f>
        <v>167</v>
      </c>
      <c r="O16" s="38">
        <f>123+52</f>
        <v>175</v>
      </c>
      <c r="P16" s="36">
        <f t="shared" si="0"/>
        <v>67005.2</v>
      </c>
      <c r="Q16" s="36">
        <f t="shared" si="0"/>
        <v>13810.9</v>
      </c>
      <c r="R16" s="36">
        <f t="shared" si="0"/>
        <v>13562.5</v>
      </c>
      <c r="S16" s="36">
        <f t="shared" si="1"/>
        <v>850</v>
      </c>
      <c r="T16" s="36">
        <f t="shared" si="2"/>
        <v>94378.599999999991</v>
      </c>
      <c r="U16" s="37">
        <f t="shared" si="4"/>
        <v>111.03364705882352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127</v>
      </c>
      <c r="F17" s="20">
        <v>79.099999999999994</v>
      </c>
      <c r="G17" s="20">
        <v>71.3</v>
      </c>
      <c r="I17" s="20">
        <f t="shared" si="3"/>
        <v>107.86079900124844</v>
      </c>
      <c r="J17" s="45">
        <f>(I17/'AAU 06-07'!I17)-1</f>
        <v>6.3974251841009799E-2</v>
      </c>
      <c r="K17" s="18"/>
      <c r="M17" s="38">
        <f>395+105</f>
        <v>500</v>
      </c>
      <c r="N17" s="38">
        <f>100+84</f>
        <v>184</v>
      </c>
      <c r="O17" s="38">
        <f>75+42</f>
        <v>117</v>
      </c>
      <c r="P17" s="36">
        <f t="shared" si="0"/>
        <v>63500</v>
      </c>
      <c r="Q17" s="36">
        <f t="shared" si="0"/>
        <v>14554.4</v>
      </c>
      <c r="R17" s="36">
        <f t="shared" si="0"/>
        <v>8342.1</v>
      </c>
      <c r="S17" s="36">
        <f t="shared" si="1"/>
        <v>801</v>
      </c>
      <c r="T17" s="36">
        <f t="shared" si="2"/>
        <v>86396.5</v>
      </c>
      <c r="U17" s="37">
        <f t="shared" si="4"/>
        <v>107.86079900124844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116.4</v>
      </c>
      <c r="F18" s="20">
        <v>84.9</v>
      </c>
      <c r="G18" s="20">
        <v>72.3</v>
      </c>
      <c r="I18" s="20">
        <f t="shared" si="3"/>
        <v>94.406474103585666</v>
      </c>
      <c r="J18" s="45">
        <f>(I18/'AAU 06-07'!I18)-1</f>
        <v>7.2785929854759956E-2</v>
      </c>
      <c r="K18" s="18"/>
      <c r="M18" s="38">
        <f>333+82</f>
        <v>415</v>
      </c>
      <c r="N18" s="38">
        <f>199+110</f>
        <v>309</v>
      </c>
      <c r="O18" s="38">
        <f>172+108</f>
        <v>280</v>
      </c>
      <c r="P18" s="36">
        <f t="shared" si="0"/>
        <v>48306</v>
      </c>
      <c r="Q18" s="36">
        <f t="shared" si="0"/>
        <v>26234.100000000002</v>
      </c>
      <c r="R18" s="36">
        <f t="shared" si="0"/>
        <v>20244</v>
      </c>
      <c r="S18" s="36">
        <f t="shared" si="1"/>
        <v>1004</v>
      </c>
      <c r="T18" s="36">
        <f t="shared" si="2"/>
        <v>94784.1</v>
      </c>
      <c r="U18" s="37">
        <f t="shared" si="4"/>
        <v>94.406474103585666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109.3</v>
      </c>
      <c r="F19" s="20">
        <v>73</v>
      </c>
      <c r="G19" s="20">
        <v>62.5</v>
      </c>
      <c r="I19" s="20">
        <f t="shared" si="3"/>
        <v>85.067820443482958</v>
      </c>
      <c r="J19" s="45">
        <f>(I19/'AAU 06-07'!I19)-1</f>
        <v>8.1948876976691842E-3</v>
      </c>
      <c r="K19" s="18"/>
      <c r="M19" s="38">
        <f>628+140</f>
        <v>768</v>
      </c>
      <c r="N19" s="38">
        <f>362+189</f>
        <v>551</v>
      </c>
      <c r="O19" s="38">
        <f>317+213</f>
        <v>530</v>
      </c>
      <c r="P19" s="36">
        <f t="shared" si="0"/>
        <v>83942.399999999994</v>
      </c>
      <c r="Q19" s="36">
        <f t="shared" si="0"/>
        <v>40223</v>
      </c>
      <c r="R19" s="36">
        <f t="shared" si="0"/>
        <v>33125</v>
      </c>
      <c r="S19" s="36">
        <f t="shared" si="1"/>
        <v>1849</v>
      </c>
      <c r="T19" s="36">
        <f t="shared" si="2"/>
        <v>157290.4</v>
      </c>
      <c r="U19" s="37">
        <f t="shared" si="4"/>
        <v>85.067820443482958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125.7</v>
      </c>
      <c r="F20" s="20">
        <v>82.2</v>
      </c>
      <c r="G20" s="20">
        <v>73.7</v>
      </c>
      <c r="I20" s="20">
        <f t="shared" si="3"/>
        <v>98.75701284796574</v>
      </c>
      <c r="J20" s="45">
        <f>(I20/'AAU 06-07'!I20)-1</f>
        <v>3.2605465043515691E-2</v>
      </c>
      <c r="K20" s="18"/>
      <c r="M20" s="38">
        <f>673+140</f>
        <v>813</v>
      </c>
      <c r="N20" s="38">
        <f>353+180</f>
        <v>533</v>
      </c>
      <c r="O20" s="38">
        <f>319+203</f>
        <v>522</v>
      </c>
      <c r="P20" s="36">
        <f t="shared" si="0"/>
        <v>102194.1</v>
      </c>
      <c r="Q20" s="36">
        <f t="shared" si="0"/>
        <v>43812.6</v>
      </c>
      <c r="R20" s="36">
        <f t="shared" si="0"/>
        <v>38471.4</v>
      </c>
      <c r="S20" s="36">
        <f t="shared" si="1"/>
        <v>1868</v>
      </c>
      <c r="T20" s="36">
        <f t="shared" si="2"/>
        <v>184478.1</v>
      </c>
      <c r="U20" s="37">
        <f t="shared" si="4"/>
        <v>98.75701284796574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114</v>
      </c>
      <c r="F21" s="20">
        <v>77.8</v>
      </c>
      <c r="G21" s="20">
        <v>68.400000000000006</v>
      </c>
      <c r="I21" s="20">
        <f t="shared" si="3"/>
        <v>91.131808731808746</v>
      </c>
      <c r="J21" s="45">
        <f>(I21/'AAU 06-07'!I21)-1</f>
        <v>3.8432376696568182E-2</v>
      </c>
      <c r="K21" s="18"/>
      <c r="M21" s="38">
        <f>497+137</f>
        <v>634</v>
      </c>
      <c r="N21" s="38">
        <f>259+155</f>
        <v>414</v>
      </c>
      <c r="O21" s="38">
        <f>220+175</f>
        <v>395</v>
      </c>
      <c r="P21" s="36">
        <f t="shared" si="0"/>
        <v>72276</v>
      </c>
      <c r="Q21" s="36">
        <f t="shared" si="0"/>
        <v>32209.199999999997</v>
      </c>
      <c r="R21" s="36">
        <f t="shared" si="0"/>
        <v>27018.000000000004</v>
      </c>
      <c r="S21" s="36">
        <f t="shared" si="1"/>
        <v>1443</v>
      </c>
      <c r="T21" s="36">
        <f t="shared" si="2"/>
        <v>131503.20000000001</v>
      </c>
      <c r="U21" s="37">
        <f t="shared" si="4"/>
        <v>91.131808731808746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118.1</v>
      </c>
      <c r="F22" s="20">
        <v>81</v>
      </c>
      <c r="G22" s="20">
        <v>69.599999999999994</v>
      </c>
      <c r="I22" s="20">
        <f t="shared" si="3"/>
        <v>93.538907014681897</v>
      </c>
      <c r="J22" s="45">
        <f>(I22/'AAU 06-07'!I22)-1</f>
        <v>6.9911169250564731E-2</v>
      </c>
      <c r="K22" s="18"/>
      <c r="M22" s="38">
        <f>397+112</f>
        <v>509</v>
      </c>
      <c r="N22" s="38">
        <f>233+176</f>
        <v>409</v>
      </c>
      <c r="O22" s="38">
        <f>164+144</f>
        <v>308</v>
      </c>
      <c r="P22" s="36">
        <f t="shared" si="0"/>
        <v>60112.899999999994</v>
      </c>
      <c r="Q22" s="36">
        <f t="shared" si="0"/>
        <v>33129</v>
      </c>
      <c r="R22" s="36">
        <f t="shared" si="0"/>
        <v>21436.799999999999</v>
      </c>
      <c r="S22" s="36">
        <f t="shared" si="1"/>
        <v>1226</v>
      </c>
      <c r="T22" s="36">
        <f t="shared" si="2"/>
        <v>114678.7</v>
      </c>
      <c r="U22" s="37">
        <f t="shared" si="4"/>
        <v>93.538907014681897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106.7</v>
      </c>
      <c r="F23" s="20">
        <v>77.599999999999994</v>
      </c>
      <c r="G23" s="20">
        <v>67.599999999999994</v>
      </c>
      <c r="I23" s="20">
        <f t="shared" si="3"/>
        <v>87.362150719729044</v>
      </c>
      <c r="J23" s="45">
        <f>(I23/'AAU 06-07'!I23)-1</f>
        <v>6.1325201865781054E-2</v>
      </c>
      <c r="K23" s="18"/>
      <c r="M23" s="38">
        <f>421+80</f>
        <v>501</v>
      </c>
      <c r="N23" s="38">
        <f>251+124</f>
        <v>375</v>
      </c>
      <c r="O23" s="38">
        <f>184+121</f>
        <v>305</v>
      </c>
      <c r="P23" s="36">
        <f t="shared" si="0"/>
        <v>53456.700000000004</v>
      </c>
      <c r="Q23" s="36">
        <f t="shared" si="0"/>
        <v>29099.999999999996</v>
      </c>
      <c r="R23" s="36">
        <f t="shared" si="0"/>
        <v>20618</v>
      </c>
      <c r="S23" s="36">
        <f t="shared" si="1"/>
        <v>1181</v>
      </c>
      <c r="T23" s="36">
        <f t="shared" si="2"/>
        <v>103174.7</v>
      </c>
      <c r="U23" s="37">
        <f t="shared" si="4"/>
        <v>87.362150719729044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110.5</v>
      </c>
      <c r="F24" s="20">
        <v>76.099999999999994</v>
      </c>
      <c r="G24" s="20">
        <v>65</v>
      </c>
      <c r="I24" s="20">
        <f t="shared" si="3"/>
        <v>86.689910979228486</v>
      </c>
      <c r="J24" s="45">
        <f>(I24/'AAU 06-07'!I24)-1</f>
        <v>5.3318745865395867E-2</v>
      </c>
      <c r="K24" s="18"/>
      <c r="M24" s="38">
        <f>322+77</f>
        <v>399</v>
      </c>
      <c r="N24" s="38">
        <f>218+122</f>
        <v>340</v>
      </c>
      <c r="O24" s="38">
        <f>147+125</f>
        <v>272</v>
      </c>
      <c r="P24" s="36">
        <f t="shared" si="0"/>
        <v>44089.5</v>
      </c>
      <c r="Q24" s="36">
        <f t="shared" si="0"/>
        <v>25873.999999999996</v>
      </c>
      <c r="R24" s="36">
        <f t="shared" si="0"/>
        <v>17680</v>
      </c>
      <c r="S24" s="36">
        <f t="shared" si="1"/>
        <v>1011</v>
      </c>
      <c r="T24" s="36">
        <f t="shared" si="2"/>
        <v>87643.5</v>
      </c>
      <c r="U24" s="37">
        <f t="shared" si="4"/>
        <v>86.689910979228486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127.5</v>
      </c>
      <c r="F25" s="20">
        <v>89.5</v>
      </c>
      <c r="G25" s="20">
        <v>78.8</v>
      </c>
      <c r="I25" s="20">
        <f t="shared" si="3"/>
        <v>105.49733135656041</v>
      </c>
      <c r="J25" s="45">
        <f>(I25/'AAU 06-07'!I25)-1</f>
        <v>4.507928116569393E-2</v>
      </c>
      <c r="K25" s="18"/>
      <c r="M25" s="38">
        <f>508+141</f>
        <v>649</v>
      </c>
      <c r="N25" s="38">
        <f>280+132</f>
        <v>412</v>
      </c>
      <c r="O25" s="38">
        <f>169+119</f>
        <v>288</v>
      </c>
      <c r="P25" s="36">
        <f t="shared" si="0"/>
        <v>82747.5</v>
      </c>
      <c r="Q25" s="36">
        <f t="shared" si="0"/>
        <v>36874</v>
      </c>
      <c r="R25" s="36">
        <f t="shared" si="0"/>
        <v>22694.399999999998</v>
      </c>
      <c r="S25" s="36">
        <f t="shared" si="1"/>
        <v>1349</v>
      </c>
      <c r="T25" s="36">
        <f t="shared" si="2"/>
        <v>142315.9</v>
      </c>
      <c r="U25" s="37">
        <f t="shared" si="4"/>
        <v>105.49733135656041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137</v>
      </c>
      <c r="F26" s="20">
        <v>89.1</v>
      </c>
      <c r="G26" s="20">
        <v>79.3</v>
      </c>
      <c r="I26" s="20">
        <f t="shared" si="3"/>
        <v>108.84808274470232</v>
      </c>
      <c r="J26" s="45">
        <f>(I26/'AAU 06-07'!I26)-1</f>
        <v>4.6799463304054267E-2</v>
      </c>
      <c r="K26" s="18"/>
      <c r="M26" s="38">
        <f>716+211</f>
        <v>927</v>
      </c>
      <c r="N26" s="38">
        <f>305+213</f>
        <v>518</v>
      </c>
      <c r="O26" s="38">
        <f>318+219</f>
        <v>537</v>
      </c>
      <c r="P26" s="36">
        <f t="shared" si="0"/>
        <v>126999</v>
      </c>
      <c r="Q26" s="36">
        <f t="shared" si="0"/>
        <v>46153.799999999996</v>
      </c>
      <c r="R26" s="36">
        <f t="shared" si="0"/>
        <v>42584.1</v>
      </c>
      <c r="S26" s="36">
        <f t="shared" si="1"/>
        <v>1982</v>
      </c>
      <c r="T26" s="36">
        <f t="shared" si="2"/>
        <v>215736.9</v>
      </c>
      <c r="U26" s="37">
        <f t="shared" si="4"/>
        <v>108.84808274470232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116</v>
      </c>
      <c r="F27" s="20">
        <v>82.8</v>
      </c>
      <c r="G27" s="20">
        <v>64.2</v>
      </c>
      <c r="I27" s="20">
        <f t="shared" si="3"/>
        <v>91.193572778827985</v>
      </c>
      <c r="J27" s="45">
        <f>(I27/'AAU 06-07'!I27)-1</f>
        <v>4.1505771541278547E-2</v>
      </c>
      <c r="K27" s="18"/>
      <c r="M27" s="38">
        <f>712+186</f>
        <v>898</v>
      </c>
      <c r="N27" s="38">
        <f>352+218</f>
        <v>570</v>
      </c>
      <c r="O27" s="38">
        <f>362+286</f>
        <v>648</v>
      </c>
      <c r="P27" s="36">
        <f t="shared" si="0"/>
        <v>104168</v>
      </c>
      <c r="Q27" s="36">
        <f t="shared" si="0"/>
        <v>47196</v>
      </c>
      <c r="R27" s="36">
        <f t="shared" si="0"/>
        <v>41601.599999999999</v>
      </c>
      <c r="S27" s="36">
        <f t="shared" si="1"/>
        <v>2116</v>
      </c>
      <c r="T27" s="36">
        <f t="shared" si="2"/>
        <v>192965.6</v>
      </c>
      <c r="U27" s="37">
        <f t="shared" si="4"/>
        <v>91.193572778827985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121.3</v>
      </c>
      <c r="F28" s="20">
        <v>84.3</v>
      </c>
      <c r="G28" s="20">
        <v>72.3</v>
      </c>
      <c r="I28" s="20">
        <f t="shared" si="3"/>
        <v>98.664000000000001</v>
      </c>
      <c r="J28" s="45">
        <f>(I28/'AAU 06-07'!I28)-1</f>
        <v>3.4480125769035475E-2</v>
      </c>
      <c r="K28" s="18"/>
      <c r="M28" s="38">
        <f>644+169</f>
        <v>813</v>
      </c>
      <c r="N28" s="38">
        <f>307+218</f>
        <v>525</v>
      </c>
      <c r="O28" s="38">
        <f>225+187</f>
        <v>412</v>
      </c>
      <c r="P28" s="36">
        <f t="shared" si="0"/>
        <v>98616.9</v>
      </c>
      <c r="Q28" s="36">
        <f t="shared" si="0"/>
        <v>44257.5</v>
      </c>
      <c r="R28" s="36">
        <f t="shared" si="0"/>
        <v>29787.599999999999</v>
      </c>
      <c r="S28" s="36">
        <f t="shared" si="1"/>
        <v>1750</v>
      </c>
      <c r="T28" s="36">
        <f t="shared" si="2"/>
        <v>172662</v>
      </c>
      <c r="U28" s="37">
        <f t="shared" si="4"/>
        <v>98.664000000000001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102.8</v>
      </c>
      <c r="F29" s="25">
        <v>70.8</v>
      </c>
      <c r="G29" s="25">
        <v>58.2</v>
      </c>
      <c r="H29" s="24"/>
      <c r="I29" s="25">
        <f t="shared" si="3"/>
        <v>76.139179104477606</v>
      </c>
      <c r="J29" s="47">
        <f>(I29/'AAU 06-07'!I29)-1</f>
        <v>2.1327994304138009E-2</v>
      </c>
      <c r="K29" s="18"/>
      <c r="M29" s="38">
        <f>259+75</f>
        <v>334</v>
      </c>
      <c r="N29" s="38">
        <f>215+129</f>
        <v>344</v>
      </c>
      <c r="O29" s="38">
        <f>211+183</f>
        <v>394</v>
      </c>
      <c r="P29" s="36">
        <f t="shared" si="0"/>
        <v>34335.199999999997</v>
      </c>
      <c r="Q29" s="36">
        <f t="shared" si="0"/>
        <v>24355.200000000001</v>
      </c>
      <c r="R29" s="36">
        <f t="shared" si="0"/>
        <v>22930.800000000003</v>
      </c>
      <c r="S29" s="36">
        <f t="shared" si="1"/>
        <v>1072</v>
      </c>
      <c r="T29" s="36">
        <f t="shared" si="2"/>
        <v>81621.2</v>
      </c>
      <c r="U29" s="37">
        <f t="shared" si="4"/>
        <v>76.139179104477606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105.2</v>
      </c>
      <c r="F30" s="20">
        <v>74.400000000000006</v>
      </c>
      <c r="G30" s="20">
        <v>65.099999999999994</v>
      </c>
      <c r="I30" s="20">
        <f>U30</f>
        <v>87.231294597349645</v>
      </c>
      <c r="J30" s="45">
        <f>(I30/'AAU 06-07'!I30)-1</f>
        <v>3.6486290134558397E-2</v>
      </c>
      <c r="K30" s="18"/>
      <c r="M30" s="38">
        <f>398+75</f>
        <v>473</v>
      </c>
      <c r="N30" s="38">
        <f>194+101</f>
        <v>295</v>
      </c>
      <c r="O30" s="38">
        <f>138+75</f>
        <v>213</v>
      </c>
      <c r="P30" s="36">
        <f t="shared" si="0"/>
        <v>49759.6</v>
      </c>
      <c r="Q30" s="36">
        <f t="shared" si="0"/>
        <v>21948</v>
      </c>
      <c r="R30" s="36">
        <f t="shared" si="0"/>
        <v>13866.3</v>
      </c>
      <c r="S30" s="36">
        <f t="shared" si="1"/>
        <v>981</v>
      </c>
      <c r="T30" s="36">
        <f t="shared" si="2"/>
        <v>85573.900000000009</v>
      </c>
      <c r="U30" s="37">
        <f>T30/S30</f>
        <v>87.231294597349645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138.5</v>
      </c>
      <c r="F31" s="20">
        <v>90.9</v>
      </c>
      <c r="G31" s="20">
        <v>76.900000000000006</v>
      </c>
      <c r="I31" s="20">
        <f t="shared" si="3"/>
        <v>109.67887896019498</v>
      </c>
      <c r="J31" s="45">
        <f>(I31/'AAU 06-07'!I31)-1</f>
        <v>7.9621901680314799E-2</v>
      </c>
      <c r="K31" s="18"/>
      <c r="M31" s="38">
        <f>433+145</f>
        <v>578</v>
      </c>
      <c r="N31" s="38">
        <f>209+130</f>
        <v>339</v>
      </c>
      <c r="O31" s="38">
        <f>167+147</f>
        <v>314</v>
      </c>
      <c r="P31" s="36">
        <f t="shared" si="0"/>
        <v>80053</v>
      </c>
      <c r="Q31" s="36">
        <f t="shared" si="0"/>
        <v>30815.100000000002</v>
      </c>
      <c r="R31" s="36">
        <f t="shared" si="0"/>
        <v>24146.600000000002</v>
      </c>
      <c r="S31" s="36">
        <f t="shared" si="1"/>
        <v>1231</v>
      </c>
      <c r="T31" s="36">
        <f t="shared" si="2"/>
        <v>135014.70000000001</v>
      </c>
      <c r="U31" s="37">
        <f t="shared" si="4"/>
        <v>109.67887896019498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121.6</v>
      </c>
      <c r="F32" s="20">
        <v>80.5</v>
      </c>
      <c r="G32" s="20">
        <v>70.900000000000006</v>
      </c>
      <c r="I32" s="20">
        <f t="shared" si="3"/>
        <v>95.910296067167479</v>
      </c>
      <c r="J32" s="45">
        <f>(I32/'AAU 06-07'!I32)-1</f>
        <v>3.5304535737152865E-2</v>
      </c>
      <c r="K32" s="18"/>
      <c r="M32" s="38">
        <f>786+187</f>
        <v>973</v>
      </c>
      <c r="N32" s="38">
        <f>479+278</f>
        <v>757</v>
      </c>
      <c r="O32" s="38">
        <f>290+243</f>
        <v>533</v>
      </c>
      <c r="P32" s="36">
        <f t="shared" si="0"/>
        <v>118316.79999999999</v>
      </c>
      <c r="Q32" s="36">
        <f t="shared" si="0"/>
        <v>60938.5</v>
      </c>
      <c r="R32" s="36">
        <f t="shared" si="0"/>
        <v>37789.700000000004</v>
      </c>
      <c r="S32" s="36">
        <f t="shared" si="1"/>
        <v>2263</v>
      </c>
      <c r="T32" s="36">
        <f t="shared" si="2"/>
        <v>217045</v>
      </c>
      <c r="U32" s="37">
        <f t="shared" si="4"/>
        <v>95.910296067167479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94.8</v>
      </c>
      <c r="F33" s="20">
        <v>67.5</v>
      </c>
      <c r="G33" s="20">
        <v>61.9</v>
      </c>
      <c r="I33" s="20">
        <f t="shared" si="3"/>
        <v>75.446787479406908</v>
      </c>
      <c r="J33" s="45">
        <f>(I33/'AAU 06-07'!I33)-1</f>
        <v>6.7644068298957416E-2</v>
      </c>
      <c r="K33" s="18"/>
      <c r="M33" s="38">
        <f>158+55</f>
        <v>213</v>
      </c>
      <c r="N33" s="38">
        <f>140+77</f>
        <v>217</v>
      </c>
      <c r="O33" s="38">
        <f>90+87</f>
        <v>177</v>
      </c>
      <c r="P33" s="36">
        <f t="shared" si="0"/>
        <v>20192.399999999998</v>
      </c>
      <c r="Q33" s="36">
        <f t="shared" si="0"/>
        <v>14647.5</v>
      </c>
      <c r="R33" s="36">
        <f t="shared" si="0"/>
        <v>10956.3</v>
      </c>
      <c r="S33" s="36">
        <f t="shared" si="1"/>
        <v>607</v>
      </c>
      <c r="T33" s="36">
        <f t="shared" si="2"/>
        <v>45796.2</v>
      </c>
      <c r="U33" s="37">
        <f t="shared" si="4"/>
        <v>75.446787479406908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125.4</v>
      </c>
      <c r="F34" s="20">
        <v>85</v>
      </c>
      <c r="G34" s="20">
        <v>69.5</v>
      </c>
      <c r="I34" s="20">
        <f t="shared" si="3"/>
        <v>99.526598924088461</v>
      </c>
      <c r="J34" s="45">
        <f>(I34/'AAU 06-07'!I34)-1</f>
        <v>4.024728446932313E-2</v>
      </c>
      <c r="K34" s="18"/>
      <c r="M34" s="38">
        <f>622+143</f>
        <v>765</v>
      </c>
      <c r="N34" s="38">
        <f>316+166</f>
        <v>482</v>
      </c>
      <c r="O34" s="38">
        <f>225+201</f>
        <v>426</v>
      </c>
      <c r="P34" s="36">
        <f t="shared" si="0"/>
        <v>95931</v>
      </c>
      <c r="Q34" s="36">
        <f t="shared" si="0"/>
        <v>40970</v>
      </c>
      <c r="R34" s="36">
        <f t="shared" si="0"/>
        <v>29607</v>
      </c>
      <c r="S34" s="36">
        <f t="shared" si="1"/>
        <v>1673</v>
      </c>
      <c r="T34" s="36">
        <f t="shared" si="2"/>
        <v>166508</v>
      </c>
      <c r="U34" s="37">
        <f t="shared" si="4"/>
        <v>99.526598924088461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121.9</v>
      </c>
      <c r="F35" s="20">
        <v>80.400000000000006</v>
      </c>
      <c r="G35" s="20">
        <v>67.7</v>
      </c>
      <c r="I35" s="20">
        <f t="shared" si="3"/>
        <v>90.206267605633798</v>
      </c>
      <c r="J35" s="45">
        <f>(I35/'AAU 06-07'!I35)-1</f>
        <v>1.9826891618305087E-2</v>
      </c>
      <c r="K35" s="18"/>
      <c r="M35" s="38">
        <f>379+112</f>
        <v>491</v>
      </c>
      <c r="N35" s="38">
        <f>284+137</f>
        <v>421</v>
      </c>
      <c r="O35" s="38">
        <f>243+265</f>
        <v>508</v>
      </c>
      <c r="P35" s="36">
        <f t="shared" si="0"/>
        <v>59852.9</v>
      </c>
      <c r="Q35" s="36">
        <f t="shared" si="0"/>
        <v>33848.400000000001</v>
      </c>
      <c r="R35" s="36">
        <f t="shared" si="0"/>
        <v>34391.599999999999</v>
      </c>
      <c r="S35" s="36">
        <f t="shared" si="1"/>
        <v>1420</v>
      </c>
      <c r="T35" s="36">
        <f t="shared" si="2"/>
        <v>128092.9</v>
      </c>
      <c r="U35" s="37">
        <f t="shared" si="4"/>
        <v>90.206267605633798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111.3</v>
      </c>
      <c r="F36" s="20">
        <v>77.2</v>
      </c>
      <c r="G36" s="20">
        <v>69.2</v>
      </c>
      <c r="I36" s="20">
        <f t="shared" si="3"/>
        <v>89.505459459459459</v>
      </c>
      <c r="J36" s="45">
        <f>(I36/'AAU 06-07'!I36)-1</f>
        <v>3.7867413005422623E-2</v>
      </c>
      <c r="K36" s="18"/>
      <c r="M36" s="38">
        <f>684+107</f>
        <v>791</v>
      </c>
      <c r="N36" s="38">
        <f>362+171</f>
        <v>533</v>
      </c>
      <c r="O36" s="38">
        <f>317+209</f>
        <v>526</v>
      </c>
      <c r="P36" s="36">
        <f t="shared" si="0"/>
        <v>88038.3</v>
      </c>
      <c r="Q36" s="36">
        <f t="shared" si="0"/>
        <v>41147.599999999999</v>
      </c>
      <c r="R36" s="36">
        <f t="shared" si="0"/>
        <v>36399.200000000004</v>
      </c>
      <c r="S36" s="36">
        <f t="shared" si="1"/>
        <v>1850</v>
      </c>
      <c r="T36" s="36">
        <f t="shared" si="2"/>
        <v>165585.1</v>
      </c>
      <c r="U36" s="37">
        <f t="shared" si="4"/>
        <v>89.505459459459459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130.1</v>
      </c>
      <c r="F37" s="20">
        <v>89.4</v>
      </c>
      <c r="G37" s="20">
        <v>72.5</v>
      </c>
      <c r="I37" s="20">
        <f t="shared" si="3"/>
        <v>106.96018786127169</v>
      </c>
      <c r="J37" s="45">
        <f>(I37/'AAU 06-07'!I37)-1</f>
        <v>5.0938861821389958E-2</v>
      </c>
      <c r="K37" s="18"/>
      <c r="M37" s="38">
        <f>565+143</f>
        <v>708</v>
      </c>
      <c r="N37" s="38">
        <f>239+170</f>
        <v>409</v>
      </c>
      <c r="O37" s="38">
        <f>148+119</f>
        <v>267</v>
      </c>
      <c r="P37" s="36">
        <f t="shared" si="0"/>
        <v>92110.8</v>
      </c>
      <c r="Q37" s="36">
        <f t="shared" si="0"/>
        <v>36564.600000000006</v>
      </c>
      <c r="R37" s="36">
        <f t="shared" si="0"/>
        <v>19357.5</v>
      </c>
      <c r="S37" s="36">
        <f t="shared" si="1"/>
        <v>1384</v>
      </c>
      <c r="T37" s="36">
        <f t="shared" si="2"/>
        <v>148032.90000000002</v>
      </c>
      <c r="U37" s="37">
        <f t="shared" si="4"/>
        <v>106.96018786127169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119.4</v>
      </c>
      <c r="F38" s="20">
        <v>83.3</v>
      </c>
      <c r="G38" s="20">
        <v>66.599999999999994</v>
      </c>
      <c r="I38" s="20">
        <f t="shared" si="3"/>
        <v>90.196138613861393</v>
      </c>
      <c r="J38" s="45">
        <f>(I38/'AAU 06-07'!I38)-1</f>
        <v>2.0161987404321069E-2</v>
      </c>
      <c r="K38" s="18"/>
      <c r="M38" s="38">
        <f>298+55</f>
        <v>353</v>
      </c>
      <c r="N38" s="38">
        <f>200+111</f>
        <v>311</v>
      </c>
      <c r="O38" s="38">
        <f>189+157</f>
        <v>346</v>
      </c>
      <c r="P38" s="36">
        <f t="shared" si="0"/>
        <v>42148.200000000004</v>
      </c>
      <c r="Q38" s="36">
        <f t="shared" si="0"/>
        <v>25906.3</v>
      </c>
      <c r="R38" s="36">
        <f t="shared" si="0"/>
        <v>23043.599999999999</v>
      </c>
      <c r="S38" s="36">
        <f t="shared" si="1"/>
        <v>1010</v>
      </c>
      <c r="T38" s="36">
        <f t="shared" si="2"/>
        <v>91098.1</v>
      </c>
      <c r="U38" s="37">
        <f t="shared" si="4"/>
        <v>90.196138613861393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116.2</v>
      </c>
      <c r="F39" s="20">
        <v>86.5</v>
      </c>
      <c r="G39" s="20">
        <v>68.599999999999994</v>
      </c>
      <c r="I39" s="20">
        <f t="shared" si="3"/>
        <v>94.823809523809516</v>
      </c>
      <c r="J39" s="45">
        <f>(I39/'AAU 06-07'!I39)-1</f>
        <v>-2.6658653134725707E-3</v>
      </c>
      <c r="K39" s="18"/>
      <c r="M39" s="38">
        <f>236+56</f>
        <v>292</v>
      </c>
      <c r="N39" s="38">
        <f>127+81</f>
        <v>208</v>
      </c>
      <c r="O39" s="38">
        <f>98+74</f>
        <v>172</v>
      </c>
      <c r="P39" s="36">
        <f t="shared" si="0"/>
        <v>33930.400000000001</v>
      </c>
      <c r="Q39" s="36">
        <f t="shared" si="0"/>
        <v>17992</v>
      </c>
      <c r="R39" s="36">
        <f t="shared" si="0"/>
        <v>11799.199999999999</v>
      </c>
      <c r="S39" s="36">
        <f t="shared" si="1"/>
        <v>672</v>
      </c>
      <c r="T39" s="36">
        <f t="shared" si="2"/>
        <v>63721.599999999999</v>
      </c>
      <c r="U39" s="37">
        <f t="shared" si="4"/>
        <v>94.823809523809516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126</v>
      </c>
      <c r="F40" s="20">
        <v>81.3</v>
      </c>
      <c r="G40" s="20">
        <v>77.599999999999994</v>
      </c>
      <c r="I40" s="20">
        <f t="shared" si="3"/>
        <v>103.56311040339702</v>
      </c>
      <c r="J40" s="45">
        <f>(I40/'AAU 06-07'!I40)-1</f>
        <v>3.8420783409840009E-2</v>
      </c>
      <c r="K40" s="18"/>
      <c r="M40" s="38">
        <f>793+183</f>
        <v>976</v>
      </c>
      <c r="N40" s="38">
        <f>279+174</f>
        <v>453</v>
      </c>
      <c r="O40" s="38">
        <f>276+179</f>
        <v>455</v>
      </c>
      <c r="P40" s="36">
        <f t="shared" si="0"/>
        <v>122976</v>
      </c>
      <c r="Q40" s="36">
        <f t="shared" si="0"/>
        <v>36828.9</v>
      </c>
      <c r="R40" s="36">
        <f t="shared" si="0"/>
        <v>35308</v>
      </c>
      <c r="S40" s="36">
        <f t="shared" si="1"/>
        <v>1884</v>
      </c>
      <c r="T40" s="36">
        <f t="shared" si="2"/>
        <v>195112.9</v>
      </c>
      <c r="U40" s="37">
        <f t="shared" si="4"/>
        <v>103.56311040339702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112.3</v>
      </c>
      <c r="F41" s="20">
        <v>79.8</v>
      </c>
      <c r="G41" s="20">
        <v>70.5</v>
      </c>
      <c r="I41" s="20">
        <f t="shared" si="3"/>
        <v>92.419988412514485</v>
      </c>
      <c r="J41" s="45">
        <f>(I41/'AAU 06-07'!I41)-1</f>
        <v>4.0748318286230267E-2</v>
      </c>
      <c r="K41" s="18"/>
      <c r="M41" s="38">
        <f>715+92</f>
        <v>807</v>
      </c>
      <c r="N41" s="38">
        <f>324+117</f>
        <v>441</v>
      </c>
      <c r="O41" s="38">
        <f>305+173</f>
        <v>478</v>
      </c>
      <c r="P41" s="36">
        <f t="shared" si="0"/>
        <v>90626.099999999991</v>
      </c>
      <c r="Q41" s="36">
        <f t="shared" si="0"/>
        <v>35191.799999999996</v>
      </c>
      <c r="R41" s="36">
        <f t="shared" si="0"/>
        <v>33699</v>
      </c>
      <c r="S41" s="36">
        <f t="shared" si="1"/>
        <v>1726</v>
      </c>
      <c r="T41" s="36">
        <f t="shared" si="2"/>
        <v>159516.9</v>
      </c>
      <c r="U41" s="37">
        <f t="shared" si="4"/>
        <v>92.419988412514485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132.69999999999999</v>
      </c>
      <c r="F42" s="20">
        <v>91</v>
      </c>
      <c r="G42" s="20">
        <v>74.5</v>
      </c>
      <c r="I42" s="20">
        <f t="shared" si="3"/>
        <v>107.19493333333332</v>
      </c>
      <c r="J42" s="45">
        <f>(I42/'AAU 06-07'!I42)-1</f>
        <v>3.9881607493552407E-2</v>
      </c>
      <c r="K42" s="18"/>
      <c r="M42" s="38">
        <f>443+96</f>
        <v>539</v>
      </c>
      <c r="N42" s="38">
        <f>217+111</f>
        <v>328</v>
      </c>
      <c r="O42" s="38">
        <f>133+125</f>
        <v>258</v>
      </c>
      <c r="P42" s="36">
        <f t="shared" si="0"/>
        <v>71525.299999999988</v>
      </c>
      <c r="Q42" s="36">
        <f t="shared" si="0"/>
        <v>29848</v>
      </c>
      <c r="R42" s="36">
        <f t="shared" si="0"/>
        <v>19221</v>
      </c>
      <c r="S42" s="36">
        <f t="shared" si="1"/>
        <v>1125</v>
      </c>
      <c r="T42" s="36">
        <f t="shared" si="2"/>
        <v>120594.29999999999</v>
      </c>
      <c r="U42" s="37">
        <f t="shared" si="4"/>
        <v>107.19493333333332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116.4</v>
      </c>
      <c r="F43" s="20">
        <v>83.4</v>
      </c>
      <c r="G43" s="20">
        <v>73.900000000000006</v>
      </c>
      <c r="I43" s="20">
        <f t="shared" si="3"/>
        <v>97.892437463641656</v>
      </c>
      <c r="J43" s="45">
        <f>(I43/'AAU 06-07'!I43)-1</f>
        <v>5.824211042332772E-2</v>
      </c>
      <c r="K43" s="18"/>
      <c r="M43" s="38">
        <f>652+208</f>
        <v>860</v>
      </c>
      <c r="N43" s="38">
        <f>276+218</f>
        <v>494</v>
      </c>
      <c r="O43" s="38">
        <f>192+173</f>
        <v>365</v>
      </c>
      <c r="P43" s="36">
        <f t="shared" si="0"/>
        <v>100104</v>
      </c>
      <c r="Q43" s="36">
        <f t="shared" si="0"/>
        <v>41199.600000000006</v>
      </c>
      <c r="R43" s="36">
        <f t="shared" si="0"/>
        <v>26973.500000000004</v>
      </c>
      <c r="S43" s="36">
        <f t="shared" si="1"/>
        <v>1719</v>
      </c>
      <c r="T43" s="36">
        <f t="shared" si="2"/>
        <v>168277.1</v>
      </c>
      <c r="U43" s="37">
        <f t="shared" si="4"/>
        <v>97.892437463641656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107</v>
      </c>
      <c r="F44" s="20">
        <v>82.5</v>
      </c>
      <c r="G44" s="20">
        <v>70.400000000000006</v>
      </c>
      <c r="I44" s="20">
        <f t="shared" si="3"/>
        <v>93.342804154302669</v>
      </c>
      <c r="J44" s="45">
        <f>(I44/'AAU 06-07'!I44)-1</f>
        <v>4.5304026178667467E-2</v>
      </c>
      <c r="K44" s="18"/>
      <c r="M44" s="38">
        <f>563+201</f>
        <v>764</v>
      </c>
      <c r="N44" s="38">
        <f>149+96</f>
        <v>245</v>
      </c>
      <c r="O44" s="38">
        <f>177+162</f>
        <v>339</v>
      </c>
      <c r="P44" s="36">
        <f t="shared" si="0"/>
        <v>81748</v>
      </c>
      <c r="Q44" s="36">
        <f t="shared" si="0"/>
        <v>20212.5</v>
      </c>
      <c r="R44" s="36">
        <f t="shared" si="0"/>
        <v>23865.600000000002</v>
      </c>
      <c r="S44" s="36">
        <f t="shared" si="1"/>
        <v>1348</v>
      </c>
      <c r="T44" s="36">
        <f t="shared" si="2"/>
        <v>125826.1</v>
      </c>
      <c r="U44" s="37">
        <f t="shared" si="4"/>
        <v>93.342804154302669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121.93303952871341</v>
      </c>
      <c r="F46" s="41">
        <f t="shared" ref="F46" si="5">Q46/N46</f>
        <v>82.100137793768667</v>
      </c>
      <c r="G46" s="41">
        <f>R46/O46</f>
        <v>70.722141560798534</v>
      </c>
      <c r="H46" s="40"/>
      <c r="I46" s="41">
        <f t="shared" si="3"/>
        <v>97.870037113575989</v>
      </c>
      <c r="J46" s="46">
        <f>(I46/'AAU 06-07'!I46)-1</f>
        <v>4.650577079044127E-2</v>
      </c>
      <c r="K46" s="18"/>
      <c r="M46" s="39">
        <f t="shared" ref="M46:R46" si="6">SUM(M11:M44)</f>
        <v>22237</v>
      </c>
      <c r="N46" s="39">
        <f t="shared" si="6"/>
        <v>13063</v>
      </c>
      <c r="O46" s="39">
        <f t="shared" si="6"/>
        <v>12122</v>
      </c>
      <c r="P46" s="39">
        <f t="shared" si="6"/>
        <v>2711425</v>
      </c>
      <c r="Q46" s="39">
        <f t="shared" si="6"/>
        <v>1072474.1000000001</v>
      </c>
      <c r="R46" s="39">
        <f t="shared" si="6"/>
        <v>857293.79999999981</v>
      </c>
      <c r="S46" s="36">
        <f>M46+N46+O46</f>
        <v>47422</v>
      </c>
      <c r="T46" s="36">
        <f>P46+Q46+R46</f>
        <v>4641192.9000000004</v>
      </c>
      <c r="U46" s="37">
        <f>T46/S46</f>
        <v>97.870037113575989</v>
      </c>
    </row>
    <row r="47" spans="1:21" ht="13.5" customHeight="1" x14ac:dyDescent="0.3">
      <c r="A47" s="19"/>
      <c r="D47" s="44" t="s">
        <v>55</v>
      </c>
      <c r="E47" s="41">
        <f>MEDIAN(E11:E44)</f>
        <v>120.35</v>
      </c>
      <c r="F47" s="41">
        <f t="shared" ref="F47" si="7">MEDIAN(F11:F44)</f>
        <v>82.35</v>
      </c>
      <c r="G47" s="41">
        <f>MEDIAN(G11:G44)</f>
        <v>70.7</v>
      </c>
      <c r="H47" s="40"/>
      <c r="I47" s="41">
        <f>MEDIAN(I11:I44)</f>
        <v>95.36705279548849</v>
      </c>
      <c r="J47" s="46">
        <f>(I47/'AAU 06-07'!I47)-1</f>
        <v>3.0190728967877334E-2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75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73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107.1</v>
      </c>
      <c r="F11" s="20">
        <v>74.900000000000006</v>
      </c>
      <c r="G11" s="20">
        <v>66.900000000000006</v>
      </c>
      <c r="I11" s="20">
        <f>U11</f>
        <v>88.709777777777774</v>
      </c>
      <c r="J11" s="45">
        <f>(I11/'AAU 05-06'!I11)-1</f>
        <v>4.3362178624117176E-2</v>
      </c>
      <c r="K11" s="18"/>
      <c r="M11" s="38">
        <f>512+144</f>
        <v>656</v>
      </c>
      <c r="N11" s="38">
        <f>237+147</f>
        <v>384</v>
      </c>
      <c r="O11" s="38">
        <f>184+126</f>
        <v>310</v>
      </c>
      <c r="P11" s="36">
        <f t="shared" ref="P11:R44" si="0">E11*M11</f>
        <v>70257.599999999991</v>
      </c>
      <c r="Q11" s="36">
        <f t="shared" si="0"/>
        <v>28761.600000000002</v>
      </c>
      <c r="R11" s="36">
        <f t="shared" si="0"/>
        <v>20739</v>
      </c>
      <c r="S11" s="36">
        <f t="shared" ref="S11:S44" si="1">M11+N11+O11</f>
        <v>1350</v>
      </c>
      <c r="T11" s="36">
        <f t="shared" ref="T11:T44" si="2">P11+Q11+R11</f>
        <v>119758.2</v>
      </c>
      <c r="U11" s="37">
        <f>T11/S11</f>
        <v>88.709777777777774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131.30000000000001</v>
      </c>
      <c r="F12" s="20">
        <v>86.8</v>
      </c>
      <c r="G12" s="20">
        <v>76.2</v>
      </c>
      <c r="I12" s="20">
        <f t="shared" ref="I12:I46" si="3">U12</f>
        <v>112.48058950395401</v>
      </c>
      <c r="J12" s="45">
        <f>(I12/'AAU 05-06'!I12)-1</f>
        <v>4.0024220799987242E-2</v>
      </c>
      <c r="K12" s="18"/>
      <c r="M12" s="38">
        <f>663+200</f>
        <v>863</v>
      </c>
      <c r="N12" s="38">
        <f>174+101</f>
        <v>275</v>
      </c>
      <c r="O12" s="38">
        <f>155+98</f>
        <v>253</v>
      </c>
      <c r="P12" s="36">
        <f t="shared" si="0"/>
        <v>113311.90000000001</v>
      </c>
      <c r="Q12" s="36">
        <f t="shared" si="0"/>
        <v>23870</v>
      </c>
      <c r="R12" s="36">
        <f t="shared" si="0"/>
        <v>19278.600000000002</v>
      </c>
      <c r="S12" s="36">
        <f t="shared" si="1"/>
        <v>1391</v>
      </c>
      <c r="T12" s="36">
        <f t="shared" si="2"/>
        <v>156460.50000000003</v>
      </c>
      <c r="U12" s="37">
        <f t="shared" ref="U12:U44" si="4">T12/S12</f>
        <v>112.48058950395401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114</v>
      </c>
      <c r="F13" s="20">
        <v>76.5</v>
      </c>
      <c r="G13" s="20">
        <v>67.900000000000006</v>
      </c>
      <c r="I13" s="20">
        <f t="shared" si="3"/>
        <v>97.110799438990185</v>
      </c>
      <c r="J13" s="45">
        <f>(I13/'AAU 05-06'!I13)-1</f>
        <v>6.4474318371733119E-2</v>
      </c>
      <c r="K13" s="18"/>
      <c r="M13" s="38">
        <f>666+190</f>
        <v>856</v>
      </c>
      <c r="N13" s="38">
        <f>155+100</f>
        <v>255</v>
      </c>
      <c r="O13" s="38">
        <f>169+146</f>
        <v>315</v>
      </c>
      <c r="P13" s="36">
        <f t="shared" si="0"/>
        <v>97584</v>
      </c>
      <c r="Q13" s="36">
        <f t="shared" si="0"/>
        <v>19507.5</v>
      </c>
      <c r="R13" s="36">
        <f t="shared" si="0"/>
        <v>21388.5</v>
      </c>
      <c r="S13" s="36">
        <f t="shared" si="1"/>
        <v>1426</v>
      </c>
      <c r="T13" s="36">
        <f t="shared" si="2"/>
        <v>138480</v>
      </c>
      <c r="U13" s="37">
        <f t="shared" si="4"/>
        <v>97.110799438990185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117.7</v>
      </c>
      <c r="F14" s="20">
        <v>77.599999999999994</v>
      </c>
      <c r="G14" s="20">
        <v>68.5</v>
      </c>
      <c r="I14" s="20">
        <f t="shared" si="3"/>
        <v>96.111826821541698</v>
      </c>
      <c r="J14" s="45">
        <f>(I14/'AAU 05-06'!I14)-1</f>
        <v>5.1109875974693297E-2</v>
      </c>
      <c r="K14" s="18"/>
      <c r="M14" s="38">
        <f>385+108</f>
        <v>493</v>
      </c>
      <c r="N14" s="38">
        <f>127+81</f>
        <v>208</v>
      </c>
      <c r="O14" s="38">
        <f>155+91</f>
        <v>246</v>
      </c>
      <c r="P14" s="36">
        <f t="shared" si="0"/>
        <v>58026.1</v>
      </c>
      <c r="Q14" s="36">
        <f t="shared" si="0"/>
        <v>16140.8</v>
      </c>
      <c r="R14" s="36">
        <f t="shared" si="0"/>
        <v>16851</v>
      </c>
      <c r="S14" s="36">
        <f t="shared" si="1"/>
        <v>947</v>
      </c>
      <c r="T14" s="36">
        <f t="shared" si="2"/>
        <v>91017.9</v>
      </c>
      <c r="U14" s="37">
        <f t="shared" si="4"/>
        <v>96.111826821541698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133.19999999999999</v>
      </c>
      <c r="F15" s="20">
        <v>84.2</v>
      </c>
      <c r="G15" s="20">
        <v>72.099999999999994</v>
      </c>
      <c r="I15" s="20">
        <f t="shared" si="3"/>
        <v>111.77325056433409</v>
      </c>
      <c r="J15" s="45">
        <f>(I15/'AAU 05-06'!I15)-1</f>
        <v>3.9211740158143549E-2</v>
      </c>
      <c r="K15" s="18"/>
      <c r="M15" s="38">
        <f>830+259</f>
        <v>1089</v>
      </c>
      <c r="N15" s="38">
        <f>190+121</f>
        <v>311</v>
      </c>
      <c r="O15" s="38">
        <f>232+140</f>
        <v>372</v>
      </c>
      <c r="P15" s="36">
        <f t="shared" si="0"/>
        <v>145054.79999999999</v>
      </c>
      <c r="Q15" s="36">
        <f t="shared" si="0"/>
        <v>26186.2</v>
      </c>
      <c r="R15" s="36">
        <f t="shared" si="0"/>
        <v>26821.199999999997</v>
      </c>
      <c r="S15" s="36">
        <f t="shared" si="1"/>
        <v>1772</v>
      </c>
      <c r="T15" s="36">
        <f t="shared" si="2"/>
        <v>198062.2</v>
      </c>
      <c r="U15" s="37">
        <f t="shared" si="4"/>
        <v>111.77325056433409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124.4</v>
      </c>
      <c r="F16" s="20">
        <v>78</v>
      </c>
      <c r="G16" s="20">
        <v>69.8</v>
      </c>
      <c r="I16" s="20">
        <f t="shared" si="3"/>
        <v>104.43508353221958</v>
      </c>
      <c r="J16" s="45">
        <f>(I16/'AAU 05-06'!I16)-1</f>
        <v>4.9857896828683357E-2</v>
      </c>
      <c r="K16" s="18"/>
      <c r="M16" s="38">
        <f>439+69</f>
        <v>508</v>
      </c>
      <c r="N16" s="38">
        <f>106+51</f>
        <v>157</v>
      </c>
      <c r="O16" s="38">
        <f>119+54</f>
        <v>173</v>
      </c>
      <c r="P16" s="36">
        <f t="shared" si="0"/>
        <v>63195.200000000004</v>
      </c>
      <c r="Q16" s="36">
        <f t="shared" si="0"/>
        <v>12246</v>
      </c>
      <c r="R16" s="36">
        <f t="shared" si="0"/>
        <v>12075.4</v>
      </c>
      <c r="S16" s="36">
        <f t="shared" si="1"/>
        <v>838</v>
      </c>
      <c r="T16" s="36">
        <f t="shared" si="2"/>
        <v>87516.6</v>
      </c>
      <c r="U16" s="37">
        <f t="shared" si="4"/>
        <v>104.43508353221958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119.3</v>
      </c>
      <c r="F17" s="20">
        <v>74.099999999999994</v>
      </c>
      <c r="G17" s="20">
        <v>67.2</v>
      </c>
      <c r="I17" s="20">
        <f t="shared" si="3"/>
        <v>101.3753846153846</v>
      </c>
      <c r="J17" s="45">
        <f>(I17/'AAU 05-06'!I17)-1</f>
        <v>4.6428920339850466E-2</v>
      </c>
      <c r="K17" s="18"/>
      <c r="M17" s="38">
        <f>385+104</f>
        <v>489</v>
      </c>
      <c r="N17" s="38">
        <f>94+77</f>
        <v>171</v>
      </c>
      <c r="O17" s="38">
        <f>79+41</f>
        <v>120</v>
      </c>
      <c r="P17" s="36">
        <f t="shared" si="0"/>
        <v>58337.7</v>
      </c>
      <c r="Q17" s="36">
        <f t="shared" si="0"/>
        <v>12671.099999999999</v>
      </c>
      <c r="R17" s="36">
        <f t="shared" si="0"/>
        <v>8064</v>
      </c>
      <c r="S17" s="36">
        <f t="shared" si="1"/>
        <v>780</v>
      </c>
      <c r="T17" s="36">
        <f t="shared" si="2"/>
        <v>79072.799999999988</v>
      </c>
      <c r="U17" s="37">
        <f t="shared" si="4"/>
        <v>101.3753846153846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106.8</v>
      </c>
      <c r="F18" s="20">
        <v>78</v>
      </c>
      <c r="G18" s="20">
        <v>67.5</v>
      </c>
      <c r="I18" s="20">
        <f t="shared" si="3"/>
        <v>88.00122324159021</v>
      </c>
      <c r="J18" s="45">
        <f>(I18/'AAU 05-06'!I18)-1</f>
        <v>3.5691197389963181E-2</v>
      </c>
      <c r="K18" s="18"/>
      <c r="M18" s="38">
        <f>350+84</f>
        <v>434</v>
      </c>
      <c r="N18" s="38">
        <f>189+102</f>
        <v>291</v>
      </c>
      <c r="O18" s="38">
        <f>150+106</f>
        <v>256</v>
      </c>
      <c r="P18" s="36">
        <f t="shared" si="0"/>
        <v>46351.199999999997</v>
      </c>
      <c r="Q18" s="36">
        <f t="shared" si="0"/>
        <v>22698</v>
      </c>
      <c r="R18" s="36">
        <f t="shared" si="0"/>
        <v>17280</v>
      </c>
      <c r="S18" s="36">
        <f t="shared" si="1"/>
        <v>981</v>
      </c>
      <c r="T18" s="36">
        <f t="shared" si="2"/>
        <v>86329.2</v>
      </c>
      <c r="U18" s="37">
        <f t="shared" si="4"/>
        <v>88.00122324159021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107.7</v>
      </c>
      <c r="F19" s="20">
        <v>73.3</v>
      </c>
      <c r="G19" s="20">
        <v>61.9</v>
      </c>
      <c r="I19" s="20">
        <f t="shared" si="3"/>
        <v>84.37636560302866</v>
      </c>
      <c r="J19" s="45">
        <f>(I19/'AAU 05-06'!I19)-1</f>
        <v>4.1584550571177603E-2</v>
      </c>
      <c r="K19" s="18"/>
      <c r="M19" s="38">
        <f>636+134</f>
        <v>770</v>
      </c>
      <c r="N19" s="38">
        <f>363+189</f>
        <v>552</v>
      </c>
      <c r="O19" s="38">
        <f>313+214</f>
        <v>527</v>
      </c>
      <c r="P19" s="36">
        <f t="shared" si="0"/>
        <v>82929</v>
      </c>
      <c r="Q19" s="36">
        <f t="shared" si="0"/>
        <v>40461.599999999999</v>
      </c>
      <c r="R19" s="36">
        <f t="shared" si="0"/>
        <v>32621.3</v>
      </c>
      <c r="S19" s="36">
        <f t="shared" si="1"/>
        <v>1849</v>
      </c>
      <c r="T19" s="36">
        <f t="shared" si="2"/>
        <v>156011.9</v>
      </c>
      <c r="U19" s="37">
        <f t="shared" si="4"/>
        <v>84.37636560302866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120.9</v>
      </c>
      <c r="F20" s="20">
        <v>79.5</v>
      </c>
      <c r="G20" s="20">
        <v>71.7</v>
      </c>
      <c r="I20" s="20">
        <f t="shared" si="3"/>
        <v>95.63866955110872</v>
      </c>
      <c r="J20" s="45">
        <f>(I20/'AAU 05-06'!I20)-1</f>
        <v>2.9857931414076111E-2</v>
      </c>
      <c r="K20" s="18"/>
      <c r="M20" s="38">
        <f>680+138</f>
        <v>818</v>
      </c>
      <c r="N20" s="38">
        <f>346+169</f>
        <v>515</v>
      </c>
      <c r="O20" s="38">
        <f>323+193</f>
        <v>516</v>
      </c>
      <c r="P20" s="36">
        <f t="shared" si="0"/>
        <v>98896.200000000012</v>
      </c>
      <c r="Q20" s="36">
        <f t="shared" si="0"/>
        <v>40942.5</v>
      </c>
      <c r="R20" s="36">
        <f t="shared" si="0"/>
        <v>36997.200000000004</v>
      </c>
      <c r="S20" s="36">
        <f t="shared" si="1"/>
        <v>1849</v>
      </c>
      <c r="T20" s="36">
        <f t="shared" si="2"/>
        <v>176835.90000000002</v>
      </c>
      <c r="U20" s="37">
        <f t="shared" si="4"/>
        <v>95.63866955110872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109</v>
      </c>
      <c r="F21" s="20">
        <v>75.099999999999994</v>
      </c>
      <c r="G21" s="20">
        <v>66</v>
      </c>
      <c r="I21" s="20">
        <f t="shared" si="3"/>
        <v>87.759020979020974</v>
      </c>
      <c r="J21" s="45">
        <f>(I21/'AAU 05-06'!I21)-1</f>
        <v>3.6456633694643914E-2</v>
      </c>
      <c r="K21" s="18"/>
      <c r="M21" s="38">
        <f>500+136</f>
        <v>636</v>
      </c>
      <c r="N21" s="38">
        <f>254+160</f>
        <v>414</v>
      </c>
      <c r="O21" s="38">
        <f>212+168</f>
        <v>380</v>
      </c>
      <c r="P21" s="36">
        <f t="shared" si="0"/>
        <v>69324</v>
      </c>
      <c r="Q21" s="36">
        <f t="shared" si="0"/>
        <v>31091.399999999998</v>
      </c>
      <c r="R21" s="36">
        <f t="shared" si="0"/>
        <v>25080</v>
      </c>
      <c r="S21" s="36">
        <f t="shared" si="1"/>
        <v>1430</v>
      </c>
      <c r="T21" s="36">
        <f t="shared" si="2"/>
        <v>125495.4</v>
      </c>
      <c r="U21" s="37">
        <f t="shared" si="4"/>
        <v>87.759020979020974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109.8</v>
      </c>
      <c r="F22" s="20">
        <v>75.400000000000006</v>
      </c>
      <c r="G22" s="20">
        <v>65.8</v>
      </c>
      <c r="I22" s="20">
        <f t="shared" si="3"/>
        <v>87.426797385620915</v>
      </c>
      <c r="J22" s="45">
        <f>(I22/'AAU 05-06'!I22)-1</f>
        <v>3.5925416240361052E-2</v>
      </c>
      <c r="K22" s="18"/>
      <c r="M22" s="38">
        <f>404+111</f>
        <v>515</v>
      </c>
      <c r="N22" s="38">
        <f>229+168</f>
        <v>397</v>
      </c>
      <c r="O22" s="38">
        <f>168+144</f>
        <v>312</v>
      </c>
      <c r="P22" s="36">
        <f t="shared" si="0"/>
        <v>56547</v>
      </c>
      <c r="Q22" s="36">
        <f t="shared" si="0"/>
        <v>29933.800000000003</v>
      </c>
      <c r="R22" s="36">
        <f t="shared" si="0"/>
        <v>20529.599999999999</v>
      </c>
      <c r="S22" s="36">
        <f t="shared" si="1"/>
        <v>1224</v>
      </c>
      <c r="T22" s="36">
        <f t="shared" si="2"/>
        <v>107010.4</v>
      </c>
      <c r="U22" s="37">
        <f t="shared" si="4"/>
        <v>87.426797385620915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100.6</v>
      </c>
      <c r="F23" s="20">
        <v>73.7</v>
      </c>
      <c r="G23" s="20">
        <v>64.5</v>
      </c>
      <c r="I23" s="20">
        <f t="shared" si="3"/>
        <v>82.314214876033049</v>
      </c>
      <c r="J23" s="45">
        <f>(I23/'AAU 05-06'!I23)-1</f>
        <v>3.7597248502661218E-2</v>
      </c>
      <c r="K23" s="18"/>
      <c r="M23" s="38">
        <f>417+83</f>
        <v>500</v>
      </c>
      <c r="N23" s="38">
        <f>255+126</f>
        <v>381</v>
      </c>
      <c r="O23" s="38">
        <f>201+128</f>
        <v>329</v>
      </c>
      <c r="P23" s="36">
        <f t="shared" si="0"/>
        <v>50300</v>
      </c>
      <c r="Q23" s="36">
        <f t="shared" si="0"/>
        <v>28079.7</v>
      </c>
      <c r="R23" s="36">
        <f t="shared" si="0"/>
        <v>21220.5</v>
      </c>
      <c r="S23" s="36">
        <f t="shared" si="1"/>
        <v>1210</v>
      </c>
      <c r="T23" s="36">
        <f t="shared" si="2"/>
        <v>99600.2</v>
      </c>
      <c r="U23" s="37">
        <f t="shared" si="4"/>
        <v>82.314214876033049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103.9</v>
      </c>
      <c r="F24" s="20">
        <v>72.3</v>
      </c>
      <c r="G24" s="20">
        <v>62.8</v>
      </c>
      <c r="I24" s="20">
        <f t="shared" si="3"/>
        <v>82.301688182720937</v>
      </c>
      <c r="J24" s="45">
        <f>(I24/'AAU 05-06'!I24)-1</f>
        <v>5.5249606617742142E-2</v>
      </c>
      <c r="K24" s="18"/>
      <c r="M24" s="38">
        <f>321+81</f>
        <v>402</v>
      </c>
      <c r="N24" s="38">
        <f>221+107</f>
        <v>328</v>
      </c>
      <c r="O24" s="38">
        <f>142+135</f>
        <v>277</v>
      </c>
      <c r="P24" s="36">
        <f t="shared" si="0"/>
        <v>41767.800000000003</v>
      </c>
      <c r="Q24" s="36">
        <f t="shared" si="0"/>
        <v>23714.399999999998</v>
      </c>
      <c r="R24" s="36">
        <f t="shared" si="0"/>
        <v>17395.599999999999</v>
      </c>
      <c r="S24" s="36">
        <f t="shared" si="1"/>
        <v>1007</v>
      </c>
      <c r="T24" s="36">
        <f t="shared" si="2"/>
        <v>82877.799999999988</v>
      </c>
      <c r="U24" s="37">
        <f t="shared" si="4"/>
        <v>82.301688182720937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121.1</v>
      </c>
      <c r="F25" s="20">
        <v>84.2</v>
      </c>
      <c r="G25" s="20">
        <v>77.400000000000006</v>
      </c>
      <c r="I25" s="20">
        <f t="shared" si="3"/>
        <v>100.9467255334805</v>
      </c>
      <c r="J25" s="45">
        <f>(I25/'AAU 05-06'!I25)-1</f>
        <v>4.0213521307870925E-2</v>
      </c>
      <c r="K25" s="18"/>
      <c r="M25" s="38">
        <f>529+139</f>
        <v>668</v>
      </c>
      <c r="N25" s="38">
        <f>280+133</f>
        <v>413</v>
      </c>
      <c r="O25" s="38">
        <f>169+109</f>
        <v>278</v>
      </c>
      <c r="P25" s="36">
        <f t="shared" si="0"/>
        <v>80894.8</v>
      </c>
      <c r="Q25" s="36">
        <f t="shared" si="0"/>
        <v>34774.6</v>
      </c>
      <c r="R25" s="36">
        <f t="shared" si="0"/>
        <v>21517.200000000001</v>
      </c>
      <c r="S25" s="36">
        <f t="shared" si="1"/>
        <v>1359</v>
      </c>
      <c r="T25" s="36">
        <f t="shared" si="2"/>
        <v>137186.6</v>
      </c>
      <c r="U25" s="37">
        <f t="shared" si="4"/>
        <v>100.9467255334805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130.4</v>
      </c>
      <c r="F26" s="20">
        <v>86.6</v>
      </c>
      <c r="G26" s="20">
        <v>75</v>
      </c>
      <c r="I26" s="20">
        <f t="shared" si="3"/>
        <v>103.98179074446681</v>
      </c>
      <c r="J26" s="45">
        <f>(I26/'AAU 05-06'!I26)-1</f>
        <v>3.6718407088839333E-2</v>
      </c>
      <c r="K26" s="18"/>
      <c r="M26" s="38">
        <f>738+195</f>
        <v>933</v>
      </c>
      <c r="N26" s="38">
        <f>298+213</f>
        <v>511</v>
      </c>
      <c r="O26" s="38">
        <f>314+230</f>
        <v>544</v>
      </c>
      <c r="P26" s="36">
        <f t="shared" si="0"/>
        <v>121663.20000000001</v>
      </c>
      <c r="Q26" s="36">
        <f t="shared" si="0"/>
        <v>44252.6</v>
      </c>
      <c r="R26" s="36">
        <f t="shared" si="0"/>
        <v>40800</v>
      </c>
      <c r="S26" s="36">
        <f t="shared" si="1"/>
        <v>1988</v>
      </c>
      <c r="T26" s="36">
        <f t="shared" si="2"/>
        <v>206715.80000000002</v>
      </c>
      <c r="U26" s="37">
        <f t="shared" si="4"/>
        <v>103.98179074446681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110.2</v>
      </c>
      <c r="F27" s="20">
        <v>79.2</v>
      </c>
      <c r="G27" s="20">
        <v>61.8</v>
      </c>
      <c r="I27" s="20">
        <f t="shared" si="3"/>
        <v>87.559354226020886</v>
      </c>
      <c r="J27" s="45">
        <f>(I27/'AAU 05-06'!I27)-1</f>
        <v>2.6655714548837084E-2</v>
      </c>
      <c r="K27" s="18"/>
      <c r="M27" s="38">
        <f>729+197</f>
        <v>926</v>
      </c>
      <c r="N27" s="38">
        <f>337+205</f>
        <v>542</v>
      </c>
      <c r="O27" s="38">
        <f>349+289</f>
        <v>638</v>
      </c>
      <c r="P27" s="36">
        <f t="shared" si="0"/>
        <v>102045.2</v>
      </c>
      <c r="Q27" s="36">
        <f t="shared" si="0"/>
        <v>42926.400000000001</v>
      </c>
      <c r="R27" s="36">
        <f t="shared" si="0"/>
        <v>39428.400000000001</v>
      </c>
      <c r="S27" s="36">
        <f t="shared" si="1"/>
        <v>2106</v>
      </c>
      <c r="T27" s="36">
        <f t="shared" si="2"/>
        <v>184400</v>
      </c>
      <c r="U27" s="37">
        <f t="shared" si="4"/>
        <v>87.559354226020886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116.6</v>
      </c>
      <c r="F28" s="20">
        <v>80.599999999999994</v>
      </c>
      <c r="G28" s="20">
        <v>69.400000000000006</v>
      </c>
      <c r="I28" s="20">
        <f t="shared" si="3"/>
        <v>95.375442739079105</v>
      </c>
      <c r="J28" s="45">
        <f>(I28/'AAU 05-06'!I28)-1</f>
        <v>5.8773559158909139E-2</v>
      </c>
      <c r="K28" s="18"/>
      <c r="M28" s="38">
        <f>648+163</f>
        <v>811</v>
      </c>
      <c r="N28" s="38">
        <f>303+208</f>
        <v>511</v>
      </c>
      <c r="O28" s="38">
        <f>214+158</f>
        <v>372</v>
      </c>
      <c r="P28" s="36">
        <f t="shared" si="0"/>
        <v>94562.599999999991</v>
      </c>
      <c r="Q28" s="36">
        <f t="shared" si="0"/>
        <v>41186.6</v>
      </c>
      <c r="R28" s="36">
        <f t="shared" si="0"/>
        <v>25816.800000000003</v>
      </c>
      <c r="S28" s="36">
        <f t="shared" si="1"/>
        <v>1694</v>
      </c>
      <c r="T28" s="36">
        <f t="shared" si="2"/>
        <v>161566</v>
      </c>
      <c r="U28" s="37">
        <f t="shared" si="4"/>
        <v>95.375442739079105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100.7</v>
      </c>
      <c r="F29" s="25">
        <v>68.5</v>
      </c>
      <c r="G29" s="25">
        <v>56.6</v>
      </c>
      <c r="H29" s="24"/>
      <c r="I29" s="25">
        <f t="shared" si="3"/>
        <v>74.549194312796217</v>
      </c>
      <c r="J29" s="47">
        <f>(I29/'AAU 05-06'!I29)-1</f>
        <v>3.4787587303362288E-2</v>
      </c>
      <c r="K29" s="18"/>
      <c r="M29" s="38">
        <f>263+76</f>
        <v>339</v>
      </c>
      <c r="N29" s="38">
        <f>218+117</f>
        <v>335</v>
      </c>
      <c r="O29" s="38">
        <f>207+174</f>
        <v>381</v>
      </c>
      <c r="P29" s="36">
        <f t="shared" si="0"/>
        <v>34137.300000000003</v>
      </c>
      <c r="Q29" s="36">
        <f t="shared" si="0"/>
        <v>22947.5</v>
      </c>
      <c r="R29" s="36">
        <f t="shared" si="0"/>
        <v>21564.600000000002</v>
      </c>
      <c r="S29" s="36">
        <f t="shared" si="1"/>
        <v>1055</v>
      </c>
      <c r="T29" s="36">
        <f t="shared" si="2"/>
        <v>78649.400000000009</v>
      </c>
      <c r="U29" s="37">
        <f t="shared" si="4"/>
        <v>74.549194312796217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101.1</v>
      </c>
      <c r="F30" s="20">
        <v>71.7</v>
      </c>
      <c r="G30" s="20">
        <v>62.9</v>
      </c>
      <c r="I30" s="20">
        <f>U30</f>
        <v>84.16058700209642</v>
      </c>
      <c r="J30" s="45">
        <f>(I30/'AAU 05-06'!I30)-1</f>
        <v>3.6644151421822313E-2</v>
      </c>
      <c r="K30" s="18"/>
      <c r="M30" s="38">
        <f>392+71</f>
        <v>463</v>
      </c>
      <c r="N30" s="38">
        <f>202+93</f>
        <v>295</v>
      </c>
      <c r="O30" s="38">
        <f>128+68</f>
        <v>196</v>
      </c>
      <c r="P30" s="36">
        <f t="shared" si="0"/>
        <v>46809.299999999996</v>
      </c>
      <c r="Q30" s="36">
        <f t="shared" si="0"/>
        <v>21151.5</v>
      </c>
      <c r="R30" s="36">
        <f t="shared" si="0"/>
        <v>12328.4</v>
      </c>
      <c r="S30" s="36">
        <f t="shared" si="1"/>
        <v>954</v>
      </c>
      <c r="T30" s="36">
        <f t="shared" si="2"/>
        <v>80289.199999999983</v>
      </c>
      <c r="U30" s="37">
        <f>T30/S30</f>
        <v>84.16058700209642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126.8</v>
      </c>
      <c r="F31" s="20">
        <v>85.5</v>
      </c>
      <c r="G31" s="20">
        <v>71.8</v>
      </c>
      <c r="I31" s="20">
        <f t="shared" si="3"/>
        <v>101.59008333333333</v>
      </c>
      <c r="J31" s="45">
        <f>(I31/'AAU 05-06'!I31)-1</f>
        <v>0.10023494289904678</v>
      </c>
      <c r="K31" s="18"/>
      <c r="M31" s="38">
        <f>442+130</f>
        <v>572</v>
      </c>
      <c r="N31" s="38">
        <f>193+120</f>
        <v>313</v>
      </c>
      <c r="O31" s="38">
        <f>170+145</f>
        <v>315</v>
      </c>
      <c r="P31" s="36">
        <f t="shared" si="0"/>
        <v>72529.599999999991</v>
      </c>
      <c r="Q31" s="36">
        <f t="shared" si="0"/>
        <v>26761.5</v>
      </c>
      <c r="R31" s="36">
        <f t="shared" si="0"/>
        <v>22617</v>
      </c>
      <c r="S31" s="36">
        <f t="shared" si="1"/>
        <v>1200</v>
      </c>
      <c r="T31" s="36">
        <f t="shared" si="2"/>
        <v>121908.09999999999</v>
      </c>
      <c r="U31" s="37">
        <f t="shared" si="4"/>
        <v>101.59008333333333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117.2</v>
      </c>
      <c r="F32" s="20">
        <v>76.900000000000006</v>
      </c>
      <c r="G32" s="20">
        <v>69.400000000000006</v>
      </c>
      <c r="I32" s="20">
        <f t="shared" si="3"/>
        <v>92.639694656488544</v>
      </c>
      <c r="J32" s="45">
        <f>(I32/'AAU 05-06'!I32)-1</f>
        <v>3.9155799343769226E-2</v>
      </c>
      <c r="K32" s="18"/>
      <c r="M32" s="38">
        <f>789+177</f>
        <v>966</v>
      </c>
      <c r="N32" s="38">
        <f>475+269</f>
        <v>744</v>
      </c>
      <c r="O32" s="38">
        <f>299+218</f>
        <v>517</v>
      </c>
      <c r="P32" s="36">
        <f t="shared" si="0"/>
        <v>113215.2</v>
      </c>
      <c r="Q32" s="36">
        <f t="shared" si="0"/>
        <v>57213.600000000006</v>
      </c>
      <c r="R32" s="36">
        <f t="shared" si="0"/>
        <v>35879.800000000003</v>
      </c>
      <c r="S32" s="36">
        <f t="shared" si="1"/>
        <v>2227</v>
      </c>
      <c r="T32" s="36">
        <f t="shared" si="2"/>
        <v>206308.59999999998</v>
      </c>
      <c r="U32" s="37">
        <f t="shared" si="4"/>
        <v>92.639694656488544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88.3</v>
      </c>
      <c r="F33" s="20">
        <v>62.1</v>
      </c>
      <c r="G33" s="20">
        <v>60</v>
      </c>
      <c r="I33" s="20">
        <f t="shared" si="3"/>
        <v>70.666610455311968</v>
      </c>
      <c r="J33" s="45">
        <f>(I33/'AAU 05-06'!I33)-1</f>
        <v>1.4990914727121885E-2</v>
      </c>
      <c r="K33" s="18"/>
      <c r="M33" s="38">
        <f>156+52</f>
        <v>208</v>
      </c>
      <c r="N33" s="38">
        <f>136+73</f>
        <v>209</v>
      </c>
      <c r="O33" s="38">
        <f>94+82</f>
        <v>176</v>
      </c>
      <c r="P33" s="36">
        <f t="shared" si="0"/>
        <v>18366.399999999998</v>
      </c>
      <c r="Q33" s="36">
        <f t="shared" si="0"/>
        <v>12978.9</v>
      </c>
      <c r="R33" s="36">
        <f t="shared" si="0"/>
        <v>10560</v>
      </c>
      <c r="S33" s="36">
        <f t="shared" si="1"/>
        <v>593</v>
      </c>
      <c r="T33" s="36">
        <f t="shared" si="2"/>
        <v>41905.299999999996</v>
      </c>
      <c r="U33" s="37">
        <f t="shared" si="4"/>
        <v>70.666610455311968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120.2</v>
      </c>
      <c r="F34" s="20">
        <v>81.400000000000006</v>
      </c>
      <c r="G34" s="20">
        <v>68.2</v>
      </c>
      <c r="I34" s="20">
        <f t="shared" si="3"/>
        <v>95.675903614457837</v>
      </c>
      <c r="J34" s="45">
        <f>(I34/'AAU 05-06'!I34)-1</f>
        <v>3.9660465998112793E-2</v>
      </c>
      <c r="K34" s="18"/>
      <c r="M34" s="38">
        <f>619+135</f>
        <v>754</v>
      </c>
      <c r="N34" s="38">
        <f>317+168</f>
        <v>485</v>
      </c>
      <c r="O34" s="38">
        <f>242+179</f>
        <v>421</v>
      </c>
      <c r="P34" s="36">
        <f t="shared" si="0"/>
        <v>90630.8</v>
      </c>
      <c r="Q34" s="36">
        <f t="shared" si="0"/>
        <v>39479</v>
      </c>
      <c r="R34" s="36">
        <f t="shared" si="0"/>
        <v>28712.2</v>
      </c>
      <c r="S34" s="36">
        <f t="shared" si="1"/>
        <v>1660</v>
      </c>
      <c r="T34" s="36">
        <f t="shared" si="2"/>
        <v>158822</v>
      </c>
      <c r="U34" s="37">
        <f t="shared" si="4"/>
        <v>95.675903614457837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119.5</v>
      </c>
      <c r="F35" s="20">
        <v>78.2</v>
      </c>
      <c r="G35" s="20">
        <v>66.400000000000006</v>
      </c>
      <c r="I35" s="20">
        <f t="shared" si="3"/>
        <v>88.452528901734112</v>
      </c>
      <c r="J35" s="45">
        <f>(I35/'AAU 05-06'!I35)-1</f>
        <v>3.9254431044499549E-2</v>
      </c>
      <c r="K35" s="18"/>
      <c r="M35" s="38">
        <f>373+110</f>
        <v>483</v>
      </c>
      <c r="N35" s="38">
        <f>279+134</f>
        <v>413</v>
      </c>
      <c r="O35" s="38">
        <f>245+243</f>
        <v>488</v>
      </c>
      <c r="P35" s="36">
        <f t="shared" si="0"/>
        <v>57718.5</v>
      </c>
      <c r="Q35" s="36">
        <f t="shared" si="0"/>
        <v>32296.600000000002</v>
      </c>
      <c r="R35" s="36">
        <f t="shared" si="0"/>
        <v>32403.200000000004</v>
      </c>
      <c r="S35" s="36">
        <f t="shared" si="1"/>
        <v>1384</v>
      </c>
      <c r="T35" s="36">
        <f t="shared" si="2"/>
        <v>122418.30000000002</v>
      </c>
      <c r="U35" s="37">
        <f t="shared" si="4"/>
        <v>88.452528901734112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107.6</v>
      </c>
      <c r="F36" s="20">
        <v>74.8</v>
      </c>
      <c r="G36" s="20">
        <v>66.8</v>
      </c>
      <c r="I36" s="20">
        <f t="shared" si="3"/>
        <v>86.239782016348769</v>
      </c>
      <c r="J36" s="45">
        <f>(I36/'AAU 05-06'!I36)-1</f>
        <v>2.3501972936724957E-2</v>
      </c>
      <c r="K36" s="18"/>
      <c r="M36" s="38">
        <f>669+101</f>
        <v>770</v>
      </c>
      <c r="N36" s="38">
        <f>375+157</f>
        <v>532</v>
      </c>
      <c r="O36" s="38">
        <f>320+213</f>
        <v>533</v>
      </c>
      <c r="P36" s="36">
        <f t="shared" si="0"/>
        <v>82852</v>
      </c>
      <c r="Q36" s="36">
        <f t="shared" si="0"/>
        <v>39793.599999999999</v>
      </c>
      <c r="R36" s="36">
        <f t="shared" si="0"/>
        <v>35604.400000000001</v>
      </c>
      <c r="S36" s="36">
        <f t="shared" si="1"/>
        <v>1835</v>
      </c>
      <c r="T36" s="36">
        <f t="shared" si="2"/>
        <v>158250</v>
      </c>
      <c r="U36" s="37">
        <f t="shared" si="4"/>
        <v>86.239782016348769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123.8</v>
      </c>
      <c r="F37" s="20">
        <v>85</v>
      </c>
      <c r="G37" s="20">
        <v>68.7</v>
      </c>
      <c r="I37" s="20">
        <f t="shared" si="3"/>
        <v>101.77584229390681</v>
      </c>
      <c r="J37" s="45">
        <f>(I37/'AAU 05-06'!I37)-1</f>
        <v>5.9375895018159985E-2</v>
      </c>
      <c r="K37" s="18"/>
      <c r="M37" s="38">
        <f>581+136</f>
        <v>717</v>
      </c>
      <c r="N37" s="38">
        <f>237+170</f>
        <v>407</v>
      </c>
      <c r="O37" s="38">
        <f>151+120</f>
        <v>271</v>
      </c>
      <c r="P37" s="36">
        <f t="shared" si="0"/>
        <v>88764.599999999991</v>
      </c>
      <c r="Q37" s="36">
        <f t="shared" si="0"/>
        <v>34595</v>
      </c>
      <c r="R37" s="36">
        <f t="shared" si="0"/>
        <v>18617.7</v>
      </c>
      <c r="S37" s="36">
        <f t="shared" si="1"/>
        <v>1395</v>
      </c>
      <c r="T37" s="36">
        <f t="shared" si="2"/>
        <v>141977.29999999999</v>
      </c>
      <c r="U37" s="37">
        <f t="shared" si="4"/>
        <v>101.77584229390681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116.6</v>
      </c>
      <c r="F38" s="20">
        <v>81.2</v>
      </c>
      <c r="G38" s="20">
        <v>66.599999999999994</v>
      </c>
      <c r="I38" s="20">
        <f t="shared" si="3"/>
        <v>88.413545816733063</v>
      </c>
      <c r="J38" s="45">
        <f>(I38/'AAU 05-06'!I38)-1</f>
        <v>4.5629081256184367E-2</v>
      </c>
      <c r="K38" s="18"/>
      <c r="M38" s="38">
        <f>299+52</f>
        <v>351</v>
      </c>
      <c r="N38" s="38">
        <f>186+112</f>
        <v>298</v>
      </c>
      <c r="O38" s="38">
        <f>195+160</f>
        <v>355</v>
      </c>
      <c r="P38" s="36">
        <f t="shared" si="0"/>
        <v>40926.6</v>
      </c>
      <c r="Q38" s="36">
        <f t="shared" si="0"/>
        <v>24197.600000000002</v>
      </c>
      <c r="R38" s="36">
        <f t="shared" si="0"/>
        <v>23642.999999999996</v>
      </c>
      <c r="S38" s="36">
        <f t="shared" si="1"/>
        <v>1004</v>
      </c>
      <c r="T38" s="36">
        <f t="shared" si="2"/>
        <v>88767.2</v>
      </c>
      <c r="U38" s="37">
        <f t="shared" si="4"/>
        <v>88.413545816733063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116.4</v>
      </c>
      <c r="F39" s="20">
        <v>85.9</v>
      </c>
      <c r="G39" s="20">
        <v>68.900000000000006</v>
      </c>
      <c r="I39" s="20">
        <f t="shared" si="3"/>
        <v>95.077272727272728</v>
      </c>
      <c r="J39" s="45">
        <f>(I39/'AAU 05-06'!I39)-1</f>
        <v>5.1544790614647118E-2</v>
      </c>
      <c r="K39" s="18"/>
      <c r="M39" s="38">
        <f>237+53</f>
        <v>290</v>
      </c>
      <c r="N39" s="38">
        <f>122+84</f>
        <v>206</v>
      </c>
      <c r="O39" s="38">
        <f>94+70</f>
        <v>164</v>
      </c>
      <c r="P39" s="36">
        <f t="shared" si="0"/>
        <v>33756</v>
      </c>
      <c r="Q39" s="36">
        <f t="shared" si="0"/>
        <v>17695.400000000001</v>
      </c>
      <c r="R39" s="36">
        <f t="shared" si="0"/>
        <v>11299.6</v>
      </c>
      <c r="S39" s="36">
        <f t="shared" si="1"/>
        <v>660</v>
      </c>
      <c r="T39" s="36">
        <f t="shared" si="2"/>
        <v>62751</v>
      </c>
      <c r="U39" s="37">
        <f t="shared" si="4"/>
        <v>95.077272727272728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121.2</v>
      </c>
      <c r="F40" s="20">
        <v>78.3</v>
      </c>
      <c r="G40" s="20">
        <v>75.099999999999994</v>
      </c>
      <c r="I40" s="20">
        <f t="shared" si="3"/>
        <v>99.731353665061533</v>
      </c>
      <c r="J40" s="45">
        <f>(I40/'AAU 05-06'!I40)-1</f>
        <v>4.7946663397006928E-2</v>
      </c>
      <c r="K40" s="18"/>
      <c r="M40" s="38">
        <f>797+171</f>
        <v>968</v>
      </c>
      <c r="N40" s="38">
        <f>272+169</f>
        <v>441</v>
      </c>
      <c r="O40" s="38">
        <f>282+178</f>
        <v>460</v>
      </c>
      <c r="P40" s="36">
        <f t="shared" si="0"/>
        <v>117321.60000000001</v>
      </c>
      <c r="Q40" s="36">
        <f t="shared" si="0"/>
        <v>34530.299999999996</v>
      </c>
      <c r="R40" s="36">
        <f t="shared" si="0"/>
        <v>34546</v>
      </c>
      <c r="S40" s="36">
        <f t="shared" si="1"/>
        <v>1869</v>
      </c>
      <c r="T40" s="36">
        <f t="shared" si="2"/>
        <v>186397.9</v>
      </c>
      <c r="U40" s="37">
        <f t="shared" si="4"/>
        <v>99.731353665061533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107.4</v>
      </c>
      <c r="F41" s="20">
        <v>76</v>
      </c>
      <c r="G41" s="20">
        <v>67.3</v>
      </c>
      <c r="I41" s="20">
        <f t="shared" si="3"/>
        <v>88.801477541371156</v>
      </c>
      <c r="J41" s="45">
        <f>(I41/'AAU 05-06'!I41)-1</f>
        <v>2.5238462581832932E-2</v>
      </c>
      <c r="K41" s="18"/>
      <c r="M41" s="38">
        <f>721+91</f>
        <v>812</v>
      </c>
      <c r="N41" s="38">
        <f>326+113</f>
        <v>439</v>
      </c>
      <c r="O41" s="38">
        <f>283+158</f>
        <v>441</v>
      </c>
      <c r="P41" s="36">
        <f t="shared" si="0"/>
        <v>87208.8</v>
      </c>
      <c r="Q41" s="36">
        <f t="shared" si="0"/>
        <v>33364</v>
      </c>
      <c r="R41" s="36">
        <f t="shared" si="0"/>
        <v>29679.3</v>
      </c>
      <c r="S41" s="36">
        <f t="shared" si="1"/>
        <v>1692</v>
      </c>
      <c r="T41" s="36">
        <f t="shared" si="2"/>
        <v>150252.1</v>
      </c>
      <c r="U41" s="37">
        <f t="shared" si="4"/>
        <v>88.801477541371156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128</v>
      </c>
      <c r="F42" s="20">
        <v>87.7</v>
      </c>
      <c r="G42" s="20">
        <v>71.099999999999994</v>
      </c>
      <c r="I42" s="20">
        <f t="shared" si="3"/>
        <v>103.08378623188406</v>
      </c>
      <c r="J42" s="45">
        <f>(I42/'AAU 05-06'!I42)-1</f>
        <v>3.6894333994671014E-2</v>
      </c>
      <c r="K42" s="18"/>
      <c r="M42" s="38">
        <f>441+90</f>
        <v>531</v>
      </c>
      <c r="N42" s="38">
        <f>207+100</f>
        <v>307</v>
      </c>
      <c r="O42" s="38">
        <f>132+134</f>
        <v>266</v>
      </c>
      <c r="P42" s="36">
        <f t="shared" si="0"/>
        <v>67968</v>
      </c>
      <c r="Q42" s="36">
        <f t="shared" si="0"/>
        <v>26923.9</v>
      </c>
      <c r="R42" s="36">
        <f t="shared" si="0"/>
        <v>18912.599999999999</v>
      </c>
      <c r="S42" s="36">
        <f t="shared" si="1"/>
        <v>1104</v>
      </c>
      <c r="T42" s="36">
        <f t="shared" si="2"/>
        <v>113804.5</v>
      </c>
      <c r="U42" s="37">
        <f t="shared" si="4"/>
        <v>103.08378623188406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108.9</v>
      </c>
      <c r="F43" s="20">
        <v>77.2</v>
      </c>
      <c r="G43" s="20">
        <v>70.900000000000006</v>
      </c>
      <c r="I43" s="20">
        <f t="shared" si="3"/>
        <v>92.50476474091721</v>
      </c>
      <c r="J43" s="45">
        <f>(I43/'AAU 05-06'!I43)-1</f>
        <v>6.6102285541465911E-2</v>
      </c>
      <c r="K43" s="18"/>
      <c r="M43" s="38">
        <f>669+208</f>
        <v>877</v>
      </c>
      <c r="N43" s="38">
        <f>273+195</f>
        <v>468</v>
      </c>
      <c r="O43" s="38">
        <f>176+158</f>
        <v>334</v>
      </c>
      <c r="P43" s="36">
        <f t="shared" si="0"/>
        <v>95505.3</v>
      </c>
      <c r="Q43" s="36">
        <f t="shared" si="0"/>
        <v>36129.599999999999</v>
      </c>
      <c r="R43" s="36">
        <f t="shared" si="0"/>
        <v>23680.600000000002</v>
      </c>
      <c r="S43" s="36">
        <f t="shared" si="1"/>
        <v>1679</v>
      </c>
      <c r="T43" s="36">
        <f t="shared" si="2"/>
        <v>155315.5</v>
      </c>
      <c r="U43" s="37">
        <f t="shared" si="4"/>
        <v>92.50476474091721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103.5</v>
      </c>
      <c r="F44" s="20">
        <v>78.099999999999994</v>
      </c>
      <c r="G44" s="20">
        <v>66</v>
      </c>
      <c r="I44" s="20">
        <f t="shared" si="3"/>
        <v>89.297277936962757</v>
      </c>
      <c r="J44" s="45">
        <f>(I44/'AAU 05-06'!I44)-1</f>
        <v>2.6714881813965086E-2</v>
      </c>
      <c r="K44" s="18"/>
      <c r="M44" s="38">
        <f>590+195</f>
        <v>785</v>
      </c>
      <c r="N44" s="38">
        <f>157+98</f>
        <v>255</v>
      </c>
      <c r="O44" s="38">
        <f>198+158</f>
        <v>356</v>
      </c>
      <c r="P44" s="36">
        <f t="shared" si="0"/>
        <v>81247.5</v>
      </c>
      <c r="Q44" s="36">
        <f t="shared" si="0"/>
        <v>19915.5</v>
      </c>
      <c r="R44" s="36">
        <f t="shared" si="0"/>
        <v>23496</v>
      </c>
      <c r="S44" s="36">
        <f t="shared" si="1"/>
        <v>1396</v>
      </c>
      <c r="T44" s="36">
        <f t="shared" si="2"/>
        <v>124659</v>
      </c>
      <c r="U44" s="37">
        <f t="shared" si="4"/>
        <v>89.297277936962757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115.93968453691639</v>
      </c>
      <c r="F46" s="41">
        <f t="shared" ref="F46" si="5">Q46/N46</f>
        <v>78.305907701950957</v>
      </c>
      <c r="G46" s="41">
        <f>R46/O46</f>
        <v>67.898477968382096</v>
      </c>
      <c r="H46" s="40"/>
      <c r="I46" s="41">
        <f t="shared" si="3"/>
        <v>93.520781103436533</v>
      </c>
      <c r="J46" s="46">
        <f>(I46/'AAU 05-06'!I46)-1</f>
        <v>4.2411771415011623E-2</v>
      </c>
      <c r="K46" s="18"/>
      <c r="M46" s="39">
        <f t="shared" ref="M46:R46" si="6">SUM(M11:M44)</f>
        <v>22253</v>
      </c>
      <c r="N46" s="39">
        <f t="shared" si="6"/>
        <v>12763</v>
      </c>
      <c r="O46" s="39">
        <f t="shared" si="6"/>
        <v>11892</v>
      </c>
      <c r="P46" s="39">
        <f t="shared" si="6"/>
        <v>2580005.8000000003</v>
      </c>
      <c r="Q46" s="39">
        <f t="shared" si="6"/>
        <v>999418.3</v>
      </c>
      <c r="R46" s="39">
        <f t="shared" si="6"/>
        <v>807448.7</v>
      </c>
      <c r="S46" s="36">
        <f>M46+N46+O46</f>
        <v>46908</v>
      </c>
      <c r="T46" s="36">
        <f>P46+Q46+R46</f>
        <v>4386872.8000000007</v>
      </c>
      <c r="U46" s="37">
        <f>T46/S46</f>
        <v>93.520781103436533</v>
      </c>
    </row>
    <row r="47" spans="1:21" ht="13.5" customHeight="1" x14ac:dyDescent="0.3">
      <c r="A47" s="19"/>
      <c r="D47" s="44" t="s">
        <v>55</v>
      </c>
      <c r="E47" s="41">
        <f>MEDIAN(E11:E44)</f>
        <v>116.5</v>
      </c>
      <c r="F47" s="41">
        <f t="shared" ref="F47" si="7">MEDIAN(F11:F44)</f>
        <v>78</v>
      </c>
      <c r="G47" s="41">
        <f>MEDIAN(G11:G44)</f>
        <v>67.7</v>
      </c>
      <c r="H47" s="40"/>
      <c r="I47" s="41">
        <f>MEDIAN(I11:I44)</f>
        <v>92.57222969870287</v>
      </c>
      <c r="J47" s="46">
        <f>(I47/'AAU 05-06'!I47)-1</f>
        <v>5.1223818926356302E-2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74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8937-90DA-4017-8922-A994C971CED7}">
  <dimension ref="A1:U57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123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159.19999999999999</v>
      </c>
      <c r="F11" s="20">
        <v>109.9</v>
      </c>
      <c r="G11" s="20">
        <v>90.6</v>
      </c>
      <c r="I11" s="20">
        <f>U11</f>
        <v>123.69080118694362</v>
      </c>
      <c r="J11" s="45">
        <f>(I11/'AAU 22-23'!I11)-1</f>
        <v>3.867104385797826E-2</v>
      </c>
      <c r="K11" s="18"/>
      <c r="M11" s="38">
        <f>450+212</f>
        <v>662</v>
      </c>
      <c r="N11" s="38">
        <f>290+246</f>
        <v>536</v>
      </c>
      <c r="O11" s="38">
        <f>231+256</f>
        <v>487</v>
      </c>
      <c r="P11" s="36">
        <f t="shared" ref="P11:R48" si="0">E11*M11</f>
        <v>105390.39999999999</v>
      </c>
      <c r="Q11" s="36">
        <f t="shared" si="0"/>
        <v>58906.400000000001</v>
      </c>
      <c r="R11" s="36">
        <f t="shared" si="0"/>
        <v>44122.2</v>
      </c>
      <c r="S11" s="36">
        <f t="shared" ref="S11:S48" si="1">M11+N11+O11</f>
        <v>1685</v>
      </c>
      <c r="T11" s="36">
        <f t="shared" ref="T11:T48" si="2">P11+Q11+R11</f>
        <v>208419</v>
      </c>
      <c r="U11" s="37">
        <f>T11/S11</f>
        <v>123.69080118694362</v>
      </c>
    </row>
    <row r="12" spans="1:21" ht="13.5" customHeight="1" x14ac:dyDescent="0.3">
      <c r="A12" s="19"/>
      <c r="B12" s="48" t="s">
        <v>66</v>
      </c>
      <c r="C12" s="31">
        <v>2</v>
      </c>
      <c r="D12" s="1" t="s">
        <v>126</v>
      </c>
      <c r="E12" s="20">
        <v>166.5</v>
      </c>
      <c r="F12" s="20">
        <v>118.1</v>
      </c>
      <c r="G12" s="20">
        <v>95.9</v>
      </c>
      <c r="I12" s="20">
        <f>U12</f>
        <v>129.4539793814433</v>
      </c>
      <c r="J12" s="45">
        <f>(I12/'AAU 22-23'!I12)-1</f>
        <v>3.7483395957218946E-2</v>
      </c>
      <c r="K12" s="18"/>
      <c r="M12" s="38">
        <f>575+331</f>
        <v>906</v>
      </c>
      <c r="N12" s="38">
        <f>420+364</f>
        <v>784</v>
      </c>
      <c r="O12" s="38">
        <f>330+405</f>
        <v>735</v>
      </c>
      <c r="P12" s="36">
        <f>E12*M12</f>
        <v>150849</v>
      </c>
      <c r="Q12" s="36">
        <f t="shared" si="0"/>
        <v>92590.399999999994</v>
      </c>
      <c r="R12" s="36">
        <f t="shared" si="0"/>
        <v>70486.5</v>
      </c>
      <c r="S12" s="36">
        <f>M12+N12+O12</f>
        <v>2425</v>
      </c>
      <c r="T12" s="36">
        <f>P12+Q12+R12</f>
        <v>313925.90000000002</v>
      </c>
      <c r="U12" s="37">
        <f>T12/S12</f>
        <v>129.4539793814433</v>
      </c>
    </row>
    <row r="13" spans="1:21" ht="13.5" customHeight="1" x14ac:dyDescent="0.3">
      <c r="A13" s="19"/>
      <c r="C13" s="31">
        <v>3</v>
      </c>
      <c r="D13" s="1" t="s">
        <v>12</v>
      </c>
      <c r="E13" s="20">
        <v>220.5</v>
      </c>
      <c r="F13" s="20">
        <v>151.5</v>
      </c>
      <c r="G13" s="20">
        <v>130.9</v>
      </c>
      <c r="I13" s="20">
        <f t="shared" ref="I13:I48" si="3">U13</f>
        <v>184.88801302931594</v>
      </c>
      <c r="J13" s="45">
        <f>(I13/'AAU 22-23'!I13)-1</f>
        <v>-4.8835780801721018E-2</v>
      </c>
      <c r="K13" s="18"/>
      <c r="M13" s="38">
        <f>535+303</f>
        <v>838</v>
      </c>
      <c r="N13" s="38">
        <f>217+161</f>
        <v>378</v>
      </c>
      <c r="O13" s="38">
        <f>152+167</f>
        <v>319</v>
      </c>
      <c r="P13" s="36">
        <f>E13*M13</f>
        <v>184779</v>
      </c>
      <c r="Q13" s="36">
        <f t="shared" si="0"/>
        <v>57267</v>
      </c>
      <c r="R13" s="36">
        <f>G13*O13</f>
        <v>41757.1</v>
      </c>
      <c r="S13" s="36">
        <f>M13+N13+O13</f>
        <v>1535</v>
      </c>
      <c r="T13" s="36">
        <f>P13+Q13+R13</f>
        <v>283803.09999999998</v>
      </c>
      <c r="U13" s="37">
        <f t="shared" ref="U13:U48" si="4">T13/S13</f>
        <v>184.88801302931594</v>
      </c>
    </row>
    <row r="14" spans="1:21" ht="13.5" customHeight="1" x14ac:dyDescent="0.3">
      <c r="A14" s="19"/>
      <c r="C14" s="31">
        <v>4</v>
      </c>
      <c r="D14" s="1" t="s">
        <v>13</v>
      </c>
      <c r="E14" s="20">
        <v>186.7</v>
      </c>
      <c r="F14" s="20">
        <v>127.5</v>
      </c>
      <c r="G14" s="20">
        <v>114.7</v>
      </c>
      <c r="I14" s="20">
        <f t="shared" si="3"/>
        <v>160.06190476190474</v>
      </c>
      <c r="J14" s="45">
        <f>(I14/'AAU 22-23'!I14)-1</f>
        <v>-6.5144118605148349E-2</v>
      </c>
      <c r="K14" s="18"/>
      <c r="M14" s="38">
        <f>447+242</f>
        <v>689</v>
      </c>
      <c r="N14" s="38">
        <f>149+143</f>
        <v>292</v>
      </c>
      <c r="O14" s="38">
        <f>101+94</f>
        <v>195</v>
      </c>
      <c r="P14" s="36">
        <f t="shared" si="0"/>
        <v>128636.29999999999</v>
      </c>
      <c r="Q14" s="36">
        <f t="shared" si="0"/>
        <v>37230</v>
      </c>
      <c r="R14" s="36">
        <f t="shared" si="0"/>
        <v>22366.5</v>
      </c>
      <c r="S14" s="36">
        <f t="shared" si="1"/>
        <v>1176</v>
      </c>
      <c r="T14" s="36">
        <f t="shared" si="2"/>
        <v>188232.8</v>
      </c>
      <c r="U14" s="37">
        <f t="shared" si="4"/>
        <v>160.06190476190474</v>
      </c>
    </row>
    <row r="15" spans="1:21" ht="13.5" customHeight="1" x14ac:dyDescent="0.3">
      <c r="A15" s="19"/>
      <c r="C15" s="31">
        <v>5</v>
      </c>
      <c r="D15" s="1" t="s">
        <v>14</v>
      </c>
      <c r="E15" s="20">
        <v>212.6</v>
      </c>
      <c r="F15" s="20">
        <v>145.19999999999999</v>
      </c>
      <c r="G15" s="20">
        <v>124.8</v>
      </c>
      <c r="I15" s="20">
        <f t="shared" si="3"/>
        <v>179.15008695652173</v>
      </c>
      <c r="J15" s="45">
        <f>(I15/'AAU 22-23'!I15)-1</f>
        <v>5.1650389600871982E-2</v>
      </c>
      <c r="K15" s="18"/>
      <c r="M15" s="38">
        <f>427+224</f>
        <v>651</v>
      </c>
      <c r="N15" s="38">
        <f>121+141</f>
        <v>262</v>
      </c>
      <c r="O15" s="38">
        <f>113+124</f>
        <v>237</v>
      </c>
      <c r="P15" s="36">
        <f t="shared" si="0"/>
        <v>138402.6</v>
      </c>
      <c r="Q15" s="36">
        <f t="shared" si="0"/>
        <v>38042.399999999994</v>
      </c>
      <c r="R15" s="36">
        <f t="shared" si="0"/>
        <v>29577.599999999999</v>
      </c>
      <c r="S15" s="36">
        <f t="shared" si="1"/>
        <v>1150</v>
      </c>
      <c r="T15" s="36">
        <f t="shared" si="2"/>
        <v>206022.6</v>
      </c>
      <c r="U15" s="37">
        <f t="shared" si="4"/>
        <v>179.15008695652173</v>
      </c>
    </row>
    <row r="16" spans="1:21" ht="13.5" customHeight="1" x14ac:dyDescent="0.3">
      <c r="A16" s="19"/>
      <c r="C16" s="31">
        <v>6</v>
      </c>
      <c r="D16" s="1" t="s">
        <v>15</v>
      </c>
      <c r="E16" s="20">
        <v>266.60000000000002</v>
      </c>
      <c r="F16" s="20">
        <v>167.3</v>
      </c>
      <c r="G16" s="20">
        <v>129.80000000000001</v>
      </c>
      <c r="I16" s="20">
        <f t="shared" si="3"/>
        <v>217.93186003683246</v>
      </c>
      <c r="J16" s="45">
        <f>(I16/'AAU 22-23'!I16)-1</f>
        <v>4.8059427779612474E-2</v>
      </c>
      <c r="K16" s="18"/>
      <c r="M16" s="38">
        <f>607+369</f>
        <v>976</v>
      </c>
      <c r="N16" s="38">
        <f>139+129</f>
        <v>268</v>
      </c>
      <c r="O16" s="38">
        <f>191+194</f>
        <v>385</v>
      </c>
      <c r="P16" s="36">
        <f t="shared" si="0"/>
        <v>260201.60000000003</v>
      </c>
      <c r="Q16" s="36">
        <f t="shared" si="0"/>
        <v>44836.4</v>
      </c>
      <c r="R16" s="36">
        <f t="shared" si="0"/>
        <v>49973.000000000007</v>
      </c>
      <c r="S16" s="36">
        <f t="shared" si="1"/>
        <v>1629</v>
      </c>
      <c r="T16" s="36">
        <f t="shared" si="2"/>
        <v>355011.00000000006</v>
      </c>
      <c r="U16" s="37">
        <f t="shared" si="4"/>
        <v>217.93186003683246</v>
      </c>
    </row>
    <row r="17" spans="1:21" ht="13.5" customHeight="1" x14ac:dyDescent="0.3">
      <c r="A17" s="19"/>
      <c r="B17" s="48" t="s">
        <v>66</v>
      </c>
      <c r="C17" s="31">
        <v>7</v>
      </c>
      <c r="D17" s="1" t="s">
        <v>124</v>
      </c>
      <c r="E17" s="20">
        <v>176.1</v>
      </c>
      <c r="F17" s="20">
        <v>127.6</v>
      </c>
      <c r="G17" s="20">
        <v>114.1</v>
      </c>
      <c r="I17" s="20">
        <f t="shared" si="3"/>
        <v>146.58738379814076</v>
      </c>
      <c r="J17" s="45">
        <f>(I17/'AAU 22-23'!I17)-1</f>
        <v>-3.7366299817269022E-2</v>
      </c>
      <c r="K17" s="18"/>
      <c r="M17" s="38">
        <f>237+104</f>
        <v>341</v>
      </c>
      <c r="N17" s="38">
        <f>133+113</f>
        <v>246</v>
      </c>
      <c r="O17" s="38">
        <f>98+68</f>
        <v>166</v>
      </c>
      <c r="P17" s="36">
        <f>E17*M17</f>
        <v>60050.1</v>
      </c>
      <c r="Q17" s="36">
        <f>F17*N17</f>
        <v>31389.599999999999</v>
      </c>
      <c r="R17" s="36">
        <f>G17*O17</f>
        <v>18940.599999999999</v>
      </c>
      <c r="S17" s="36">
        <f>M17+N17+O17</f>
        <v>753</v>
      </c>
      <c r="T17" s="36">
        <f>P17+Q17+R17</f>
        <v>110380.29999999999</v>
      </c>
      <c r="U17" s="37">
        <f>T17/S17</f>
        <v>146.58738379814076</v>
      </c>
    </row>
    <row r="18" spans="1:21" ht="13.5" customHeight="1" x14ac:dyDescent="0.3">
      <c r="A18" s="19"/>
      <c r="C18" s="31">
        <v>8</v>
      </c>
      <c r="D18" s="1" t="s">
        <v>16</v>
      </c>
      <c r="E18" s="20">
        <v>228.6</v>
      </c>
      <c r="F18" s="20">
        <v>154.80000000000001</v>
      </c>
      <c r="G18" s="20">
        <v>132</v>
      </c>
      <c r="I18" s="20">
        <f t="shared" si="3"/>
        <v>190.06752529898804</v>
      </c>
      <c r="J18" s="45">
        <f>(I18/'AAU 22-23'!I18)-1</f>
        <v>7.4741430278488119E-2</v>
      </c>
      <c r="K18" s="18"/>
      <c r="M18" s="38">
        <f>430+167</f>
        <v>597</v>
      </c>
      <c r="N18" s="38">
        <f>137+102</f>
        <v>239</v>
      </c>
      <c r="O18" s="38">
        <f>140+111</f>
        <v>251</v>
      </c>
      <c r="P18" s="36">
        <f t="shared" si="0"/>
        <v>136474.19999999998</v>
      </c>
      <c r="Q18" s="36">
        <f t="shared" si="0"/>
        <v>36997.200000000004</v>
      </c>
      <c r="R18" s="36">
        <f t="shared" si="0"/>
        <v>33132</v>
      </c>
      <c r="S18" s="36">
        <f t="shared" si="1"/>
        <v>1087</v>
      </c>
      <c r="T18" s="36">
        <f t="shared" si="2"/>
        <v>206603.4</v>
      </c>
      <c r="U18" s="37">
        <f t="shared" si="4"/>
        <v>190.06752529898804</v>
      </c>
    </row>
    <row r="19" spans="1:21" ht="13.5" customHeight="1" x14ac:dyDescent="0.3">
      <c r="A19" s="19"/>
      <c r="C19" s="31">
        <v>9</v>
      </c>
      <c r="D19" s="1" t="s">
        <v>17</v>
      </c>
      <c r="E19" s="20">
        <v>227.1</v>
      </c>
      <c r="F19" s="20">
        <v>143.1</v>
      </c>
      <c r="G19" s="20">
        <v>125.6</v>
      </c>
      <c r="I19" s="20">
        <f t="shared" si="3"/>
        <v>190.25469293163385</v>
      </c>
      <c r="J19" s="45">
        <f>(I19/'AAU 22-23'!I19)-1</f>
        <v>3.9620406830636945E-2</v>
      </c>
      <c r="K19" s="18"/>
      <c r="M19" s="38">
        <f>320+198</f>
        <v>518</v>
      </c>
      <c r="N19" s="38">
        <f>98+86</f>
        <v>184</v>
      </c>
      <c r="O19" s="38">
        <f>84+77</f>
        <v>161</v>
      </c>
      <c r="P19" s="36">
        <f t="shared" si="0"/>
        <v>117637.8</v>
      </c>
      <c r="Q19" s="36">
        <f t="shared" si="0"/>
        <v>26330.399999999998</v>
      </c>
      <c r="R19" s="36">
        <f t="shared" si="0"/>
        <v>20221.599999999999</v>
      </c>
      <c r="S19" s="36">
        <f t="shared" si="1"/>
        <v>863</v>
      </c>
      <c r="T19" s="36">
        <f t="shared" si="2"/>
        <v>164189.80000000002</v>
      </c>
      <c r="U19" s="37">
        <f t="shared" si="4"/>
        <v>190.25469293163385</v>
      </c>
    </row>
    <row r="20" spans="1:21" ht="13.5" customHeight="1" x14ac:dyDescent="0.3">
      <c r="A20" s="19"/>
      <c r="C20" s="31">
        <v>10</v>
      </c>
      <c r="D20" s="1" t="s">
        <v>113</v>
      </c>
      <c r="E20" s="20">
        <v>201.3</v>
      </c>
      <c r="F20" s="20">
        <v>141.80000000000001</v>
      </c>
      <c r="G20" s="20">
        <v>124.8</v>
      </c>
      <c r="I20" s="20">
        <f>U20</f>
        <v>167.50833333333335</v>
      </c>
      <c r="J20" s="45">
        <f>(I20/'AAU 22-23'!I20)-1</f>
        <v>3.4197418825073767E-2</v>
      </c>
      <c r="K20" s="18"/>
      <c r="M20" s="38">
        <f>187+124</f>
        <v>311</v>
      </c>
      <c r="N20" s="38">
        <f>69+69</f>
        <v>138</v>
      </c>
      <c r="O20" s="38">
        <f>78+85</f>
        <v>163</v>
      </c>
      <c r="P20" s="36">
        <f>E20*M20</f>
        <v>62604.3</v>
      </c>
      <c r="Q20" s="36">
        <f t="shared" si="0"/>
        <v>19568.400000000001</v>
      </c>
      <c r="R20" s="36">
        <f t="shared" si="0"/>
        <v>20342.399999999998</v>
      </c>
      <c r="S20" s="36">
        <f>M20+N20+O20</f>
        <v>612</v>
      </c>
      <c r="T20" s="36">
        <f>P20+Q20+R20</f>
        <v>102515.1</v>
      </c>
      <c r="U20" s="37">
        <f>T20/S20</f>
        <v>167.50833333333335</v>
      </c>
    </row>
    <row r="21" spans="1:21" ht="13.5" customHeight="1" x14ac:dyDescent="0.3">
      <c r="A21" s="19"/>
      <c r="C21" s="31">
        <v>11</v>
      </c>
      <c r="D21" s="1" t="s">
        <v>18</v>
      </c>
      <c r="E21" s="20">
        <v>159.9</v>
      </c>
      <c r="F21" s="20">
        <v>115.3</v>
      </c>
      <c r="G21" s="20">
        <v>113.1</v>
      </c>
      <c r="I21" s="20">
        <f>U21</f>
        <v>134.14742268041238</v>
      </c>
      <c r="J21" s="45">
        <f>(I21/'AAU 22-23'!I21)-1</f>
        <v>1.2246838042433206E-2</v>
      </c>
      <c r="K21" s="18"/>
      <c r="M21" s="38">
        <f>359+147</f>
        <v>506</v>
      </c>
      <c r="N21" s="38">
        <f>212+160</f>
        <v>372</v>
      </c>
      <c r="O21" s="39">
        <f>151+135</f>
        <v>286</v>
      </c>
      <c r="P21" s="36">
        <f t="shared" si="0"/>
        <v>80909.400000000009</v>
      </c>
      <c r="Q21" s="36">
        <f t="shared" si="0"/>
        <v>42891.6</v>
      </c>
      <c r="R21" s="36">
        <f t="shared" si="0"/>
        <v>32346.6</v>
      </c>
      <c r="S21" s="36">
        <f t="shared" si="1"/>
        <v>1164</v>
      </c>
      <c r="T21" s="36">
        <f t="shared" si="2"/>
        <v>156147.6</v>
      </c>
      <c r="U21" s="37">
        <f t="shared" si="4"/>
        <v>134.14742268041238</v>
      </c>
    </row>
    <row r="22" spans="1:21" ht="13.5" customHeight="1" x14ac:dyDescent="0.3">
      <c r="A22" s="19"/>
      <c r="C22" s="31">
        <v>12</v>
      </c>
      <c r="D22" s="1" t="s">
        <v>19</v>
      </c>
      <c r="E22" s="20">
        <v>172.9</v>
      </c>
      <c r="F22" s="20">
        <v>116.8</v>
      </c>
      <c r="G22" s="20">
        <v>100.1</v>
      </c>
      <c r="I22" s="20">
        <f t="shared" si="3"/>
        <v>134.31677387431964</v>
      </c>
      <c r="J22" s="45">
        <f>(I22/'AAU 22-23'!I22)-1</f>
        <v>3.3110684085029707E-2</v>
      </c>
      <c r="K22" s="18"/>
      <c r="M22" s="38">
        <f>609+220</f>
        <v>829</v>
      </c>
      <c r="N22" s="38">
        <f>294+233</f>
        <v>527</v>
      </c>
      <c r="O22" s="38">
        <f>328+337</f>
        <v>665</v>
      </c>
      <c r="P22" s="36">
        <f t="shared" si="0"/>
        <v>143334.1</v>
      </c>
      <c r="Q22" s="36">
        <f t="shared" si="0"/>
        <v>61553.599999999999</v>
      </c>
      <c r="R22" s="36">
        <f t="shared" si="0"/>
        <v>66566.5</v>
      </c>
      <c r="S22" s="36">
        <f t="shared" si="1"/>
        <v>2021</v>
      </c>
      <c r="T22" s="36">
        <f t="shared" si="2"/>
        <v>271454.2</v>
      </c>
      <c r="U22" s="37">
        <f t="shared" si="4"/>
        <v>134.31677387431964</v>
      </c>
    </row>
    <row r="23" spans="1:21" ht="13.5" customHeight="1" x14ac:dyDescent="0.3">
      <c r="A23" s="19"/>
      <c r="C23" s="31">
        <v>13</v>
      </c>
      <c r="D23" s="1" t="s">
        <v>20</v>
      </c>
      <c r="E23" s="20">
        <v>179</v>
      </c>
      <c r="F23" s="20">
        <v>130.6</v>
      </c>
      <c r="G23" s="20">
        <v>124.4</v>
      </c>
      <c r="I23" s="20">
        <f t="shared" si="3"/>
        <v>153.70499490316004</v>
      </c>
      <c r="J23" s="45">
        <f>(I23/'AAU 22-23'!I23)-1</f>
        <v>1.0351674151742873E-2</v>
      </c>
      <c r="K23" s="18"/>
      <c r="M23" s="38">
        <f>404+93</f>
        <v>497</v>
      </c>
      <c r="N23" s="38">
        <f>181+79</f>
        <v>260</v>
      </c>
      <c r="O23" s="38">
        <f>134+90</f>
        <v>224</v>
      </c>
      <c r="P23" s="36">
        <f t="shared" si="0"/>
        <v>88963</v>
      </c>
      <c r="Q23" s="36">
        <f t="shared" si="0"/>
        <v>33956</v>
      </c>
      <c r="R23" s="36">
        <f t="shared" si="0"/>
        <v>27865.600000000002</v>
      </c>
      <c r="S23" s="36">
        <f t="shared" si="1"/>
        <v>981</v>
      </c>
      <c r="T23" s="36">
        <f t="shared" si="2"/>
        <v>150784.6</v>
      </c>
      <c r="U23" s="37">
        <f t="shared" si="4"/>
        <v>153.70499490316004</v>
      </c>
    </row>
    <row r="24" spans="1:21" ht="13.5" customHeight="1" x14ac:dyDescent="0.3">
      <c r="A24" s="19"/>
      <c r="C24" s="31">
        <v>14</v>
      </c>
      <c r="D24" s="1" t="s">
        <v>21</v>
      </c>
      <c r="E24" s="20">
        <v>179.5</v>
      </c>
      <c r="F24" s="20">
        <v>122.6</v>
      </c>
      <c r="G24" s="20">
        <v>109.5</v>
      </c>
      <c r="I24" s="20">
        <f t="shared" si="3"/>
        <v>143.05423901940756</v>
      </c>
      <c r="J24" s="45">
        <f>(I24/'AAU 22-23'!I24)-1</f>
        <v>3.9683988170801321E-2</v>
      </c>
      <c r="K24" s="18"/>
      <c r="M24" s="38">
        <f>598+241</f>
        <v>839</v>
      </c>
      <c r="N24" s="38">
        <f>296+236</f>
        <v>532</v>
      </c>
      <c r="O24" s="38">
        <f>294+293</f>
        <v>587</v>
      </c>
      <c r="P24" s="36">
        <f t="shared" si="0"/>
        <v>150600.5</v>
      </c>
      <c r="Q24" s="36">
        <f t="shared" si="0"/>
        <v>65223.199999999997</v>
      </c>
      <c r="R24" s="36">
        <f t="shared" si="0"/>
        <v>64276.5</v>
      </c>
      <c r="S24" s="36">
        <f t="shared" si="1"/>
        <v>1958</v>
      </c>
      <c r="T24" s="36">
        <f t="shared" si="2"/>
        <v>280100.2</v>
      </c>
      <c r="U24" s="37">
        <f t="shared" si="4"/>
        <v>143.05423901940756</v>
      </c>
    </row>
    <row r="25" spans="1:21" ht="13.5" customHeight="1" x14ac:dyDescent="0.3">
      <c r="A25" s="19"/>
      <c r="C25" s="31">
        <v>15</v>
      </c>
      <c r="D25" s="1" t="s">
        <v>22</v>
      </c>
      <c r="E25" s="20">
        <v>151.30000000000001</v>
      </c>
      <c r="F25" s="20">
        <v>113.7</v>
      </c>
      <c r="G25" s="20">
        <v>110.9</v>
      </c>
      <c r="I25" s="20">
        <f t="shared" si="3"/>
        <v>129.58964662120272</v>
      </c>
      <c r="J25" s="45">
        <f>(I25/'AAU 22-23'!I25)-1</f>
        <v>2.8706843950890404E-2</v>
      </c>
      <c r="K25" s="18"/>
      <c r="M25" s="38">
        <f>481+232</f>
        <v>713</v>
      </c>
      <c r="N25" s="38">
        <f>275+204</f>
        <v>479</v>
      </c>
      <c r="O25" s="38">
        <f>195+226</f>
        <v>421</v>
      </c>
      <c r="P25" s="36">
        <f t="shared" si="0"/>
        <v>107876.90000000001</v>
      </c>
      <c r="Q25" s="36">
        <f t="shared" si="0"/>
        <v>54462.3</v>
      </c>
      <c r="R25" s="36">
        <f t="shared" si="0"/>
        <v>46688.9</v>
      </c>
      <c r="S25" s="36">
        <f t="shared" si="1"/>
        <v>1613</v>
      </c>
      <c r="T25" s="36">
        <f t="shared" si="2"/>
        <v>209028.1</v>
      </c>
      <c r="U25" s="37">
        <f t="shared" si="4"/>
        <v>129.58964662120272</v>
      </c>
    </row>
    <row r="26" spans="1:21" ht="13.5" customHeight="1" x14ac:dyDescent="0.3">
      <c r="A26" s="19"/>
      <c r="C26" s="31">
        <v>16</v>
      </c>
      <c r="D26" s="1" t="s">
        <v>23</v>
      </c>
      <c r="E26" s="20">
        <v>160.80000000000001</v>
      </c>
      <c r="F26" s="20">
        <v>105.3</v>
      </c>
      <c r="G26" s="20">
        <v>97.7</v>
      </c>
      <c r="I26" s="20">
        <f t="shared" si="3"/>
        <v>123.93199679230153</v>
      </c>
      <c r="J26" s="45">
        <f>(I26/'AAU 22-23'!I26)-1</f>
        <v>3.1175448755129231E-2</v>
      </c>
      <c r="K26" s="18"/>
      <c r="M26" s="38">
        <f>309+154</f>
        <v>463</v>
      </c>
      <c r="N26" s="38">
        <f>240+220</f>
        <v>460</v>
      </c>
      <c r="O26" s="38">
        <f>134+190</f>
        <v>324</v>
      </c>
      <c r="P26" s="36">
        <f t="shared" si="0"/>
        <v>74450.400000000009</v>
      </c>
      <c r="Q26" s="36">
        <f t="shared" si="0"/>
        <v>48438</v>
      </c>
      <c r="R26" s="36">
        <f t="shared" si="0"/>
        <v>31654.799999999999</v>
      </c>
      <c r="S26" s="36">
        <f t="shared" si="1"/>
        <v>1247</v>
      </c>
      <c r="T26" s="36">
        <f t="shared" si="2"/>
        <v>154543.20000000001</v>
      </c>
      <c r="U26" s="37">
        <f t="shared" si="4"/>
        <v>123.93199679230153</v>
      </c>
    </row>
    <row r="27" spans="1:21" ht="13.5" customHeight="1" x14ac:dyDescent="0.3">
      <c r="A27" s="19"/>
      <c r="C27" s="31">
        <v>17</v>
      </c>
      <c r="D27" s="1" t="s">
        <v>25</v>
      </c>
      <c r="E27" s="20">
        <v>133.5</v>
      </c>
      <c r="F27" s="20">
        <v>96</v>
      </c>
      <c r="G27" s="20">
        <v>88.8</v>
      </c>
      <c r="I27" s="20">
        <f t="shared" si="3"/>
        <v>109.68083333333334</v>
      </c>
      <c r="J27" s="45">
        <f>(I27/'AAU 22-23'!I28)-1</f>
        <v>1.0131465731568756E-2</v>
      </c>
      <c r="K27" s="18"/>
      <c r="M27" s="38">
        <f>296+151</f>
        <v>447</v>
      </c>
      <c r="N27" s="38">
        <f>206+151</f>
        <v>357</v>
      </c>
      <c r="O27" s="38">
        <f>137+139</f>
        <v>276</v>
      </c>
      <c r="P27" s="36">
        <f t="shared" si="0"/>
        <v>59674.5</v>
      </c>
      <c r="Q27" s="36">
        <f t="shared" si="0"/>
        <v>34272</v>
      </c>
      <c r="R27" s="36">
        <f t="shared" si="0"/>
        <v>24508.799999999999</v>
      </c>
      <c r="S27" s="36">
        <f t="shared" si="1"/>
        <v>1080</v>
      </c>
      <c r="T27" s="36">
        <f t="shared" si="2"/>
        <v>118455.3</v>
      </c>
      <c r="U27" s="37">
        <f t="shared" si="4"/>
        <v>109.68083333333334</v>
      </c>
    </row>
    <row r="28" spans="1:21" ht="13.5" customHeight="1" x14ac:dyDescent="0.3">
      <c r="A28" s="19"/>
      <c r="C28" s="31">
        <v>18</v>
      </c>
      <c r="D28" s="1" t="s">
        <v>26</v>
      </c>
      <c r="E28" s="20">
        <v>207.3</v>
      </c>
      <c r="F28" s="20">
        <v>141.1</v>
      </c>
      <c r="G28" s="20">
        <v>118.8</v>
      </c>
      <c r="I28" s="20">
        <f t="shared" si="3"/>
        <v>167.73194263363754</v>
      </c>
      <c r="J28" s="45">
        <f>(I28/'AAU 22-23'!I29)-1</f>
        <v>7.9363649242319756E-2</v>
      </c>
      <c r="K28" s="18"/>
      <c r="M28" s="38">
        <f>527+206</f>
        <v>733</v>
      </c>
      <c r="N28" s="38">
        <f>243+214</f>
        <v>457</v>
      </c>
      <c r="O28" s="38">
        <f>173+171</f>
        <v>344</v>
      </c>
      <c r="P28" s="36">
        <f t="shared" si="0"/>
        <v>151950.9</v>
      </c>
      <c r="Q28" s="36">
        <f t="shared" si="0"/>
        <v>64482.7</v>
      </c>
      <c r="R28" s="36">
        <f t="shared" si="0"/>
        <v>40867.199999999997</v>
      </c>
      <c r="S28" s="36">
        <f t="shared" si="1"/>
        <v>1534</v>
      </c>
      <c r="T28" s="36">
        <f t="shared" si="2"/>
        <v>257300.8</v>
      </c>
      <c r="U28" s="37">
        <f t="shared" si="4"/>
        <v>167.73194263363754</v>
      </c>
    </row>
    <row r="29" spans="1:21" ht="13.5" customHeight="1" x14ac:dyDescent="0.3">
      <c r="A29" s="19"/>
      <c r="C29" s="31">
        <v>19</v>
      </c>
      <c r="D29" s="1" t="s">
        <v>27</v>
      </c>
      <c r="E29" s="20">
        <v>193.7</v>
      </c>
      <c r="F29" s="20">
        <v>130.30000000000001</v>
      </c>
      <c r="G29" s="20">
        <v>111.2</v>
      </c>
      <c r="I29" s="20">
        <f t="shared" si="3"/>
        <v>156.49488683989944</v>
      </c>
      <c r="J29" s="45">
        <f>(I29/'AAU 22-23'!I30)-1</f>
        <v>2.8570535181813073E-2</v>
      </c>
      <c r="K29" s="18"/>
      <c r="M29" s="38">
        <f>781+391</f>
        <v>1172</v>
      </c>
      <c r="N29" s="38">
        <f>312+284</f>
        <v>596</v>
      </c>
      <c r="O29" s="38">
        <f>306+312</f>
        <v>618</v>
      </c>
      <c r="P29" s="36">
        <f t="shared" si="0"/>
        <v>227016.4</v>
      </c>
      <c r="Q29" s="36">
        <f t="shared" si="0"/>
        <v>77658.8</v>
      </c>
      <c r="R29" s="36">
        <f t="shared" si="0"/>
        <v>68721.600000000006</v>
      </c>
      <c r="S29" s="36">
        <f t="shared" si="1"/>
        <v>2386</v>
      </c>
      <c r="T29" s="36">
        <f t="shared" si="2"/>
        <v>373396.80000000005</v>
      </c>
      <c r="U29" s="37">
        <f t="shared" si="4"/>
        <v>156.49488683989944</v>
      </c>
    </row>
    <row r="30" spans="1:21" ht="13.5" customHeight="1" x14ac:dyDescent="0.3">
      <c r="A30" s="19"/>
      <c r="C30" s="31">
        <v>20</v>
      </c>
      <c r="D30" s="1" t="s">
        <v>28</v>
      </c>
      <c r="E30" s="20">
        <v>176.3</v>
      </c>
      <c r="F30" s="20">
        <v>119.4</v>
      </c>
      <c r="G30" s="20">
        <v>93.2</v>
      </c>
      <c r="I30" s="20">
        <f t="shared" si="3"/>
        <v>131.26745171926521</v>
      </c>
      <c r="J30" s="45">
        <f>(I30/'AAU 22-23'!I31)-1</f>
        <v>3.3071678024859663E-2</v>
      </c>
      <c r="K30" s="18"/>
      <c r="M30" s="38">
        <f>552+226</f>
        <v>778</v>
      </c>
      <c r="N30" s="38">
        <f>325+292</f>
        <v>617</v>
      </c>
      <c r="O30" s="38">
        <f>338+390</f>
        <v>728</v>
      </c>
      <c r="P30" s="36">
        <f t="shared" si="0"/>
        <v>137161.40000000002</v>
      </c>
      <c r="Q30" s="36">
        <f t="shared" si="0"/>
        <v>73669.8</v>
      </c>
      <c r="R30" s="36">
        <f t="shared" si="0"/>
        <v>67849.600000000006</v>
      </c>
      <c r="S30" s="36">
        <f t="shared" si="1"/>
        <v>2123</v>
      </c>
      <c r="T30" s="36">
        <f t="shared" si="2"/>
        <v>278680.80000000005</v>
      </c>
      <c r="U30" s="37">
        <f t="shared" si="4"/>
        <v>131.26745171926521</v>
      </c>
    </row>
    <row r="31" spans="1:21" ht="13.5" customHeight="1" x14ac:dyDescent="0.3">
      <c r="A31" s="19"/>
      <c r="C31" s="31">
        <v>21</v>
      </c>
      <c r="D31" s="1" t="s">
        <v>29</v>
      </c>
      <c r="E31" s="20">
        <v>160.9</v>
      </c>
      <c r="F31" s="20">
        <v>114.1</v>
      </c>
      <c r="G31" s="20">
        <v>99.9</v>
      </c>
      <c r="I31" s="20">
        <f t="shared" si="3"/>
        <v>131.70407174018419</v>
      </c>
      <c r="J31" s="45">
        <f>(I31/'AAU 22-23'!I32)-1</f>
        <v>3.0689913291792603E-2</v>
      </c>
      <c r="K31" s="18"/>
      <c r="M31" s="38">
        <f>632+303</f>
        <v>935</v>
      </c>
      <c r="N31" s="38">
        <f>312+292</f>
        <v>604</v>
      </c>
      <c r="O31" s="38">
        <f>229+295</f>
        <v>524</v>
      </c>
      <c r="P31" s="36">
        <f t="shared" si="0"/>
        <v>150441.5</v>
      </c>
      <c r="Q31" s="36">
        <f t="shared" si="0"/>
        <v>68916.399999999994</v>
      </c>
      <c r="R31" s="36">
        <f t="shared" si="0"/>
        <v>52347.600000000006</v>
      </c>
      <c r="S31" s="36">
        <f t="shared" si="1"/>
        <v>2063</v>
      </c>
      <c r="T31" s="36">
        <f t="shared" si="2"/>
        <v>271705.5</v>
      </c>
      <c r="U31" s="37">
        <f t="shared" si="4"/>
        <v>131.70407174018419</v>
      </c>
    </row>
    <row r="32" spans="1:21" ht="13.5" customHeight="1" x14ac:dyDescent="0.3">
      <c r="A32" s="19"/>
      <c r="C32" s="31">
        <v>22</v>
      </c>
      <c r="D32" s="24" t="s">
        <v>30</v>
      </c>
      <c r="E32" s="25">
        <v>148.19999999999999</v>
      </c>
      <c r="F32" s="25">
        <v>102.3</v>
      </c>
      <c r="G32" s="25">
        <v>90.7</v>
      </c>
      <c r="H32" s="24"/>
      <c r="I32" s="25">
        <f t="shared" si="3"/>
        <v>112.68471042471042</v>
      </c>
      <c r="J32" s="47">
        <f>(I32/'AAU 22-23'!I33)-1</f>
        <v>2.7212651888719019E-2</v>
      </c>
      <c r="K32" s="18"/>
      <c r="M32" s="38">
        <f>280+130</f>
        <v>410</v>
      </c>
      <c r="N32" s="38">
        <f>236+186</f>
        <v>422</v>
      </c>
      <c r="O32" s="38">
        <f>196+267</f>
        <v>463</v>
      </c>
      <c r="P32" s="36">
        <f t="shared" si="0"/>
        <v>60761.999999999993</v>
      </c>
      <c r="Q32" s="36">
        <f t="shared" si="0"/>
        <v>43170.6</v>
      </c>
      <c r="R32" s="36">
        <f t="shared" si="0"/>
        <v>41994.1</v>
      </c>
      <c r="S32" s="36">
        <f t="shared" si="1"/>
        <v>1295</v>
      </c>
      <c r="T32" s="36">
        <f t="shared" si="2"/>
        <v>145926.69999999998</v>
      </c>
      <c r="U32" s="37">
        <f t="shared" si="4"/>
        <v>112.68471042471042</v>
      </c>
    </row>
    <row r="33" spans="1:21" ht="13.5" customHeight="1" x14ac:dyDescent="0.3">
      <c r="A33" s="19"/>
      <c r="C33" s="31">
        <v>23</v>
      </c>
      <c r="D33" s="1" t="s">
        <v>45</v>
      </c>
      <c r="E33" s="20">
        <v>174.5</v>
      </c>
      <c r="F33" s="20">
        <v>113.2</v>
      </c>
      <c r="G33" s="20">
        <v>99.8</v>
      </c>
      <c r="I33" s="20">
        <f t="shared" si="3"/>
        <v>135.64243777919592</v>
      </c>
      <c r="J33" s="45">
        <f>(I33/'AAU 22-23'!I34)-1</f>
        <v>5.9733112214933604E-2</v>
      </c>
      <c r="K33" s="18"/>
      <c r="M33" s="38">
        <f>412+257</f>
        <v>669</v>
      </c>
      <c r="N33" s="38">
        <f>216+246</f>
        <v>462</v>
      </c>
      <c r="O33" s="38">
        <f>185+251</f>
        <v>436</v>
      </c>
      <c r="P33" s="36">
        <f t="shared" si="0"/>
        <v>116740.5</v>
      </c>
      <c r="Q33" s="36">
        <f t="shared" si="0"/>
        <v>52298.400000000001</v>
      </c>
      <c r="R33" s="36">
        <f t="shared" si="0"/>
        <v>43512.799999999996</v>
      </c>
      <c r="S33" s="36">
        <f t="shared" si="1"/>
        <v>1567</v>
      </c>
      <c r="T33" s="36">
        <f t="shared" si="2"/>
        <v>212551.69999999998</v>
      </c>
      <c r="U33" s="37">
        <f t="shared" si="4"/>
        <v>135.64243777919592</v>
      </c>
    </row>
    <row r="34" spans="1:21" ht="13.5" customHeight="1" x14ac:dyDescent="0.3">
      <c r="A34" s="19"/>
      <c r="C34" s="31">
        <v>24</v>
      </c>
      <c r="D34" s="1" t="s">
        <v>31</v>
      </c>
      <c r="E34" s="20">
        <v>171.2</v>
      </c>
      <c r="F34" s="20">
        <v>114.7</v>
      </c>
      <c r="G34" s="20">
        <v>103.3</v>
      </c>
      <c r="I34" s="20">
        <f t="shared" si="3"/>
        <v>136.31175078864354</v>
      </c>
      <c r="J34" s="45">
        <f>(I34/'AAU 22-23'!I35)-1</f>
        <v>2.8352076185949038E-2</v>
      </c>
      <c r="K34" s="18"/>
      <c r="M34" s="38">
        <f>702+400</f>
        <v>1102</v>
      </c>
      <c r="N34" s="38">
        <f>395+385</f>
        <v>780</v>
      </c>
      <c r="O34" s="38">
        <f>291+363</f>
        <v>654</v>
      </c>
      <c r="P34" s="36">
        <f t="shared" si="0"/>
        <v>188662.39999999999</v>
      </c>
      <c r="Q34" s="36">
        <f t="shared" si="0"/>
        <v>89466</v>
      </c>
      <c r="R34" s="36">
        <f t="shared" si="0"/>
        <v>67558.2</v>
      </c>
      <c r="S34" s="36">
        <f t="shared" si="1"/>
        <v>2536</v>
      </c>
      <c r="T34" s="36">
        <f t="shared" si="2"/>
        <v>345686.60000000003</v>
      </c>
      <c r="U34" s="37">
        <f t="shared" si="4"/>
        <v>136.31175078864354</v>
      </c>
    </row>
    <row r="35" spans="1:21" ht="13.5" customHeight="1" x14ac:dyDescent="0.3">
      <c r="A35" s="19"/>
      <c r="C35" s="31">
        <v>25</v>
      </c>
      <c r="D35" s="1" t="s">
        <v>32</v>
      </c>
      <c r="E35" s="20">
        <v>147.69999999999999</v>
      </c>
      <c r="F35" s="20">
        <v>108.8</v>
      </c>
      <c r="G35" s="20">
        <v>97.3</v>
      </c>
      <c r="I35" s="20">
        <f t="shared" si="3"/>
        <v>122.96425855513307</v>
      </c>
      <c r="J35" s="45">
        <f>(I35/'AAU 22-23'!I36)-1</f>
        <v>-5.497484187933166E-3</v>
      </c>
      <c r="K35" s="18"/>
      <c r="M35" s="38">
        <f>203+131</f>
        <v>334</v>
      </c>
      <c r="N35" s="38">
        <f>167+130</f>
        <v>297</v>
      </c>
      <c r="O35" s="38">
        <f>71+87</f>
        <v>158</v>
      </c>
      <c r="P35" s="36">
        <f t="shared" si="0"/>
        <v>49331.799999999996</v>
      </c>
      <c r="Q35" s="36">
        <f t="shared" si="0"/>
        <v>32313.599999999999</v>
      </c>
      <c r="R35" s="36">
        <f t="shared" si="0"/>
        <v>15373.4</v>
      </c>
      <c r="S35" s="36">
        <f t="shared" si="1"/>
        <v>789</v>
      </c>
      <c r="T35" s="36">
        <f t="shared" si="2"/>
        <v>97018.799999999988</v>
      </c>
      <c r="U35" s="37">
        <f t="shared" si="4"/>
        <v>122.96425855513307</v>
      </c>
    </row>
    <row r="36" spans="1:21" ht="13.5" customHeight="1" x14ac:dyDescent="0.3">
      <c r="A36" s="19"/>
      <c r="C36" s="31">
        <v>26</v>
      </c>
      <c r="D36" s="1" t="s">
        <v>33</v>
      </c>
      <c r="E36" s="20">
        <v>176.2</v>
      </c>
      <c r="F36" s="20">
        <v>120.7</v>
      </c>
      <c r="G36" s="20">
        <v>109.1</v>
      </c>
      <c r="I36" s="20">
        <f t="shared" si="3"/>
        <v>145.14847348687735</v>
      </c>
      <c r="J36" s="45">
        <f>(I36/'AAU 22-23'!I37)-1</f>
        <v>2.8524131926373375E-2</v>
      </c>
      <c r="K36" s="18"/>
      <c r="M36" s="38">
        <f>666+253</f>
        <v>919</v>
      </c>
      <c r="N36" s="38">
        <f>283+203</f>
        <v>486</v>
      </c>
      <c r="O36" s="38">
        <f>240+222</f>
        <v>462</v>
      </c>
      <c r="P36" s="36">
        <f t="shared" si="0"/>
        <v>161927.79999999999</v>
      </c>
      <c r="Q36" s="36">
        <f t="shared" si="0"/>
        <v>58660.200000000004</v>
      </c>
      <c r="R36" s="36">
        <f t="shared" si="0"/>
        <v>50404.2</v>
      </c>
      <c r="S36" s="36">
        <f t="shared" si="1"/>
        <v>1867</v>
      </c>
      <c r="T36" s="36">
        <f t="shared" si="2"/>
        <v>270992.2</v>
      </c>
      <c r="U36" s="37">
        <f t="shared" si="4"/>
        <v>145.14847348687735</v>
      </c>
    </row>
    <row r="37" spans="1:21" ht="13.5" customHeight="1" x14ac:dyDescent="0.3">
      <c r="A37" s="19"/>
      <c r="C37" s="31">
        <v>27</v>
      </c>
      <c r="D37" s="1" t="s">
        <v>34</v>
      </c>
      <c r="E37" s="20">
        <v>152.30000000000001</v>
      </c>
      <c r="F37" s="20">
        <v>103.9</v>
      </c>
      <c r="G37" s="20">
        <v>86.7</v>
      </c>
      <c r="I37" s="20">
        <f t="shared" si="3"/>
        <v>113.41995346131473</v>
      </c>
      <c r="J37" s="45">
        <f>(I37/'AAU 22-23'!I38)-1</f>
        <v>-9.2282611217617827E-3</v>
      </c>
      <c r="K37" s="18"/>
      <c r="M37" s="38">
        <f>346+216</f>
        <v>562</v>
      </c>
      <c r="N37" s="38">
        <f>265+262</f>
        <v>527</v>
      </c>
      <c r="O37" s="38">
        <f>263+367</f>
        <v>630</v>
      </c>
      <c r="P37" s="36">
        <f t="shared" si="0"/>
        <v>85592.6</v>
      </c>
      <c r="Q37" s="36">
        <f t="shared" si="0"/>
        <v>54755.3</v>
      </c>
      <c r="R37" s="36">
        <f t="shared" si="0"/>
        <v>54621</v>
      </c>
      <c r="S37" s="36">
        <f t="shared" si="1"/>
        <v>1719</v>
      </c>
      <c r="T37" s="36">
        <f t="shared" si="2"/>
        <v>194968.90000000002</v>
      </c>
      <c r="U37" s="37">
        <f t="shared" si="4"/>
        <v>113.41995346131473</v>
      </c>
    </row>
    <row r="38" spans="1:21" ht="13.5" customHeight="1" x14ac:dyDescent="0.3">
      <c r="A38" s="19"/>
      <c r="C38" s="31">
        <v>28</v>
      </c>
      <c r="D38" s="1" t="s">
        <v>35</v>
      </c>
      <c r="E38" s="20">
        <v>167.2</v>
      </c>
      <c r="F38" s="20">
        <v>119</v>
      </c>
      <c r="G38" s="20">
        <v>103.5</v>
      </c>
      <c r="I38" s="20">
        <f t="shared" si="3"/>
        <v>134.06022123893806</v>
      </c>
      <c r="J38" s="45">
        <f>(I38/'AAU 22-23'!I39)-1</f>
        <v>3.9176622259280647E-2</v>
      </c>
      <c r="K38" s="18"/>
      <c r="M38" s="38">
        <f>703+235</f>
        <v>938</v>
      </c>
      <c r="N38" s="38">
        <f>360+241</f>
        <v>601</v>
      </c>
      <c r="O38" s="38">
        <f>412+309</f>
        <v>721</v>
      </c>
      <c r="P38" s="36">
        <f t="shared" si="0"/>
        <v>156833.59999999998</v>
      </c>
      <c r="Q38" s="36">
        <f t="shared" si="0"/>
        <v>71519</v>
      </c>
      <c r="R38" s="36">
        <f t="shared" si="0"/>
        <v>74623.5</v>
      </c>
      <c r="S38" s="36">
        <f t="shared" si="1"/>
        <v>2260</v>
      </c>
      <c r="T38" s="36">
        <f t="shared" si="2"/>
        <v>302976.09999999998</v>
      </c>
      <c r="U38" s="37">
        <f t="shared" si="4"/>
        <v>134.06022123893806</v>
      </c>
    </row>
    <row r="39" spans="1:21" ht="13.5" customHeight="1" x14ac:dyDescent="0.3">
      <c r="A39" s="19"/>
      <c r="C39" s="31">
        <v>29</v>
      </c>
      <c r="D39" s="1" t="s">
        <v>36</v>
      </c>
      <c r="E39" s="20">
        <v>196.7</v>
      </c>
      <c r="F39" s="20">
        <v>128.9</v>
      </c>
      <c r="G39" s="20">
        <v>100.9</v>
      </c>
      <c r="I39" s="20">
        <f t="shared" si="3"/>
        <v>146.35689655172413</v>
      </c>
      <c r="J39" s="45">
        <f>(I39/'AAU 22-23'!I40)-1</f>
        <v>6.6202558970681835E-2</v>
      </c>
      <c r="K39" s="18"/>
      <c r="M39" s="38">
        <f>542+288</f>
        <v>830</v>
      </c>
      <c r="N39" s="39">
        <f>232+318</f>
        <v>550</v>
      </c>
      <c r="O39" s="38">
        <f>303+405</f>
        <v>708</v>
      </c>
      <c r="P39" s="36">
        <f t="shared" si="0"/>
        <v>163261</v>
      </c>
      <c r="Q39" s="36">
        <f t="shared" si="0"/>
        <v>70895</v>
      </c>
      <c r="R39" s="36">
        <f t="shared" si="0"/>
        <v>71437.2</v>
      </c>
      <c r="S39" s="36">
        <f t="shared" si="1"/>
        <v>2088</v>
      </c>
      <c r="T39" s="36">
        <f t="shared" si="2"/>
        <v>305593.2</v>
      </c>
      <c r="U39" s="37">
        <f t="shared" si="4"/>
        <v>146.35689655172413</v>
      </c>
    </row>
    <row r="40" spans="1:21" ht="13.5" customHeight="1" x14ac:dyDescent="0.3">
      <c r="A40" s="19"/>
      <c r="B40" s="48" t="s">
        <v>66</v>
      </c>
      <c r="C40" s="31">
        <v>30</v>
      </c>
      <c r="D40" s="1" t="s">
        <v>125</v>
      </c>
      <c r="E40" s="20">
        <v>144</v>
      </c>
      <c r="F40" s="20">
        <v>105.2</v>
      </c>
      <c r="G40" s="20">
        <v>96.7</v>
      </c>
      <c r="I40" s="20">
        <f>U40</f>
        <v>119.05804828973842</v>
      </c>
      <c r="J40" s="45">
        <f>(I40/'AAU 22-23'!I41)-1</f>
        <v>3.1055240082967117E-2</v>
      </c>
      <c r="K40" s="18"/>
      <c r="M40" s="38">
        <f>267+136</f>
        <v>403</v>
      </c>
      <c r="N40" s="39">
        <f>202+170</f>
        <v>372</v>
      </c>
      <c r="O40" s="38">
        <f>108+111</f>
        <v>219</v>
      </c>
      <c r="P40" s="36">
        <f t="shared" si="0"/>
        <v>58032</v>
      </c>
      <c r="Q40" s="36">
        <f t="shared" si="0"/>
        <v>39134.400000000001</v>
      </c>
      <c r="R40" s="36">
        <f t="shared" si="0"/>
        <v>21177.3</v>
      </c>
      <c r="S40" s="36">
        <f t="shared" si="1"/>
        <v>994</v>
      </c>
      <c r="T40" s="36">
        <f t="shared" si="2"/>
        <v>118343.7</v>
      </c>
      <c r="U40" s="37">
        <f t="shared" si="4"/>
        <v>119.05804828973842</v>
      </c>
    </row>
    <row r="41" spans="1:21" ht="13.5" customHeight="1" x14ac:dyDescent="0.3">
      <c r="A41" s="19"/>
      <c r="C41" s="31">
        <v>31</v>
      </c>
      <c r="D41" s="1" t="s">
        <v>46</v>
      </c>
      <c r="E41" s="20">
        <v>167.4</v>
      </c>
      <c r="F41" s="20">
        <v>114.5</v>
      </c>
      <c r="G41" s="20">
        <v>88.4</v>
      </c>
      <c r="I41" s="20">
        <f t="shared" si="3"/>
        <v>122.12981790591806</v>
      </c>
      <c r="J41" s="45">
        <f>(I41/'AAU 22-23'!I42)-1</f>
        <v>6.5569410143980766E-2</v>
      </c>
      <c r="K41" s="18"/>
      <c r="M41" s="38">
        <f>276+145</f>
        <v>421</v>
      </c>
      <c r="N41" s="38">
        <f>242+187</f>
        <v>429</v>
      </c>
      <c r="O41" s="38">
        <f>212+256</f>
        <v>468</v>
      </c>
      <c r="P41" s="36">
        <f t="shared" si="0"/>
        <v>70475.400000000009</v>
      </c>
      <c r="Q41" s="36">
        <f t="shared" si="0"/>
        <v>49120.5</v>
      </c>
      <c r="R41" s="36">
        <f t="shared" si="0"/>
        <v>41371.200000000004</v>
      </c>
      <c r="S41" s="36">
        <f t="shared" si="1"/>
        <v>1318</v>
      </c>
      <c r="T41" s="36">
        <f t="shared" si="2"/>
        <v>160967.1</v>
      </c>
      <c r="U41" s="37">
        <f t="shared" si="4"/>
        <v>122.12981790591806</v>
      </c>
    </row>
    <row r="42" spans="1:21" ht="13.5" customHeight="1" x14ac:dyDescent="0.3">
      <c r="A42" s="19"/>
      <c r="C42" s="31">
        <v>32</v>
      </c>
      <c r="D42" s="1" t="s">
        <v>47</v>
      </c>
      <c r="E42" s="20">
        <v>188.9</v>
      </c>
      <c r="F42" s="20">
        <v>129.9</v>
      </c>
      <c r="G42" s="20">
        <v>102.8</v>
      </c>
      <c r="I42" s="20">
        <f t="shared" si="3"/>
        <v>148.72289442467377</v>
      </c>
      <c r="J42" s="45">
        <f>(I42/'AAU 22-23'!I43)-1</f>
        <v>4.4943521169335421E-2</v>
      </c>
      <c r="K42" s="18"/>
      <c r="M42" s="38">
        <f>261+92</f>
        <v>353</v>
      </c>
      <c r="N42" s="38">
        <f>175+132</f>
        <v>307</v>
      </c>
      <c r="O42" s="38">
        <f>93+90</f>
        <v>183</v>
      </c>
      <c r="P42" s="36">
        <f t="shared" si="0"/>
        <v>66681.7</v>
      </c>
      <c r="Q42" s="36">
        <f t="shared" si="0"/>
        <v>39879.300000000003</v>
      </c>
      <c r="R42" s="36">
        <f t="shared" si="0"/>
        <v>18812.399999999998</v>
      </c>
      <c r="S42" s="36">
        <f t="shared" si="1"/>
        <v>843</v>
      </c>
      <c r="T42" s="36">
        <f t="shared" si="2"/>
        <v>125373.4</v>
      </c>
      <c r="U42" s="37">
        <f t="shared" si="4"/>
        <v>148.72289442467377</v>
      </c>
    </row>
    <row r="43" spans="1:21" ht="13.5" customHeight="1" x14ac:dyDescent="0.3">
      <c r="A43" s="19"/>
      <c r="C43" s="31">
        <v>33</v>
      </c>
      <c r="D43" s="1" t="s">
        <v>48</v>
      </c>
      <c r="E43" s="20">
        <v>209.1</v>
      </c>
      <c r="F43" s="20">
        <v>142.1</v>
      </c>
      <c r="G43" s="20">
        <v>121.8</v>
      </c>
      <c r="I43" s="20">
        <f t="shared" si="3"/>
        <v>172.57317477876106</v>
      </c>
      <c r="J43" s="45">
        <f>(I43/'AAU 22-23'!I44)-1</f>
        <v>3.693013371665943E-2</v>
      </c>
      <c r="K43" s="18"/>
      <c r="M43" s="38">
        <f>648+294</f>
        <v>942</v>
      </c>
      <c r="N43" s="38">
        <f>267+204</f>
        <v>471</v>
      </c>
      <c r="O43" s="38">
        <f>209+186</f>
        <v>395</v>
      </c>
      <c r="P43" s="36">
        <f t="shared" si="0"/>
        <v>196972.19999999998</v>
      </c>
      <c r="Q43" s="36">
        <f t="shared" si="0"/>
        <v>66929.099999999991</v>
      </c>
      <c r="R43" s="36">
        <f t="shared" si="0"/>
        <v>48111</v>
      </c>
      <c r="S43" s="36">
        <f t="shared" si="1"/>
        <v>1808</v>
      </c>
      <c r="T43" s="36">
        <f t="shared" si="2"/>
        <v>312012.3</v>
      </c>
      <c r="U43" s="37">
        <f t="shared" si="4"/>
        <v>172.57317477876106</v>
      </c>
    </row>
    <row r="44" spans="1:21" ht="13.5" customHeight="1" x14ac:dyDescent="0.3">
      <c r="A44" s="19"/>
      <c r="C44" s="31">
        <v>34</v>
      </c>
      <c r="D44" s="1" t="s">
        <v>102</v>
      </c>
      <c r="E44" s="20">
        <v>178.1</v>
      </c>
      <c r="F44" s="20">
        <v>119.9</v>
      </c>
      <c r="G44" s="20">
        <v>111.9</v>
      </c>
      <c r="I44" s="20">
        <f t="shared" si="3"/>
        <v>148.09629439011837</v>
      </c>
      <c r="J44" s="45">
        <f>(I44/'AAU 22-23'!I45)-1</f>
        <v>8.5445766437619808E-2</v>
      </c>
      <c r="K44" s="18"/>
      <c r="M44" s="38">
        <f>786+211</f>
        <v>997</v>
      </c>
      <c r="N44" s="38">
        <f>327+214</f>
        <v>541</v>
      </c>
      <c r="O44" s="38">
        <f>228+177</f>
        <v>405</v>
      </c>
      <c r="P44" s="36">
        <f t="shared" si="0"/>
        <v>177565.69999999998</v>
      </c>
      <c r="Q44" s="36">
        <f t="shared" si="0"/>
        <v>64865.9</v>
      </c>
      <c r="R44" s="36">
        <f t="shared" si="0"/>
        <v>45319.5</v>
      </c>
      <c r="S44" s="36">
        <f t="shared" si="1"/>
        <v>1943</v>
      </c>
      <c r="T44" s="36">
        <f t="shared" si="2"/>
        <v>287751.09999999998</v>
      </c>
      <c r="U44" s="37">
        <f t="shared" si="4"/>
        <v>148.09629439011837</v>
      </c>
    </row>
    <row r="45" spans="1:21" ht="13.5" customHeight="1" x14ac:dyDescent="0.3">
      <c r="A45" s="19"/>
      <c r="C45" s="31">
        <v>35</v>
      </c>
      <c r="D45" s="1" t="s">
        <v>114</v>
      </c>
      <c r="E45" s="20">
        <v>149.80000000000001</v>
      </c>
      <c r="F45" s="20">
        <v>110.5</v>
      </c>
      <c r="G45" s="20">
        <v>99</v>
      </c>
      <c r="I45" s="20">
        <f t="shared" si="3"/>
        <v>123.57869446962827</v>
      </c>
      <c r="J45" s="45">
        <f>(I45/'AAU 22-23'!I46)-1</f>
        <v>3.6540862777609151E-2</v>
      </c>
      <c r="K45" s="18"/>
      <c r="M45" s="38">
        <f>319+142</f>
        <v>461</v>
      </c>
      <c r="N45" s="38">
        <f>184+137</f>
        <v>321</v>
      </c>
      <c r="O45" s="38">
        <f>179+142</f>
        <v>321</v>
      </c>
      <c r="P45" s="36">
        <f t="shared" si="0"/>
        <v>69057.8</v>
      </c>
      <c r="Q45" s="36">
        <f t="shared" si="0"/>
        <v>35470.5</v>
      </c>
      <c r="R45" s="36">
        <f t="shared" si="0"/>
        <v>31779</v>
      </c>
      <c r="S45" s="36">
        <f t="shared" si="1"/>
        <v>1103</v>
      </c>
      <c r="T45" s="36">
        <f t="shared" si="2"/>
        <v>136307.29999999999</v>
      </c>
      <c r="U45" s="37">
        <f t="shared" si="4"/>
        <v>123.57869446962827</v>
      </c>
    </row>
    <row r="46" spans="1:21" ht="13.5" customHeight="1" x14ac:dyDescent="0.3">
      <c r="A46" s="19"/>
      <c r="C46" s="31">
        <v>36</v>
      </c>
      <c r="D46" s="1" t="s">
        <v>38</v>
      </c>
      <c r="E46" s="20">
        <v>209.5</v>
      </c>
      <c r="F46" s="20">
        <v>133.80000000000001</v>
      </c>
      <c r="G46" s="20">
        <v>107</v>
      </c>
      <c r="I46" s="20">
        <f t="shared" si="3"/>
        <v>156.76651162790699</v>
      </c>
      <c r="J46" s="45">
        <f>(I46/'AAU 22-23'!I47)-1</f>
        <v>2.4553686165798227E-2</v>
      </c>
      <c r="K46" s="18"/>
      <c r="M46" s="38">
        <f>421+185</f>
        <v>606</v>
      </c>
      <c r="N46" s="38">
        <f>241+236</f>
        <v>477</v>
      </c>
      <c r="O46" s="38">
        <f>216+206</f>
        <v>422</v>
      </c>
      <c r="P46" s="36">
        <f t="shared" si="0"/>
        <v>126957</v>
      </c>
      <c r="Q46" s="36">
        <f t="shared" si="0"/>
        <v>63822.600000000006</v>
      </c>
      <c r="R46" s="36">
        <f t="shared" si="0"/>
        <v>45154</v>
      </c>
      <c r="S46" s="36">
        <f t="shared" si="1"/>
        <v>1505</v>
      </c>
      <c r="T46" s="36">
        <f t="shared" si="2"/>
        <v>235933.6</v>
      </c>
      <c r="U46" s="37">
        <f t="shared" si="4"/>
        <v>156.76651162790699</v>
      </c>
    </row>
    <row r="47" spans="1:21" ht="13.5" customHeight="1" x14ac:dyDescent="0.3">
      <c r="A47" s="19"/>
      <c r="C47" s="31">
        <v>37</v>
      </c>
      <c r="D47" s="1" t="s">
        <v>39</v>
      </c>
      <c r="E47" s="20">
        <v>169.4</v>
      </c>
      <c r="F47" s="20">
        <f>122.6</f>
        <v>122.6</v>
      </c>
      <c r="G47" s="20">
        <v>107.8</v>
      </c>
      <c r="I47" s="20">
        <f t="shared" si="3"/>
        <v>139.4416403785489</v>
      </c>
      <c r="J47" s="45">
        <f>(I47/'AAU 22-23'!I48)-1</f>
        <v>3.5331617936187332E-2</v>
      </c>
      <c r="K47" s="18"/>
      <c r="M47" s="38">
        <f>513+328</f>
        <v>841</v>
      </c>
      <c r="N47" s="38">
        <f>280+286</f>
        <v>566</v>
      </c>
      <c r="O47" s="38">
        <f>215+280</f>
        <v>495</v>
      </c>
      <c r="P47" s="36">
        <f t="shared" si="0"/>
        <v>142465.4</v>
      </c>
      <c r="Q47" s="36">
        <f t="shared" si="0"/>
        <v>69391.599999999991</v>
      </c>
      <c r="R47" s="36">
        <f t="shared" si="0"/>
        <v>53361</v>
      </c>
      <c r="S47" s="36">
        <f t="shared" si="1"/>
        <v>1902</v>
      </c>
      <c r="T47" s="36">
        <f t="shared" si="2"/>
        <v>265218</v>
      </c>
      <c r="U47" s="37">
        <f t="shared" si="4"/>
        <v>139.4416403785489</v>
      </c>
    </row>
    <row r="48" spans="1:21" ht="13.5" customHeight="1" x14ac:dyDescent="0.3">
      <c r="A48" s="19"/>
      <c r="C48" s="31">
        <v>38</v>
      </c>
      <c r="D48" s="1" t="s">
        <v>40</v>
      </c>
      <c r="E48" s="20">
        <v>181.9</v>
      </c>
      <c r="F48" s="20">
        <v>135.69999999999999</v>
      </c>
      <c r="G48" s="20">
        <v>111.5</v>
      </c>
      <c r="I48" s="20">
        <f t="shared" si="3"/>
        <v>151.77356568364613</v>
      </c>
      <c r="J48" s="45">
        <f>(I48/'AAU 22-23'!I49)-1</f>
        <v>4.8808841332569797E-2</v>
      </c>
      <c r="K48" s="18"/>
      <c r="M48" s="38">
        <f>613+336</f>
        <v>949</v>
      </c>
      <c r="N48" s="38">
        <f>168+175</f>
        <v>343</v>
      </c>
      <c r="O48" s="38">
        <f>274+299</f>
        <v>573</v>
      </c>
      <c r="P48" s="36">
        <f t="shared" si="0"/>
        <v>172623.1</v>
      </c>
      <c r="Q48" s="36">
        <f t="shared" si="0"/>
        <v>46545.1</v>
      </c>
      <c r="R48" s="36">
        <f t="shared" si="0"/>
        <v>63889.5</v>
      </c>
      <c r="S48" s="36">
        <f t="shared" si="1"/>
        <v>1865</v>
      </c>
      <c r="T48" s="36">
        <f t="shared" si="2"/>
        <v>283057.7</v>
      </c>
      <c r="U48" s="37">
        <f t="shared" si="4"/>
        <v>151.77356568364613</v>
      </c>
    </row>
    <row r="49" spans="1:21" ht="13.5" customHeight="1" x14ac:dyDescent="0.3">
      <c r="A49" s="19"/>
      <c r="K49" s="18"/>
    </row>
    <row r="50" spans="1:21" ht="13.5" customHeight="1" x14ac:dyDescent="0.3">
      <c r="A50" s="19"/>
      <c r="D50" s="44" t="s">
        <v>54</v>
      </c>
      <c r="E50" s="41">
        <f>P50/M50</f>
        <v>182.92701430866936</v>
      </c>
      <c r="F50" s="41">
        <f t="shared" ref="F50:G50" si="5">Q50/N50</f>
        <v>121.94194074969772</v>
      </c>
      <c r="G50" s="41">
        <f t="shared" si="5"/>
        <v>105.20036055411472</v>
      </c>
      <c r="H50" s="40"/>
      <c r="I50" s="41">
        <f>U50</f>
        <v>144.67109785080444</v>
      </c>
      <c r="J50" s="46">
        <f>(I50/'AAU 22-23'!I51)-1</f>
        <v>3.50604932786025E-2</v>
      </c>
      <c r="K50" s="18"/>
      <c r="M50" s="39">
        <f t="shared" ref="M50:R50" si="6">SUM(M11:M48)</f>
        <v>26138</v>
      </c>
      <c r="N50" s="39">
        <f t="shared" si="6"/>
        <v>16540</v>
      </c>
      <c r="O50" s="39">
        <f t="shared" si="6"/>
        <v>15809</v>
      </c>
      <c r="P50" s="39">
        <f t="shared" si="6"/>
        <v>4781346.3</v>
      </c>
      <c r="Q50" s="39">
        <f t="shared" si="6"/>
        <v>2016919.7000000004</v>
      </c>
      <c r="R50" s="39">
        <f t="shared" si="6"/>
        <v>1663112.4999999998</v>
      </c>
      <c r="S50" s="36">
        <f>M50+N50+O50</f>
        <v>58487</v>
      </c>
      <c r="T50" s="36">
        <f>P50+Q50+R50</f>
        <v>8461378.5</v>
      </c>
      <c r="U50" s="37">
        <f>T50/S50</f>
        <v>144.67109785080444</v>
      </c>
    </row>
    <row r="51" spans="1:21" ht="13.5" customHeight="1" x14ac:dyDescent="0.3">
      <c r="A51" s="19"/>
      <c r="D51" s="44" t="s">
        <v>55</v>
      </c>
      <c r="E51" s="41">
        <f>MEDIAN(E11:E48)</f>
        <v>176.14999999999998</v>
      </c>
      <c r="F51" s="41">
        <f>MEDIAN(F11:F48)</f>
        <v>120.30000000000001</v>
      </c>
      <c r="G51" s="41">
        <f>MEDIAN(G11:G48)</f>
        <v>107.4</v>
      </c>
      <c r="H51" s="40"/>
      <c r="I51" s="41">
        <f>MEDIAN(I11:I48)</f>
        <v>141.24793969897823</v>
      </c>
      <c r="J51" s="46">
        <f>(I51/'AAU 22-23'!I52)-1</f>
        <v>4.8743098128332552E-2</v>
      </c>
      <c r="K51" s="18"/>
    </row>
    <row r="52" spans="1:21" ht="13.5" customHeight="1" x14ac:dyDescent="0.3">
      <c r="A52" s="19"/>
      <c r="B52" s="22"/>
      <c r="C52" s="33"/>
      <c r="D52" s="22"/>
      <c r="E52" s="22"/>
      <c r="F52" s="22"/>
      <c r="G52" s="22"/>
      <c r="H52" s="22"/>
      <c r="I52" s="22"/>
      <c r="J52" s="22"/>
      <c r="K52" s="18"/>
    </row>
    <row r="53" spans="1:21" ht="13.5" customHeight="1" x14ac:dyDescent="0.3">
      <c r="A53" s="19"/>
      <c r="B53" s="1" t="s">
        <v>127</v>
      </c>
      <c r="K53" s="18"/>
    </row>
    <row r="54" spans="1:21" ht="13.5" customHeight="1" x14ac:dyDescent="0.3">
      <c r="A54" s="19"/>
      <c r="K54" s="18"/>
    </row>
    <row r="55" spans="1:21" ht="13.5" customHeight="1" x14ac:dyDescent="0.3">
      <c r="A55" s="19"/>
      <c r="B55" s="16" t="s">
        <v>58</v>
      </c>
      <c r="K55" s="18"/>
    </row>
    <row r="56" spans="1:21" ht="13.5" customHeight="1" x14ac:dyDescent="0.3">
      <c r="A56" s="19"/>
      <c r="K56" s="18"/>
    </row>
    <row r="57" spans="1:21" ht="13.5" customHeight="1" x14ac:dyDescent="0.3">
      <c r="A57" s="21"/>
      <c r="B57" s="42" t="s">
        <v>56</v>
      </c>
      <c r="C57" s="33"/>
      <c r="D57" s="22"/>
      <c r="E57" s="22"/>
      <c r="F57" s="22"/>
      <c r="G57" s="22"/>
      <c r="H57" s="22"/>
      <c r="I57" s="22"/>
      <c r="J57" s="43" t="s">
        <v>128</v>
      </c>
      <c r="K57" s="23"/>
    </row>
  </sheetData>
  <mergeCells count="2">
    <mergeCell ref="A2:K2"/>
    <mergeCell ref="D7:I7"/>
  </mergeCells>
  <printOptions horizontalCentered="1"/>
  <pageMargins left="0.7" right="0.45" top="0.5" bottom="0.25" header="0.3" footer="0.3"/>
  <pageSetup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76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102.3</v>
      </c>
      <c r="F11" s="20">
        <v>71.400000000000006</v>
      </c>
      <c r="G11" s="20">
        <v>63.5</v>
      </c>
      <c r="I11" s="20">
        <f>U11</f>
        <v>85.022995461422084</v>
      </c>
      <c r="J11" s="45">
        <f>(I11/'AAU 04-05'!I11)-1</f>
        <v>6.3845777949024241E-2</v>
      </c>
      <c r="K11" s="18"/>
      <c r="M11" s="38">
        <f>512+146</f>
        <v>658</v>
      </c>
      <c r="N11" s="38">
        <f>228+142</f>
        <v>370</v>
      </c>
      <c r="O11" s="38">
        <f>180+114</f>
        <v>294</v>
      </c>
      <c r="P11" s="36">
        <f t="shared" ref="P11:R44" si="0">E11*M11</f>
        <v>67313.399999999994</v>
      </c>
      <c r="Q11" s="36">
        <f t="shared" si="0"/>
        <v>26418.000000000004</v>
      </c>
      <c r="R11" s="36">
        <f t="shared" si="0"/>
        <v>18669</v>
      </c>
      <c r="S11" s="36">
        <f t="shared" ref="S11:S44" si="1">M11+N11+O11</f>
        <v>1322</v>
      </c>
      <c r="T11" s="36">
        <f t="shared" ref="T11:T44" si="2">P11+Q11+R11</f>
        <v>112400.4</v>
      </c>
      <c r="U11" s="37">
        <f>T11/S11</f>
        <v>85.022995461422084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126.2</v>
      </c>
      <c r="F12" s="20">
        <v>81.900000000000006</v>
      </c>
      <c r="G12" s="20">
        <v>74.099999999999994</v>
      </c>
      <c r="I12" s="20">
        <f t="shared" ref="I12:I46" si="3">U12</f>
        <v>108.1518942101501</v>
      </c>
      <c r="J12" s="45">
        <f>(I12/'AAU 04-05'!I12)-1</f>
        <v>3.6706585243706069E-2</v>
      </c>
      <c r="K12" s="18"/>
      <c r="M12" s="38">
        <f>686+186</f>
        <v>872</v>
      </c>
      <c r="N12" s="38">
        <f>175+108</f>
        <v>283</v>
      </c>
      <c r="O12" s="38">
        <f>147+97</f>
        <v>244</v>
      </c>
      <c r="P12" s="36">
        <f t="shared" si="0"/>
        <v>110046.40000000001</v>
      </c>
      <c r="Q12" s="36">
        <f t="shared" si="0"/>
        <v>23177.7</v>
      </c>
      <c r="R12" s="36">
        <f t="shared" si="0"/>
        <v>18080.399999999998</v>
      </c>
      <c r="S12" s="36">
        <f t="shared" si="1"/>
        <v>1399</v>
      </c>
      <c r="T12" s="36">
        <f t="shared" si="2"/>
        <v>151304.5</v>
      </c>
      <c r="U12" s="37">
        <f t="shared" ref="U12:U44" si="4">T12/S12</f>
        <v>108.1518942101501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107</v>
      </c>
      <c r="F13" s="20">
        <v>70.2</v>
      </c>
      <c r="G13" s="20">
        <v>63.1</v>
      </c>
      <c r="I13" s="20">
        <f t="shared" si="3"/>
        <v>91.228879610299231</v>
      </c>
      <c r="J13" s="45">
        <f>(I13/'AAU 04-05'!I13)-1</f>
        <v>2.6728526899762128E-2</v>
      </c>
      <c r="K13" s="18"/>
      <c r="M13" s="38">
        <f>695+185</f>
        <v>880</v>
      </c>
      <c r="N13" s="38">
        <f>153+99</f>
        <v>252</v>
      </c>
      <c r="O13" s="38">
        <f>172+133</f>
        <v>305</v>
      </c>
      <c r="P13" s="36">
        <f t="shared" si="0"/>
        <v>94160</v>
      </c>
      <c r="Q13" s="36">
        <f t="shared" si="0"/>
        <v>17690.400000000001</v>
      </c>
      <c r="R13" s="36">
        <f t="shared" si="0"/>
        <v>19245.5</v>
      </c>
      <c r="S13" s="36">
        <f t="shared" si="1"/>
        <v>1437</v>
      </c>
      <c r="T13" s="36">
        <f t="shared" si="2"/>
        <v>131095.9</v>
      </c>
      <c r="U13" s="37">
        <f t="shared" si="4"/>
        <v>91.228879610299231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112.2</v>
      </c>
      <c r="F14" s="20">
        <v>74.599999999999994</v>
      </c>
      <c r="G14" s="20">
        <v>65.8</v>
      </c>
      <c r="I14" s="20">
        <f t="shared" si="3"/>
        <v>91.438420490928479</v>
      </c>
      <c r="J14" s="45">
        <f>(I14/'AAU 04-05'!I14)-1</f>
        <v>3.4660678783146048E-2</v>
      </c>
      <c r="K14" s="18"/>
      <c r="M14" s="38">
        <f>382+98</f>
        <v>480</v>
      </c>
      <c r="N14" s="38">
        <f>123+76</f>
        <v>199</v>
      </c>
      <c r="O14" s="38">
        <f>158+100</f>
        <v>258</v>
      </c>
      <c r="P14" s="36">
        <f t="shared" si="0"/>
        <v>53856</v>
      </c>
      <c r="Q14" s="36">
        <f t="shared" si="0"/>
        <v>14845.4</v>
      </c>
      <c r="R14" s="36">
        <f t="shared" si="0"/>
        <v>16976.399999999998</v>
      </c>
      <c r="S14" s="36">
        <f t="shared" si="1"/>
        <v>937</v>
      </c>
      <c r="T14" s="36">
        <f t="shared" si="2"/>
        <v>85677.799999999988</v>
      </c>
      <c r="U14" s="37">
        <f t="shared" si="4"/>
        <v>91.438420490928479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128.4</v>
      </c>
      <c r="F15" s="20">
        <v>82</v>
      </c>
      <c r="G15" s="20">
        <v>67</v>
      </c>
      <c r="I15" s="20">
        <f t="shared" si="3"/>
        <v>107.55580046403713</v>
      </c>
      <c r="J15" s="45">
        <f>(I15/'AAU 04-05'!I15)-1</f>
        <v>4.1594707731770209E-2</v>
      </c>
      <c r="K15" s="18"/>
      <c r="M15" s="38">
        <f>822+241</f>
        <v>1063</v>
      </c>
      <c r="N15" s="38">
        <f>196+114</f>
        <v>310</v>
      </c>
      <c r="O15" s="38">
        <f>216+135</f>
        <v>351</v>
      </c>
      <c r="P15" s="36">
        <f t="shared" si="0"/>
        <v>136489.20000000001</v>
      </c>
      <c r="Q15" s="36">
        <f t="shared" si="0"/>
        <v>25420</v>
      </c>
      <c r="R15" s="36">
        <f t="shared" si="0"/>
        <v>23517</v>
      </c>
      <c r="S15" s="36">
        <f t="shared" si="1"/>
        <v>1724</v>
      </c>
      <c r="T15" s="36">
        <f t="shared" si="2"/>
        <v>185426.2</v>
      </c>
      <c r="U15" s="37">
        <f t="shared" si="4"/>
        <v>107.55580046403713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118.1</v>
      </c>
      <c r="F16" s="20">
        <v>73.599999999999994</v>
      </c>
      <c r="G16" s="20">
        <v>66.099999999999994</v>
      </c>
      <c r="I16" s="20">
        <f t="shared" si="3"/>
        <v>99.475446960667455</v>
      </c>
      <c r="J16" s="45">
        <f>(I16/'AAU 04-05'!I16)-1</f>
        <v>4.2326644609246511E-2</v>
      </c>
      <c r="K16" s="18"/>
      <c r="M16" s="38">
        <f>442+74</f>
        <v>516</v>
      </c>
      <c r="N16" s="38">
        <f>109+47</f>
        <v>156</v>
      </c>
      <c r="O16" s="38">
        <f>110+57</f>
        <v>167</v>
      </c>
      <c r="P16" s="36">
        <f t="shared" si="0"/>
        <v>60939.6</v>
      </c>
      <c r="Q16" s="36">
        <f t="shared" si="0"/>
        <v>11481.599999999999</v>
      </c>
      <c r="R16" s="36">
        <f t="shared" si="0"/>
        <v>11038.699999999999</v>
      </c>
      <c r="S16" s="36">
        <f t="shared" si="1"/>
        <v>839</v>
      </c>
      <c r="T16" s="36">
        <f t="shared" si="2"/>
        <v>83459.899999999994</v>
      </c>
      <c r="U16" s="37">
        <f t="shared" si="4"/>
        <v>99.475446960667455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115.1</v>
      </c>
      <c r="F17" s="20">
        <v>70.900000000000006</v>
      </c>
      <c r="G17" s="20">
        <v>63.9</v>
      </c>
      <c r="I17" s="20">
        <f t="shared" si="3"/>
        <v>96.877468354430377</v>
      </c>
      <c r="J17" s="45">
        <f>(I17/'AAU 04-05'!I17)-1</f>
        <v>4.1631529148823399E-2</v>
      </c>
      <c r="K17" s="18"/>
      <c r="M17" s="38">
        <f>391+95</f>
        <v>486</v>
      </c>
      <c r="N17" s="38">
        <f>94+73</f>
        <v>167</v>
      </c>
      <c r="O17" s="38">
        <f>87+50</f>
        <v>137</v>
      </c>
      <c r="P17" s="36">
        <f t="shared" si="0"/>
        <v>55938.6</v>
      </c>
      <c r="Q17" s="36">
        <f t="shared" si="0"/>
        <v>11840.300000000001</v>
      </c>
      <c r="R17" s="36">
        <f t="shared" si="0"/>
        <v>8754.2999999999993</v>
      </c>
      <c r="S17" s="36">
        <f t="shared" si="1"/>
        <v>790</v>
      </c>
      <c r="T17" s="36">
        <f t="shared" si="2"/>
        <v>76533.2</v>
      </c>
      <c r="U17" s="37">
        <f t="shared" si="4"/>
        <v>96.877468354430377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102.8</v>
      </c>
      <c r="F18" s="20">
        <v>74.5</v>
      </c>
      <c r="G18" s="20">
        <v>65.2</v>
      </c>
      <c r="I18" s="20">
        <f t="shared" si="3"/>
        <v>84.968592436974802</v>
      </c>
      <c r="J18" s="45">
        <f>(I18/'AAU 04-05'!I18)-1</f>
        <v>2.4812147431907183E-2</v>
      </c>
      <c r="K18" s="18"/>
      <c r="M18" s="38">
        <f>351+82</f>
        <v>433</v>
      </c>
      <c r="N18" s="38">
        <f>180+93</f>
        <v>273</v>
      </c>
      <c r="O18" s="38">
        <f>153+93</f>
        <v>246</v>
      </c>
      <c r="P18" s="36">
        <f t="shared" si="0"/>
        <v>44512.4</v>
      </c>
      <c r="Q18" s="36">
        <f t="shared" si="0"/>
        <v>20338.5</v>
      </c>
      <c r="R18" s="36">
        <f t="shared" si="0"/>
        <v>16039.2</v>
      </c>
      <c r="S18" s="36">
        <f t="shared" si="1"/>
        <v>952</v>
      </c>
      <c r="T18" s="36">
        <f t="shared" si="2"/>
        <v>80890.100000000006</v>
      </c>
      <c r="U18" s="37">
        <f t="shared" si="4"/>
        <v>84.968592436974802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101.4</v>
      </c>
      <c r="F19" s="20">
        <v>71.7</v>
      </c>
      <c r="G19" s="20">
        <v>61.6</v>
      </c>
      <c r="I19" s="20">
        <f t="shared" si="3"/>
        <v>81.007696933253172</v>
      </c>
      <c r="J19" s="45">
        <f>(I19/'AAU 04-05'!I19)-1</f>
        <v>4.7521395173200087E-2</v>
      </c>
      <c r="K19" s="18"/>
      <c r="M19" s="38">
        <f>559+122</f>
        <v>681</v>
      </c>
      <c r="N19" s="38">
        <f>355+157</f>
        <v>512</v>
      </c>
      <c r="O19" s="38">
        <f>279+191</f>
        <v>470</v>
      </c>
      <c r="P19" s="36">
        <f t="shared" si="0"/>
        <v>69053.400000000009</v>
      </c>
      <c r="Q19" s="36">
        <f t="shared" si="0"/>
        <v>36710.400000000001</v>
      </c>
      <c r="R19" s="36">
        <f t="shared" si="0"/>
        <v>28952</v>
      </c>
      <c r="S19" s="36">
        <f t="shared" si="1"/>
        <v>1663</v>
      </c>
      <c r="T19" s="36">
        <f t="shared" si="2"/>
        <v>134715.80000000002</v>
      </c>
      <c r="U19" s="37">
        <f t="shared" si="4"/>
        <v>81.007696933253172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116.6</v>
      </c>
      <c r="F20" s="20">
        <v>77.599999999999994</v>
      </c>
      <c r="G20" s="20">
        <v>69.599999999999994</v>
      </c>
      <c r="I20" s="20">
        <f t="shared" si="3"/>
        <v>92.865886287625415</v>
      </c>
      <c r="J20" s="45">
        <f>(I20/'AAU 04-05'!I20)-1</f>
        <v>2.9196731815609889E-2</v>
      </c>
      <c r="K20" s="18"/>
      <c r="M20" s="38">
        <f>678+127</f>
        <v>805</v>
      </c>
      <c r="N20" s="38">
        <f>331+157</f>
        <v>488</v>
      </c>
      <c r="O20" s="38">
        <f>314+187</f>
        <v>501</v>
      </c>
      <c r="P20" s="36">
        <f t="shared" si="0"/>
        <v>93863</v>
      </c>
      <c r="Q20" s="36">
        <f t="shared" si="0"/>
        <v>37868.799999999996</v>
      </c>
      <c r="R20" s="36">
        <f t="shared" si="0"/>
        <v>34869.599999999999</v>
      </c>
      <c r="S20" s="36">
        <f t="shared" si="1"/>
        <v>1794</v>
      </c>
      <c r="T20" s="36">
        <f t="shared" si="2"/>
        <v>166601.4</v>
      </c>
      <c r="U20" s="37">
        <f t="shared" si="4"/>
        <v>92.865886287625415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104.9</v>
      </c>
      <c r="F21" s="20">
        <v>72.8</v>
      </c>
      <c r="G21" s="20">
        <v>62.6</v>
      </c>
      <c r="I21" s="20">
        <f t="shared" si="3"/>
        <v>84.672159090909091</v>
      </c>
      <c r="J21" s="45">
        <f>(I21/'AAU 04-05'!I21)-1</f>
        <v>2.2857684113422039E-2</v>
      </c>
      <c r="K21" s="18"/>
      <c r="M21" s="38">
        <f>507+131</f>
        <v>638</v>
      </c>
      <c r="N21" s="38">
        <f>256+145</f>
        <v>401</v>
      </c>
      <c r="O21" s="38">
        <f>207+162</f>
        <v>369</v>
      </c>
      <c r="P21" s="36">
        <f t="shared" si="0"/>
        <v>66926.2</v>
      </c>
      <c r="Q21" s="36">
        <f t="shared" si="0"/>
        <v>29192.799999999999</v>
      </c>
      <c r="R21" s="36">
        <f t="shared" si="0"/>
        <v>23099.4</v>
      </c>
      <c r="S21" s="36">
        <f t="shared" si="1"/>
        <v>1408</v>
      </c>
      <c r="T21" s="36">
        <f t="shared" si="2"/>
        <v>119218.4</v>
      </c>
      <c r="U21" s="37">
        <f t="shared" si="4"/>
        <v>84.672159090909091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105.3</v>
      </c>
      <c r="F22" s="20">
        <v>70.900000000000006</v>
      </c>
      <c r="G22" s="20">
        <v>63.9</v>
      </c>
      <c r="I22" s="20">
        <f t="shared" si="3"/>
        <v>84.394876325088333</v>
      </c>
      <c r="J22" s="45">
        <f>(I22/'AAU 04-05'!I22)-1</f>
        <v>2.1445870301508796E-2</v>
      </c>
      <c r="K22" s="18"/>
      <c r="M22" s="38">
        <f>398+100</f>
        <v>498</v>
      </c>
      <c r="N22" s="38">
        <f>216+153</f>
        <v>369</v>
      </c>
      <c r="O22" s="38">
        <f>152+113</f>
        <v>265</v>
      </c>
      <c r="P22" s="36">
        <f t="shared" si="0"/>
        <v>52439.4</v>
      </c>
      <c r="Q22" s="36">
        <f t="shared" si="0"/>
        <v>26162.100000000002</v>
      </c>
      <c r="R22" s="36">
        <f t="shared" si="0"/>
        <v>16933.5</v>
      </c>
      <c r="S22" s="36">
        <f t="shared" si="1"/>
        <v>1132</v>
      </c>
      <c r="T22" s="36">
        <f t="shared" si="2"/>
        <v>95535</v>
      </c>
      <c r="U22" s="37">
        <f t="shared" si="4"/>
        <v>84.394876325088333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97.2</v>
      </c>
      <c r="F23" s="20">
        <v>72.3</v>
      </c>
      <c r="G23" s="20">
        <v>61.7</v>
      </c>
      <c r="I23" s="20">
        <f t="shared" si="3"/>
        <v>79.331566265060246</v>
      </c>
      <c r="J23" s="45">
        <f>(I23/'AAU 04-05'!I23)-1</f>
        <v>3.6403133627189277E-2</v>
      </c>
      <c r="K23" s="18"/>
      <c r="M23" s="38">
        <f>418+83</f>
        <v>501</v>
      </c>
      <c r="N23" s="38">
        <f>267+126</f>
        <v>393</v>
      </c>
      <c r="O23" s="38">
        <f>218+133</f>
        <v>351</v>
      </c>
      <c r="P23" s="36">
        <f t="shared" si="0"/>
        <v>48697.200000000004</v>
      </c>
      <c r="Q23" s="36">
        <f t="shared" si="0"/>
        <v>28413.899999999998</v>
      </c>
      <c r="R23" s="36">
        <f t="shared" si="0"/>
        <v>21656.7</v>
      </c>
      <c r="S23" s="36">
        <f t="shared" si="1"/>
        <v>1245</v>
      </c>
      <c r="T23" s="36">
        <f t="shared" si="2"/>
        <v>98767.8</v>
      </c>
      <c r="U23" s="37">
        <f t="shared" si="4"/>
        <v>79.331566265060246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98</v>
      </c>
      <c r="F24" s="20">
        <v>68.7</v>
      </c>
      <c r="G24" s="20">
        <v>59.4</v>
      </c>
      <c r="I24" s="20">
        <f t="shared" si="3"/>
        <v>77.99262626262626</v>
      </c>
      <c r="J24" s="45">
        <f>(I24/'AAU 04-05'!I24)-1</f>
        <v>2.2656881191397193E-2</v>
      </c>
      <c r="K24" s="18"/>
      <c r="M24" s="38">
        <f>324+76</f>
        <v>400</v>
      </c>
      <c r="N24" s="38">
        <f>211+108</f>
        <v>319</v>
      </c>
      <c r="O24" s="38">
        <f>140+131</f>
        <v>271</v>
      </c>
      <c r="P24" s="36">
        <f t="shared" si="0"/>
        <v>39200</v>
      </c>
      <c r="Q24" s="36">
        <f t="shared" si="0"/>
        <v>21915.3</v>
      </c>
      <c r="R24" s="36">
        <f t="shared" si="0"/>
        <v>16097.4</v>
      </c>
      <c r="S24" s="36">
        <f t="shared" si="1"/>
        <v>990</v>
      </c>
      <c r="T24" s="36">
        <f t="shared" si="2"/>
        <v>77212.7</v>
      </c>
      <c r="U24" s="37">
        <f t="shared" si="4"/>
        <v>77.99262626262626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115.7</v>
      </c>
      <c r="F25" s="20">
        <v>80.3</v>
      </c>
      <c r="G25" s="20">
        <v>75.900000000000006</v>
      </c>
      <c r="I25" s="20">
        <f t="shared" si="3"/>
        <v>97.044235116804828</v>
      </c>
      <c r="J25" s="45">
        <f>(I25/'AAU 04-05'!I25)-1</f>
        <v>3.8259277689744131E-2</v>
      </c>
      <c r="K25" s="18"/>
      <c r="M25" s="38">
        <f>528+130</f>
        <v>658</v>
      </c>
      <c r="N25" s="38">
        <f>292+133</f>
        <v>425</v>
      </c>
      <c r="O25" s="38">
        <f>151+93</f>
        <v>244</v>
      </c>
      <c r="P25" s="36">
        <f t="shared" si="0"/>
        <v>76130.600000000006</v>
      </c>
      <c r="Q25" s="36">
        <f t="shared" si="0"/>
        <v>34127.5</v>
      </c>
      <c r="R25" s="36">
        <f t="shared" si="0"/>
        <v>18519.600000000002</v>
      </c>
      <c r="S25" s="36">
        <f t="shared" si="1"/>
        <v>1327</v>
      </c>
      <c r="T25" s="36">
        <f t="shared" si="2"/>
        <v>128777.70000000001</v>
      </c>
      <c r="U25" s="37">
        <f t="shared" si="4"/>
        <v>97.044235116804828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125.6</v>
      </c>
      <c r="F26" s="20">
        <v>83.7</v>
      </c>
      <c r="G26" s="20">
        <v>72.8</v>
      </c>
      <c r="I26" s="20">
        <f t="shared" si="3"/>
        <v>100.2989722507708</v>
      </c>
      <c r="J26" s="45">
        <f>(I26/'AAU 04-05'!I26)-1</f>
        <v>5.45280183808039E-2</v>
      </c>
      <c r="K26" s="18"/>
      <c r="M26" s="38">
        <f>724+190</f>
        <v>914</v>
      </c>
      <c r="N26" s="38">
        <f>288+194</f>
        <v>482</v>
      </c>
      <c r="O26" s="38">
        <f>327+223</f>
        <v>550</v>
      </c>
      <c r="P26" s="36">
        <f t="shared" si="0"/>
        <v>114798.39999999999</v>
      </c>
      <c r="Q26" s="36">
        <f t="shared" si="0"/>
        <v>40343.4</v>
      </c>
      <c r="R26" s="36">
        <f t="shared" si="0"/>
        <v>40040</v>
      </c>
      <c r="S26" s="36">
        <f t="shared" si="1"/>
        <v>1946</v>
      </c>
      <c r="T26" s="36">
        <f t="shared" si="2"/>
        <v>195181.8</v>
      </c>
      <c r="U26" s="37">
        <f t="shared" si="4"/>
        <v>100.2989722507708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105.9</v>
      </c>
      <c r="F27" s="20">
        <v>76.400000000000006</v>
      </c>
      <c r="G27" s="20">
        <v>60.2</v>
      </c>
      <c r="I27" s="20">
        <f t="shared" si="3"/>
        <v>85.285995085995083</v>
      </c>
      <c r="J27" s="45">
        <f>(I27/'AAU 04-05'!I27)-1</f>
        <v>2.2319831243916344E-2</v>
      </c>
      <c r="K27" s="18"/>
      <c r="M27" s="38">
        <f>732+194</f>
        <v>926</v>
      </c>
      <c r="N27" s="38">
        <f>339+200</f>
        <v>539</v>
      </c>
      <c r="O27" s="38">
        <f>312+258</f>
        <v>570</v>
      </c>
      <c r="P27" s="36">
        <f t="shared" si="0"/>
        <v>98063.400000000009</v>
      </c>
      <c r="Q27" s="36">
        <f t="shared" si="0"/>
        <v>41179.600000000006</v>
      </c>
      <c r="R27" s="36">
        <f t="shared" si="0"/>
        <v>34314</v>
      </c>
      <c r="S27" s="36">
        <f t="shared" si="1"/>
        <v>2035</v>
      </c>
      <c r="T27" s="36">
        <f t="shared" si="2"/>
        <v>173557</v>
      </c>
      <c r="U27" s="37">
        <f t="shared" si="4"/>
        <v>85.285995085995083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110.3</v>
      </c>
      <c r="F28" s="20">
        <v>75.599999999999994</v>
      </c>
      <c r="G28" s="20">
        <v>65.400000000000006</v>
      </c>
      <c r="I28" s="20">
        <f t="shared" si="3"/>
        <v>90.0810583283223</v>
      </c>
      <c r="J28" s="45">
        <f>(I28/'AAU 04-05'!I28)-1</f>
        <v>4.7708247277306715E-2</v>
      </c>
      <c r="K28" s="18"/>
      <c r="M28" s="38">
        <f>647+159</f>
        <v>806</v>
      </c>
      <c r="N28" s="38">
        <f>287+189</f>
        <v>476</v>
      </c>
      <c r="O28" s="38">
        <f>219+162</f>
        <v>381</v>
      </c>
      <c r="P28" s="36">
        <f t="shared" si="0"/>
        <v>88901.8</v>
      </c>
      <c r="Q28" s="36">
        <f t="shared" si="0"/>
        <v>35985.599999999999</v>
      </c>
      <c r="R28" s="36">
        <f t="shared" si="0"/>
        <v>24917.4</v>
      </c>
      <c r="S28" s="36">
        <f t="shared" si="1"/>
        <v>1663</v>
      </c>
      <c r="T28" s="36">
        <f t="shared" si="2"/>
        <v>149804.79999999999</v>
      </c>
      <c r="U28" s="37">
        <f t="shared" si="4"/>
        <v>90.0810583283223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96.7</v>
      </c>
      <c r="F29" s="25">
        <v>67.3</v>
      </c>
      <c r="G29" s="25">
        <v>55.7</v>
      </c>
      <c r="H29" s="24"/>
      <c r="I29" s="25">
        <f t="shared" si="3"/>
        <v>72.042992424242414</v>
      </c>
      <c r="J29" s="47">
        <f>(I29/'AAU 04-05'!I29)-1</f>
        <v>2.5002546627248545E-2</v>
      </c>
      <c r="K29" s="18"/>
      <c r="M29" s="38">
        <f>252+75</f>
        <v>327</v>
      </c>
      <c r="N29" s="38">
        <f>222+110</f>
        <v>332</v>
      </c>
      <c r="O29" s="38">
        <f>223+174</f>
        <v>397</v>
      </c>
      <c r="P29" s="36">
        <f>E29*M29</f>
        <v>31620.9</v>
      </c>
      <c r="Q29" s="36">
        <f>F29*N29</f>
        <v>22343.599999999999</v>
      </c>
      <c r="R29" s="36">
        <f>G29*O29</f>
        <v>22112.9</v>
      </c>
      <c r="S29" s="36">
        <f>M29+N29+O29</f>
        <v>1056</v>
      </c>
      <c r="T29" s="36">
        <f>P29+Q29+R29</f>
        <v>76077.399999999994</v>
      </c>
      <c r="U29" s="37">
        <f>T29/S29</f>
        <v>72.042992424242414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97.5</v>
      </c>
      <c r="F30" s="20">
        <v>69.8</v>
      </c>
      <c r="G30" s="20">
        <v>60</v>
      </c>
      <c r="I30" s="20">
        <f>U30</f>
        <v>81.185609243697471</v>
      </c>
      <c r="J30" s="45">
        <f>(I30/'AAU 04-05'!I30)-1</f>
        <v>3.4342083137707258E-2</v>
      </c>
      <c r="K30" s="18"/>
      <c r="M30" s="38">
        <f>393+68</f>
        <v>461</v>
      </c>
      <c r="N30" s="38">
        <f>212+82</f>
        <v>294</v>
      </c>
      <c r="O30" s="38">
        <f>123+74</f>
        <v>197</v>
      </c>
      <c r="P30" s="36">
        <f t="shared" si="0"/>
        <v>44947.5</v>
      </c>
      <c r="Q30" s="36">
        <f t="shared" si="0"/>
        <v>20521.2</v>
      </c>
      <c r="R30" s="36">
        <f t="shared" si="0"/>
        <v>11820</v>
      </c>
      <c r="S30" s="36">
        <f t="shared" si="1"/>
        <v>952</v>
      </c>
      <c r="T30" s="36">
        <f t="shared" si="2"/>
        <v>77288.7</v>
      </c>
      <c r="U30" s="37">
        <f>T30/S30</f>
        <v>81.185609243697471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115.3</v>
      </c>
      <c r="F31" s="20">
        <v>77.900000000000006</v>
      </c>
      <c r="G31" s="20">
        <v>65.2</v>
      </c>
      <c r="I31" s="20">
        <f t="shared" si="3"/>
        <v>92.334899912967799</v>
      </c>
      <c r="J31" s="45">
        <f>(I31/'AAU 04-05'!I31)-1</f>
        <v>-2.883539704938709E-3</v>
      </c>
      <c r="K31" s="18"/>
      <c r="M31" s="38">
        <f>427+118</f>
        <v>545</v>
      </c>
      <c r="N31" s="38">
        <f>188+117</f>
        <v>305</v>
      </c>
      <c r="O31" s="38">
        <f>167+132</f>
        <v>299</v>
      </c>
      <c r="P31" s="36">
        <f t="shared" si="0"/>
        <v>62838.5</v>
      </c>
      <c r="Q31" s="36">
        <f t="shared" si="0"/>
        <v>23759.5</v>
      </c>
      <c r="R31" s="36">
        <f t="shared" si="0"/>
        <v>19494.8</v>
      </c>
      <c r="S31" s="36">
        <f t="shared" si="1"/>
        <v>1149</v>
      </c>
      <c r="T31" s="36">
        <f t="shared" si="2"/>
        <v>106092.8</v>
      </c>
      <c r="U31" s="37">
        <f t="shared" si="4"/>
        <v>92.334899912967799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112.6</v>
      </c>
      <c r="F32" s="20">
        <v>74.2</v>
      </c>
      <c r="G32" s="20">
        <v>65.8</v>
      </c>
      <c r="I32" s="20">
        <f t="shared" si="3"/>
        <v>89.1489945155393</v>
      </c>
      <c r="J32" s="45">
        <f>(I32/'AAU 04-05'!I32)-1</f>
        <v>3.1247206408833161E-2</v>
      </c>
      <c r="K32" s="18"/>
      <c r="M32" s="38">
        <f>790+167</f>
        <v>957</v>
      </c>
      <c r="N32" s="38">
        <f>489+261</f>
        <v>750</v>
      </c>
      <c r="O32" s="38">
        <f>279+202</f>
        <v>481</v>
      </c>
      <c r="P32" s="36">
        <f t="shared" si="0"/>
        <v>107758.2</v>
      </c>
      <c r="Q32" s="36">
        <f t="shared" si="0"/>
        <v>55650</v>
      </c>
      <c r="R32" s="36">
        <f t="shared" si="0"/>
        <v>31649.8</v>
      </c>
      <c r="S32" s="36">
        <f t="shared" si="1"/>
        <v>2188</v>
      </c>
      <c r="T32" s="36">
        <f t="shared" si="2"/>
        <v>195058</v>
      </c>
      <c r="U32" s="37">
        <f t="shared" si="4"/>
        <v>89.1489945155393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88</v>
      </c>
      <c r="F33" s="20">
        <v>63.1</v>
      </c>
      <c r="G33" s="20">
        <v>57.1</v>
      </c>
      <c r="I33" s="20">
        <f t="shared" si="3"/>
        <v>69.622899505766057</v>
      </c>
      <c r="J33" s="45">
        <f>(I33/'AAU 04-05'!I33)-1</f>
        <v>5.3143734753610117E-2</v>
      </c>
      <c r="K33" s="18"/>
      <c r="M33" s="38">
        <f>156+50</f>
        <v>206</v>
      </c>
      <c r="N33" s="38">
        <f>124+82</f>
        <v>206</v>
      </c>
      <c r="O33" s="38">
        <f>110+85</f>
        <v>195</v>
      </c>
      <c r="P33" s="36">
        <f t="shared" si="0"/>
        <v>18128</v>
      </c>
      <c r="Q33" s="36">
        <f t="shared" si="0"/>
        <v>12998.6</v>
      </c>
      <c r="R33" s="36">
        <f t="shared" si="0"/>
        <v>11134.5</v>
      </c>
      <c r="S33" s="36">
        <f t="shared" si="1"/>
        <v>607</v>
      </c>
      <c r="T33" s="36">
        <f t="shared" si="2"/>
        <v>42261.1</v>
      </c>
      <c r="U33" s="37">
        <f t="shared" si="4"/>
        <v>69.622899505766057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116.5</v>
      </c>
      <c r="F34" s="20">
        <v>77.7</v>
      </c>
      <c r="G34" s="20">
        <v>66.3</v>
      </c>
      <c r="I34" s="20">
        <f t="shared" si="3"/>
        <v>92.026105390672328</v>
      </c>
      <c r="J34" s="45">
        <f>(I34/'AAU 04-05'!I34)-1</f>
        <v>3.4271440616547189E-2</v>
      </c>
      <c r="K34" s="18"/>
      <c r="M34" s="38">
        <f>612+121</f>
        <v>733</v>
      </c>
      <c r="N34" s="38">
        <f>328+170</f>
        <v>498</v>
      </c>
      <c r="O34" s="38">
        <f>245+175</f>
        <v>420</v>
      </c>
      <c r="P34" s="36">
        <f t="shared" si="0"/>
        <v>85394.5</v>
      </c>
      <c r="Q34" s="36">
        <f t="shared" si="0"/>
        <v>38694.6</v>
      </c>
      <c r="R34" s="36">
        <f t="shared" si="0"/>
        <v>27846</v>
      </c>
      <c r="S34" s="36">
        <f t="shared" si="1"/>
        <v>1651</v>
      </c>
      <c r="T34" s="36">
        <f t="shared" si="2"/>
        <v>151935.1</v>
      </c>
      <c r="U34" s="37">
        <f t="shared" si="4"/>
        <v>92.026105390672328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113.2</v>
      </c>
      <c r="F35" s="20">
        <v>75.5</v>
      </c>
      <c r="G35" s="20">
        <v>64.599999999999994</v>
      </c>
      <c r="I35" s="20">
        <f t="shared" si="3"/>
        <v>85.111524434719186</v>
      </c>
      <c r="J35" s="45">
        <f>(I35/'AAU 04-05'!I35)-1</f>
        <v>2.1098675394137789E-2</v>
      </c>
      <c r="K35" s="18"/>
      <c r="M35" s="38">
        <f>383+103</f>
        <v>486</v>
      </c>
      <c r="N35" s="38">
        <f>275+138</f>
        <v>413</v>
      </c>
      <c r="O35" s="38">
        <f>245+227</f>
        <v>472</v>
      </c>
      <c r="P35" s="36">
        <f t="shared" si="0"/>
        <v>55015.200000000004</v>
      </c>
      <c r="Q35" s="36">
        <f t="shared" si="0"/>
        <v>31181.5</v>
      </c>
      <c r="R35" s="36">
        <f t="shared" si="0"/>
        <v>30491.199999999997</v>
      </c>
      <c r="S35" s="36">
        <f t="shared" si="1"/>
        <v>1371</v>
      </c>
      <c r="T35" s="36">
        <f t="shared" si="2"/>
        <v>116687.90000000001</v>
      </c>
      <c r="U35" s="37">
        <f t="shared" si="4"/>
        <v>85.111524434719186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104</v>
      </c>
      <c r="F36" s="20">
        <v>72.900000000000006</v>
      </c>
      <c r="G36" s="20">
        <v>65.3</v>
      </c>
      <c r="I36" s="20">
        <f t="shared" si="3"/>
        <v>84.259517125210564</v>
      </c>
      <c r="J36" s="45">
        <f>(I36/'AAU 04-05'!I36)-1</f>
        <v>3.0179618754554216E-2</v>
      </c>
      <c r="K36" s="18"/>
      <c r="M36" s="38">
        <f>669+102</f>
        <v>771</v>
      </c>
      <c r="N36" s="38">
        <f>375+142</f>
        <v>517</v>
      </c>
      <c r="O36" s="38">
        <f>299+194</f>
        <v>493</v>
      </c>
      <c r="P36" s="36">
        <f t="shared" si="0"/>
        <v>80184</v>
      </c>
      <c r="Q36" s="36">
        <f t="shared" si="0"/>
        <v>37689.300000000003</v>
      </c>
      <c r="R36" s="36">
        <f t="shared" si="0"/>
        <v>32192.899999999998</v>
      </c>
      <c r="S36" s="36">
        <f t="shared" si="1"/>
        <v>1781</v>
      </c>
      <c r="T36" s="36">
        <f t="shared" si="2"/>
        <v>150066.20000000001</v>
      </c>
      <c r="U36" s="37">
        <f t="shared" si="4"/>
        <v>84.259517125210564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116.8</v>
      </c>
      <c r="F37" s="20">
        <v>80.7</v>
      </c>
      <c r="G37" s="20">
        <v>65.3</v>
      </c>
      <c r="I37" s="20">
        <f t="shared" si="3"/>
        <v>96.071510379384407</v>
      </c>
      <c r="J37" s="45">
        <f>(I37/'AAU 04-05'!I37)-1</f>
        <v>3.7183622558969898E-2</v>
      </c>
      <c r="K37" s="18"/>
      <c r="M37" s="38">
        <f>580+136</f>
        <v>716</v>
      </c>
      <c r="N37" s="38">
        <f>242+155</f>
        <v>397</v>
      </c>
      <c r="O37" s="38">
        <f>157+127</f>
        <v>284</v>
      </c>
      <c r="P37" s="36">
        <f t="shared" si="0"/>
        <v>83628.800000000003</v>
      </c>
      <c r="Q37" s="36">
        <f t="shared" si="0"/>
        <v>32037.9</v>
      </c>
      <c r="R37" s="36">
        <f t="shared" si="0"/>
        <v>18545.2</v>
      </c>
      <c r="S37" s="36">
        <f t="shared" si="1"/>
        <v>1397</v>
      </c>
      <c r="T37" s="36">
        <f t="shared" si="2"/>
        <v>134211.90000000002</v>
      </c>
      <c r="U37" s="37">
        <f t="shared" si="4"/>
        <v>96.071510379384407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111.6</v>
      </c>
      <c r="F38" s="20">
        <v>76.900000000000006</v>
      </c>
      <c r="G38" s="20">
        <v>63.7</v>
      </c>
      <c r="I38" s="20">
        <f t="shared" si="3"/>
        <v>84.555362318840579</v>
      </c>
      <c r="J38" s="45">
        <f>(I38/'AAU 04-05'!I38)-1</f>
        <v>2.797338110528047E-2</v>
      </c>
      <c r="K38" s="18"/>
      <c r="M38" s="38">
        <f>308+55</f>
        <v>363</v>
      </c>
      <c r="N38" s="38">
        <f>204+114</f>
        <v>318</v>
      </c>
      <c r="O38" s="38">
        <f>195+159</f>
        <v>354</v>
      </c>
      <c r="P38" s="36">
        <f t="shared" si="0"/>
        <v>40510.799999999996</v>
      </c>
      <c r="Q38" s="36">
        <f t="shared" si="0"/>
        <v>24454.2</v>
      </c>
      <c r="R38" s="36">
        <f t="shared" si="0"/>
        <v>22549.8</v>
      </c>
      <c r="S38" s="36">
        <f t="shared" si="1"/>
        <v>1035</v>
      </c>
      <c r="T38" s="36">
        <f t="shared" si="2"/>
        <v>87514.8</v>
      </c>
      <c r="U38" s="37">
        <f t="shared" si="4"/>
        <v>84.555362318840579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110.6</v>
      </c>
      <c r="F39" s="20">
        <v>81</v>
      </c>
      <c r="G39" s="20">
        <v>65.2</v>
      </c>
      <c r="I39" s="20">
        <f t="shared" si="3"/>
        <v>90.41675977653631</v>
      </c>
      <c r="J39" s="45">
        <f>(I39/'AAU 04-05'!I39)-1</f>
        <v>2.3784930001763849E-2</v>
      </c>
      <c r="K39" s="18"/>
      <c r="M39" s="38">
        <f>270+56</f>
        <v>326</v>
      </c>
      <c r="N39" s="38">
        <f>131+75</f>
        <v>206</v>
      </c>
      <c r="O39" s="38">
        <f>103+81</f>
        <v>184</v>
      </c>
      <c r="P39" s="36">
        <f t="shared" si="0"/>
        <v>36055.599999999999</v>
      </c>
      <c r="Q39" s="36">
        <f t="shared" si="0"/>
        <v>16686</v>
      </c>
      <c r="R39" s="36">
        <f t="shared" si="0"/>
        <v>11996.800000000001</v>
      </c>
      <c r="S39" s="36">
        <f t="shared" si="1"/>
        <v>716</v>
      </c>
      <c r="T39" s="36">
        <f t="shared" si="2"/>
        <v>64738.400000000001</v>
      </c>
      <c r="U39" s="37">
        <f t="shared" si="4"/>
        <v>90.41675977653631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115.7</v>
      </c>
      <c r="F40" s="20">
        <v>72.900000000000006</v>
      </c>
      <c r="G40" s="20">
        <v>70.7</v>
      </c>
      <c r="I40" s="20">
        <f t="shared" si="3"/>
        <v>95.168348875479978</v>
      </c>
      <c r="J40" s="45">
        <f>(I40/'AAU 04-05'!I40)-1</f>
        <v>5.4009467340154327E-2</v>
      </c>
      <c r="K40" s="18"/>
      <c r="M40" s="38">
        <f>810+161</f>
        <v>971</v>
      </c>
      <c r="N40" s="38">
        <f>250+164</f>
        <v>414</v>
      </c>
      <c r="O40" s="38">
        <f>263+175</f>
        <v>438</v>
      </c>
      <c r="P40" s="36">
        <f t="shared" si="0"/>
        <v>112344.7</v>
      </c>
      <c r="Q40" s="36">
        <f t="shared" si="0"/>
        <v>30180.600000000002</v>
      </c>
      <c r="R40" s="36">
        <f t="shared" si="0"/>
        <v>30966.600000000002</v>
      </c>
      <c r="S40" s="36">
        <f t="shared" si="1"/>
        <v>1823</v>
      </c>
      <c r="T40" s="36">
        <f t="shared" si="2"/>
        <v>173491.9</v>
      </c>
      <c r="U40" s="37">
        <f t="shared" si="4"/>
        <v>95.168348875479978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104.1</v>
      </c>
      <c r="F41" s="20">
        <v>73</v>
      </c>
      <c r="G41" s="20">
        <v>65.8</v>
      </c>
      <c r="I41" s="20">
        <f t="shared" si="3"/>
        <v>86.615437073775567</v>
      </c>
      <c r="J41" s="45">
        <f>(I41/'AAU 04-05'!I41)-1</f>
        <v>4.9986055910997029E-2</v>
      </c>
      <c r="K41" s="18"/>
      <c r="M41" s="38">
        <f>719+80</f>
        <v>799</v>
      </c>
      <c r="N41" s="38">
        <f>304+109</f>
        <v>413</v>
      </c>
      <c r="O41" s="38">
        <f>262+139</f>
        <v>401</v>
      </c>
      <c r="P41" s="36">
        <f t="shared" si="0"/>
        <v>83175.899999999994</v>
      </c>
      <c r="Q41" s="36">
        <f t="shared" si="0"/>
        <v>30149</v>
      </c>
      <c r="R41" s="36">
        <f t="shared" si="0"/>
        <v>26385.8</v>
      </c>
      <c r="S41" s="36">
        <f t="shared" si="1"/>
        <v>1613</v>
      </c>
      <c r="T41" s="36">
        <f t="shared" si="2"/>
        <v>139710.69999999998</v>
      </c>
      <c r="U41" s="37">
        <f t="shared" si="4"/>
        <v>86.615437073775567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123.1</v>
      </c>
      <c r="F42" s="20">
        <v>82.7</v>
      </c>
      <c r="G42" s="20">
        <v>68</v>
      </c>
      <c r="I42" s="20">
        <f t="shared" si="3"/>
        <v>99.415902712815722</v>
      </c>
      <c r="J42" s="45">
        <f>(I42/'AAU 04-05'!I42)-1</f>
        <v>4.6961686156287152E-2</v>
      </c>
      <c r="K42" s="18"/>
      <c r="M42" s="38">
        <f>439+91</f>
        <v>530</v>
      </c>
      <c r="N42" s="38">
        <f>200+98</f>
        <v>298</v>
      </c>
      <c r="O42" s="38">
        <f>116+125</f>
        <v>241</v>
      </c>
      <c r="P42" s="36">
        <f t="shared" si="0"/>
        <v>65243</v>
      </c>
      <c r="Q42" s="36">
        <f t="shared" si="0"/>
        <v>24644.600000000002</v>
      </c>
      <c r="R42" s="36">
        <f t="shared" si="0"/>
        <v>16388</v>
      </c>
      <c r="S42" s="36">
        <f t="shared" si="1"/>
        <v>1069</v>
      </c>
      <c r="T42" s="36">
        <f t="shared" si="2"/>
        <v>106275.6</v>
      </c>
      <c r="U42" s="37">
        <f t="shared" si="4"/>
        <v>99.415902712815722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102.1</v>
      </c>
      <c r="F43" s="20">
        <v>72.900000000000006</v>
      </c>
      <c r="G43" s="20">
        <v>67.2</v>
      </c>
      <c r="I43" s="20">
        <f t="shared" si="3"/>
        <v>86.769127123608669</v>
      </c>
      <c r="J43" s="45">
        <f>(I43/'AAU 04-05'!I43)-1</f>
        <v>3.8722391179079052E-2</v>
      </c>
      <c r="K43" s="18"/>
      <c r="M43" s="38">
        <f>681+202</f>
        <v>883</v>
      </c>
      <c r="N43" s="38">
        <f>269+185</f>
        <v>454</v>
      </c>
      <c r="O43" s="38">
        <f>213+157</f>
        <v>370</v>
      </c>
      <c r="P43" s="36">
        <f t="shared" si="0"/>
        <v>90154.299999999988</v>
      </c>
      <c r="Q43" s="36">
        <f t="shared" si="0"/>
        <v>33096.600000000006</v>
      </c>
      <c r="R43" s="36">
        <f t="shared" si="0"/>
        <v>24864</v>
      </c>
      <c r="S43" s="36">
        <f t="shared" si="1"/>
        <v>1707</v>
      </c>
      <c r="T43" s="36">
        <f t="shared" si="2"/>
        <v>148114.9</v>
      </c>
      <c r="U43" s="37">
        <f t="shared" si="4"/>
        <v>86.769127123608669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100.5</v>
      </c>
      <c r="F44" s="20">
        <v>76.5</v>
      </c>
      <c r="G44" s="20">
        <v>64.3</v>
      </c>
      <c r="I44" s="20">
        <f t="shared" si="3"/>
        <v>86.973783587509075</v>
      </c>
      <c r="J44" s="45">
        <f>(I44/'AAU 04-05'!I44)-1</f>
        <v>2.0786325761073199E-2</v>
      </c>
      <c r="K44" s="18"/>
      <c r="M44" s="38">
        <f>594+194</f>
        <v>788</v>
      </c>
      <c r="N44" s="38">
        <f>140+81</f>
        <v>221</v>
      </c>
      <c r="O44" s="38">
        <f>213+155</f>
        <v>368</v>
      </c>
      <c r="P44" s="36">
        <f t="shared" si="0"/>
        <v>79194</v>
      </c>
      <c r="Q44" s="36">
        <f t="shared" si="0"/>
        <v>16906.5</v>
      </c>
      <c r="R44" s="36">
        <f t="shared" si="0"/>
        <v>23662.399999999998</v>
      </c>
      <c r="S44" s="36">
        <f t="shared" si="1"/>
        <v>1377</v>
      </c>
      <c r="T44" s="36">
        <f t="shared" si="2"/>
        <v>119762.9</v>
      </c>
      <c r="U44" s="37">
        <f t="shared" si="4"/>
        <v>86.973783587509075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110.86302033790821</v>
      </c>
      <c r="F46" s="41">
        <f t="shared" ref="F46" si="5">Q46/N46</f>
        <v>75.028514056224893</v>
      </c>
      <c r="G46" s="41">
        <f>R46/O46</f>
        <v>65.164315352697116</v>
      </c>
      <c r="H46" s="40"/>
      <c r="I46" s="41">
        <f t="shared" si="3"/>
        <v>89.715776114546046</v>
      </c>
      <c r="J46" s="46">
        <f>(I46/'AAU 04-05'!I46)-1</f>
        <v>3.5230729928930504E-2</v>
      </c>
      <c r="K46" s="18"/>
      <c r="M46" s="39">
        <f t="shared" ref="M46:R46" si="6">SUM(M11:M44)</f>
        <v>22077</v>
      </c>
      <c r="N46" s="39">
        <f t="shared" si="6"/>
        <v>12450</v>
      </c>
      <c r="O46" s="39">
        <f t="shared" si="6"/>
        <v>11568</v>
      </c>
      <c r="P46" s="39">
        <f t="shared" si="6"/>
        <v>2447522.8999999994</v>
      </c>
      <c r="Q46" s="39">
        <f t="shared" si="6"/>
        <v>934104.99999999988</v>
      </c>
      <c r="R46" s="39">
        <f t="shared" si="6"/>
        <v>753820.80000000016</v>
      </c>
      <c r="S46" s="36">
        <f>M46+N46+O46</f>
        <v>46095</v>
      </c>
      <c r="T46" s="36">
        <f>P46+Q46+R46</f>
        <v>4135448.6999999997</v>
      </c>
      <c r="U46" s="37">
        <f>T46/S46</f>
        <v>89.715776114546046</v>
      </c>
    </row>
    <row r="47" spans="1:21" ht="13.5" customHeight="1" x14ac:dyDescent="0.3">
      <c r="A47" s="19"/>
      <c r="D47" s="44" t="s">
        <v>55</v>
      </c>
      <c r="E47" s="41">
        <f>MEDIAN(E11:E44)</f>
        <v>110.44999999999999</v>
      </c>
      <c r="F47" s="41">
        <f t="shared" ref="F47" si="7">MEDIAN(F11:F44)</f>
        <v>74.349999999999994</v>
      </c>
      <c r="G47" s="41">
        <f>MEDIAN(G11:G44)</f>
        <v>65.2</v>
      </c>
      <c r="H47" s="40"/>
      <c r="I47" s="41">
        <f>MEDIAN(I11:I44)</f>
        <v>88.061389051524188</v>
      </c>
      <c r="J47" s="46">
        <f>(I47/'AAU 04-05'!I47)-1</f>
        <v>2.886346563556752E-2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77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78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95.9</v>
      </c>
      <c r="F11" s="20">
        <v>67.2</v>
      </c>
      <c r="G11" s="20">
        <v>59.8</v>
      </c>
      <c r="I11" s="20">
        <f>U11</f>
        <v>79.920414428242523</v>
      </c>
      <c r="J11" s="45">
        <f>(I11/'AAU 03-04'!I11)-1</f>
        <v>4.3128811322804106E-2</v>
      </c>
      <c r="K11" s="18"/>
      <c r="M11" s="38">
        <f>506+145</f>
        <v>651</v>
      </c>
      <c r="N11" s="38">
        <f>224+143</f>
        <v>367</v>
      </c>
      <c r="O11" s="38">
        <f>178+107</f>
        <v>285</v>
      </c>
      <c r="P11" s="36">
        <f t="shared" ref="P11:R44" si="0">E11*M11</f>
        <v>62430.9</v>
      </c>
      <c r="Q11" s="36">
        <f t="shared" si="0"/>
        <v>24662.400000000001</v>
      </c>
      <c r="R11" s="36">
        <f t="shared" si="0"/>
        <v>17043</v>
      </c>
      <c r="S11" s="36">
        <f t="shared" ref="S11:S44" si="1">M11+N11+O11</f>
        <v>1303</v>
      </c>
      <c r="T11" s="36">
        <f t="shared" ref="T11:T44" si="2">P11+Q11+R11</f>
        <v>104136.3</v>
      </c>
      <c r="U11" s="37">
        <f>T11/S11</f>
        <v>79.920414428242523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121.8</v>
      </c>
      <c r="F12" s="20">
        <v>77.7</v>
      </c>
      <c r="G12" s="20">
        <v>71.3</v>
      </c>
      <c r="I12" s="20">
        <f t="shared" ref="I12:I46" si="3">U12</f>
        <v>104.32256894049347</v>
      </c>
      <c r="J12" s="45">
        <f>(I12/'AAU 03-04'!I12)-1</f>
        <v>-1.5596759954342287E-2</v>
      </c>
      <c r="K12" s="18"/>
      <c r="M12" s="38">
        <f>685+182</f>
        <v>867</v>
      </c>
      <c r="N12" s="38">
        <f>167+102</f>
        <v>269</v>
      </c>
      <c r="O12" s="38">
        <f>149+93</f>
        <v>242</v>
      </c>
      <c r="P12" s="36">
        <f t="shared" si="0"/>
        <v>105600.59999999999</v>
      </c>
      <c r="Q12" s="36">
        <f t="shared" si="0"/>
        <v>20901.3</v>
      </c>
      <c r="R12" s="36">
        <f t="shared" si="0"/>
        <v>17254.599999999999</v>
      </c>
      <c r="S12" s="36">
        <f t="shared" si="1"/>
        <v>1378</v>
      </c>
      <c r="T12" s="36">
        <f t="shared" si="2"/>
        <v>143756.5</v>
      </c>
      <c r="U12" s="37">
        <f t="shared" ref="U12:U44" si="4">T12/S12</f>
        <v>104.32256894049347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103.3</v>
      </c>
      <c r="F13" s="20">
        <v>68.8</v>
      </c>
      <c r="G13" s="20">
        <v>60.7</v>
      </c>
      <c r="I13" s="20">
        <f t="shared" si="3"/>
        <v>88.853944562899784</v>
      </c>
      <c r="J13" s="45">
        <f>(I13/'AAU 03-04'!I13)-1</f>
        <v>-1.5974437521151463E-2</v>
      </c>
      <c r="K13" s="18"/>
      <c r="M13" s="38">
        <f>696+189</f>
        <v>885</v>
      </c>
      <c r="N13" s="38">
        <f>149+87</f>
        <v>236</v>
      </c>
      <c r="O13" s="38">
        <f>159+127</f>
        <v>286</v>
      </c>
      <c r="P13" s="36">
        <f t="shared" si="0"/>
        <v>91420.5</v>
      </c>
      <c r="Q13" s="36">
        <f t="shared" si="0"/>
        <v>16236.8</v>
      </c>
      <c r="R13" s="36">
        <f t="shared" si="0"/>
        <v>17360.2</v>
      </c>
      <c r="S13" s="36">
        <f t="shared" si="1"/>
        <v>1407</v>
      </c>
      <c r="T13" s="36">
        <f t="shared" si="2"/>
        <v>125017.5</v>
      </c>
      <c r="U13" s="37">
        <f t="shared" si="4"/>
        <v>88.853944562899784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108.5</v>
      </c>
      <c r="F14" s="20">
        <v>71.599999999999994</v>
      </c>
      <c r="G14" s="20">
        <v>63.3</v>
      </c>
      <c r="I14" s="20">
        <f t="shared" si="3"/>
        <v>88.375273522975931</v>
      </c>
      <c r="J14" s="45">
        <f>(I14/'AAU 03-04'!I14)-1</f>
        <v>1.04739609733695E-2</v>
      </c>
      <c r="K14" s="18"/>
      <c r="M14" s="38">
        <f>364+110</f>
        <v>474</v>
      </c>
      <c r="N14" s="38">
        <f>110+70</f>
        <v>180</v>
      </c>
      <c r="O14" s="38">
        <f>172+88</f>
        <v>260</v>
      </c>
      <c r="P14" s="36">
        <f t="shared" si="0"/>
        <v>51429</v>
      </c>
      <c r="Q14" s="36">
        <f t="shared" si="0"/>
        <v>12887.999999999998</v>
      </c>
      <c r="R14" s="36">
        <f t="shared" si="0"/>
        <v>16458</v>
      </c>
      <c r="S14" s="36">
        <f t="shared" si="1"/>
        <v>914</v>
      </c>
      <c r="T14" s="36">
        <f t="shared" si="2"/>
        <v>80775</v>
      </c>
      <c r="U14" s="37">
        <f t="shared" si="4"/>
        <v>88.375273522975931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123.3</v>
      </c>
      <c r="F15" s="20">
        <v>78.099999999999994</v>
      </c>
      <c r="G15" s="20">
        <v>65.5</v>
      </c>
      <c r="I15" s="20">
        <f t="shared" si="3"/>
        <v>103.26070175438596</v>
      </c>
      <c r="J15" s="45">
        <f>(I15/'AAU 03-04'!I15)-1</f>
        <v>1.1118243328686717E-2</v>
      </c>
      <c r="K15" s="18"/>
      <c r="M15" s="38">
        <f>815+235</f>
        <v>1050</v>
      </c>
      <c r="N15" s="38">
        <f>193+115</f>
        <v>308</v>
      </c>
      <c r="O15" s="38">
        <f>224+128</f>
        <v>352</v>
      </c>
      <c r="P15" s="36">
        <f t="shared" si="0"/>
        <v>129465</v>
      </c>
      <c r="Q15" s="36">
        <f t="shared" si="0"/>
        <v>24054.799999999999</v>
      </c>
      <c r="R15" s="36">
        <f t="shared" si="0"/>
        <v>23056</v>
      </c>
      <c r="S15" s="36">
        <f t="shared" si="1"/>
        <v>1710</v>
      </c>
      <c r="T15" s="36">
        <f t="shared" si="2"/>
        <v>176575.8</v>
      </c>
      <c r="U15" s="37">
        <f t="shared" si="4"/>
        <v>103.26070175438596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113.8</v>
      </c>
      <c r="F16" s="20">
        <v>70.599999999999994</v>
      </c>
      <c r="G16" s="20">
        <v>62.3</v>
      </c>
      <c r="I16" s="20">
        <f t="shared" si="3"/>
        <v>95.43596287703015</v>
      </c>
      <c r="J16" s="45">
        <f>(I16/'AAU 03-04'!I16)-1</f>
        <v>1.1291244384674659E-2</v>
      </c>
      <c r="K16" s="18"/>
      <c r="M16" s="38">
        <f>449+80</f>
        <v>529</v>
      </c>
      <c r="N16" s="38">
        <f>108+51</f>
        <v>159</v>
      </c>
      <c r="O16" s="38">
        <f>114+60</f>
        <v>174</v>
      </c>
      <c r="P16" s="36">
        <f t="shared" si="0"/>
        <v>60200.2</v>
      </c>
      <c r="Q16" s="36">
        <f t="shared" si="0"/>
        <v>11225.4</v>
      </c>
      <c r="R16" s="36">
        <f t="shared" si="0"/>
        <v>10840.199999999999</v>
      </c>
      <c r="S16" s="36">
        <f t="shared" si="1"/>
        <v>862</v>
      </c>
      <c r="T16" s="36">
        <f t="shared" si="2"/>
        <v>82265.799999999988</v>
      </c>
      <c r="U16" s="37">
        <f t="shared" si="4"/>
        <v>95.43596287703015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110.6</v>
      </c>
      <c r="F17" s="20">
        <v>68.400000000000006</v>
      </c>
      <c r="G17" s="20">
        <v>61</v>
      </c>
      <c r="I17" s="20">
        <f t="shared" si="3"/>
        <v>93.005506883604497</v>
      </c>
      <c r="J17" s="45">
        <f>(I17/'AAU 03-04'!I17)-1</f>
        <v>1.0025471891307092E-2</v>
      </c>
      <c r="K17" s="18"/>
      <c r="M17" s="38">
        <f>392+100</f>
        <v>492</v>
      </c>
      <c r="N17" s="38">
        <f>96+62</f>
        <v>158</v>
      </c>
      <c r="O17" s="38">
        <f>94+55</f>
        <v>149</v>
      </c>
      <c r="P17" s="36">
        <f t="shared" si="0"/>
        <v>54415.199999999997</v>
      </c>
      <c r="Q17" s="36">
        <f t="shared" si="0"/>
        <v>10807.2</v>
      </c>
      <c r="R17" s="36">
        <f t="shared" si="0"/>
        <v>9089</v>
      </c>
      <c r="S17" s="36">
        <f t="shared" si="1"/>
        <v>799</v>
      </c>
      <c r="T17" s="36">
        <f t="shared" si="2"/>
        <v>74311.399999999994</v>
      </c>
      <c r="U17" s="37">
        <f t="shared" si="4"/>
        <v>93.005506883604497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100.6</v>
      </c>
      <c r="F18" s="20">
        <v>72.7</v>
      </c>
      <c r="G18" s="20">
        <v>63</v>
      </c>
      <c r="I18" s="20">
        <f t="shared" si="3"/>
        <v>82.911382978723395</v>
      </c>
      <c r="J18" s="45">
        <f>(I18/'AAU 03-04'!I18)-1</f>
        <v>3.0836797607108002E-2</v>
      </c>
      <c r="K18" s="18"/>
      <c r="M18" s="38">
        <f>356+76</f>
        <v>432</v>
      </c>
      <c r="N18" s="38">
        <f>172+83</f>
        <v>255</v>
      </c>
      <c r="O18" s="38">
        <f>162+91</f>
        <v>253</v>
      </c>
      <c r="P18" s="36">
        <f t="shared" si="0"/>
        <v>43459.199999999997</v>
      </c>
      <c r="Q18" s="36">
        <f t="shared" si="0"/>
        <v>18538.5</v>
      </c>
      <c r="R18" s="36">
        <f t="shared" si="0"/>
        <v>15939</v>
      </c>
      <c r="S18" s="36">
        <f t="shared" si="1"/>
        <v>940</v>
      </c>
      <c r="T18" s="36">
        <f t="shared" si="2"/>
        <v>77936.7</v>
      </c>
      <c r="U18" s="37">
        <f t="shared" si="4"/>
        <v>82.911382978723395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96</v>
      </c>
      <c r="F19" s="20">
        <v>69.099999999999994</v>
      </c>
      <c r="G19" s="20">
        <v>59.5</v>
      </c>
      <c r="I19" s="20">
        <f t="shared" si="3"/>
        <v>77.332737361282369</v>
      </c>
      <c r="J19" s="45">
        <f>(I19/'AAU 03-04'!I19)-1</f>
        <v>3.3730074675316191E-2</v>
      </c>
      <c r="K19" s="18"/>
      <c r="M19" s="38">
        <f>572+95</f>
        <v>667</v>
      </c>
      <c r="N19" s="38">
        <f>344+133</f>
        <v>477</v>
      </c>
      <c r="O19" s="38">
        <f>284+194</f>
        <v>478</v>
      </c>
      <c r="P19" s="36">
        <f t="shared" si="0"/>
        <v>64032</v>
      </c>
      <c r="Q19" s="36">
        <f t="shared" si="0"/>
        <v>32960.699999999997</v>
      </c>
      <c r="R19" s="36">
        <f t="shared" si="0"/>
        <v>28441</v>
      </c>
      <c r="S19" s="36">
        <f t="shared" si="1"/>
        <v>1622</v>
      </c>
      <c r="T19" s="36">
        <f t="shared" si="2"/>
        <v>125433.7</v>
      </c>
      <c r="U19" s="37">
        <f t="shared" si="4"/>
        <v>77.332737361282369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111.8</v>
      </c>
      <c r="F20" s="20">
        <v>75.099999999999994</v>
      </c>
      <c r="G20" s="20">
        <v>68.2</v>
      </c>
      <c r="I20" s="20">
        <f t="shared" si="3"/>
        <v>90.231423611111111</v>
      </c>
      <c r="J20" s="45">
        <f>(I20/'AAU 03-04'!I20)-1</f>
        <v>4.6890672655747867E-2</v>
      </c>
      <c r="K20" s="18"/>
      <c r="M20" s="38">
        <f>680+118</f>
        <v>798</v>
      </c>
      <c r="N20" s="38">
        <f>321+154</f>
        <v>475</v>
      </c>
      <c r="O20" s="38">
        <f>276+179</f>
        <v>455</v>
      </c>
      <c r="P20" s="36">
        <f t="shared" si="0"/>
        <v>89216.4</v>
      </c>
      <c r="Q20" s="36">
        <f t="shared" si="0"/>
        <v>35672.5</v>
      </c>
      <c r="R20" s="36">
        <f t="shared" si="0"/>
        <v>31031</v>
      </c>
      <c r="S20" s="36">
        <f t="shared" si="1"/>
        <v>1728</v>
      </c>
      <c r="T20" s="36">
        <f t="shared" si="2"/>
        <v>155919.9</v>
      </c>
      <c r="U20" s="37">
        <f t="shared" si="4"/>
        <v>90.231423611111111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101.8</v>
      </c>
      <c r="F21" s="20">
        <v>70.7</v>
      </c>
      <c r="G21" s="20">
        <v>61.3</v>
      </c>
      <c r="I21" s="20">
        <f t="shared" si="3"/>
        <v>82.780000000000015</v>
      </c>
      <c r="J21" s="45">
        <f>(I21/'AAU 03-04'!I21)-1</f>
        <v>2.2141099147620746E-2</v>
      </c>
      <c r="K21" s="18"/>
      <c r="M21" s="38">
        <f>513+133</f>
        <v>646</v>
      </c>
      <c r="N21" s="38">
        <f>249+144</f>
        <v>393</v>
      </c>
      <c r="O21" s="38">
        <f>205+146</f>
        <v>351</v>
      </c>
      <c r="P21" s="36">
        <f t="shared" si="0"/>
        <v>65762.8</v>
      </c>
      <c r="Q21" s="36">
        <f t="shared" si="0"/>
        <v>27785.100000000002</v>
      </c>
      <c r="R21" s="36">
        <f t="shared" si="0"/>
        <v>21516.3</v>
      </c>
      <c r="S21" s="36">
        <f t="shared" si="1"/>
        <v>1390</v>
      </c>
      <c r="T21" s="36">
        <f t="shared" si="2"/>
        <v>115064.20000000001</v>
      </c>
      <c r="U21" s="37">
        <f t="shared" si="4"/>
        <v>82.780000000000015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102.8</v>
      </c>
      <c r="F22" s="20">
        <v>69.099999999999994</v>
      </c>
      <c r="G22" s="20">
        <v>61.7</v>
      </c>
      <c r="I22" s="20">
        <f t="shared" si="3"/>
        <v>82.622955145118738</v>
      </c>
      <c r="J22" s="45">
        <f>(I22/'AAU 03-04'!I22)-1</f>
        <v>5.5731052458951602E-2</v>
      </c>
      <c r="K22" s="18"/>
      <c r="M22" s="38">
        <f>416+98</f>
        <v>514</v>
      </c>
      <c r="N22" s="38">
        <f>213+147</f>
        <v>360</v>
      </c>
      <c r="O22" s="38">
        <f>153+110</f>
        <v>263</v>
      </c>
      <c r="P22" s="36">
        <f t="shared" si="0"/>
        <v>52839.199999999997</v>
      </c>
      <c r="Q22" s="36">
        <f t="shared" si="0"/>
        <v>24875.999999999996</v>
      </c>
      <c r="R22" s="36">
        <f t="shared" si="0"/>
        <v>16227.1</v>
      </c>
      <c r="S22" s="36">
        <f t="shared" si="1"/>
        <v>1137</v>
      </c>
      <c r="T22" s="36">
        <f t="shared" si="2"/>
        <v>93942.3</v>
      </c>
      <c r="U22" s="37">
        <f t="shared" si="4"/>
        <v>82.622955145118738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93.3</v>
      </c>
      <c r="F23" s="20">
        <v>70.599999999999994</v>
      </c>
      <c r="G23" s="20">
        <v>59.6</v>
      </c>
      <c r="I23" s="20">
        <f t="shared" si="3"/>
        <v>76.545085296506912</v>
      </c>
      <c r="J23" s="45">
        <f>(I23/'AAU 03-04'!I23)-1</f>
        <v>1.8597975635389785E-2</v>
      </c>
      <c r="K23" s="18"/>
      <c r="M23" s="38">
        <f>415+77</f>
        <v>492</v>
      </c>
      <c r="N23" s="38">
        <f>269+120</f>
        <v>389</v>
      </c>
      <c r="O23" s="38">
        <f>232+118</f>
        <v>350</v>
      </c>
      <c r="P23" s="36">
        <f t="shared" si="0"/>
        <v>45903.6</v>
      </c>
      <c r="Q23" s="36">
        <f t="shared" si="0"/>
        <v>27463.399999999998</v>
      </c>
      <c r="R23" s="36">
        <f t="shared" si="0"/>
        <v>20860</v>
      </c>
      <c r="S23" s="36">
        <f t="shared" si="1"/>
        <v>1231</v>
      </c>
      <c r="T23" s="36">
        <f t="shared" si="2"/>
        <v>94227</v>
      </c>
      <c r="U23" s="37">
        <f t="shared" si="4"/>
        <v>76.545085296506912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92.4</v>
      </c>
      <c r="F24" s="20">
        <v>65.2</v>
      </c>
      <c r="G24" s="20">
        <v>54.5</v>
      </c>
      <c r="I24" s="20">
        <f t="shared" si="3"/>
        <v>76.264705882352942</v>
      </c>
      <c r="J24" s="45">
        <f>(I24/'AAU 03-04'!I24)-1</f>
        <v>8.633148787369227E-2</v>
      </c>
      <c r="K24" s="18"/>
      <c r="M24" s="38">
        <f>329+208</f>
        <v>537</v>
      </c>
      <c r="N24" s="38">
        <f>208+103</f>
        <v>311</v>
      </c>
      <c r="O24" s="38">
        <f>126+114</f>
        <v>240</v>
      </c>
      <c r="P24" s="36">
        <f t="shared" si="0"/>
        <v>49618.8</v>
      </c>
      <c r="Q24" s="36">
        <f t="shared" si="0"/>
        <v>20277.2</v>
      </c>
      <c r="R24" s="36">
        <f t="shared" si="0"/>
        <v>13080</v>
      </c>
      <c r="S24" s="36">
        <f t="shared" si="1"/>
        <v>1088</v>
      </c>
      <c r="T24" s="36">
        <f t="shared" si="2"/>
        <v>82976</v>
      </c>
      <c r="U24" s="37">
        <f t="shared" si="4"/>
        <v>76.264705882352942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111</v>
      </c>
      <c r="F25" s="20">
        <v>76.3</v>
      </c>
      <c r="G25" s="20">
        <v>75.2</v>
      </c>
      <c r="I25" s="20">
        <f t="shared" si="3"/>
        <v>93.468208955223886</v>
      </c>
      <c r="J25" s="45">
        <f>(I25/'AAU 03-04'!I25)-1</f>
        <v>4.0053207214729936E-2</v>
      </c>
      <c r="K25" s="18"/>
      <c r="M25" s="38">
        <f>547+124</f>
        <v>671</v>
      </c>
      <c r="N25" s="38">
        <f>284+132</f>
        <v>416</v>
      </c>
      <c r="O25" s="38">
        <f>153+100</f>
        <v>253</v>
      </c>
      <c r="P25" s="36">
        <f t="shared" si="0"/>
        <v>74481</v>
      </c>
      <c r="Q25" s="36">
        <f t="shared" si="0"/>
        <v>31740.799999999999</v>
      </c>
      <c r="R25" s="36">
        <f t="shared" si="0"/>
        <v>19025.600000000002</v>
      </c>
      <c r="S25" s="36">
        <f t="shared" si="1"/>
        <v>1340</v>
      </c>
      <c r="T25" s="36">
        <f t="shared" si="2"/>
        <v>125247.40000000001</v>
      </c>
      <c r="U25" s="37">
        <f t="shared" si="4"/>
        <v>93.468208955223886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120.2</v>
      </c>
      <c r="F26" s="20">
        <v>81.599999999999994</v>
      </c>
      <c r="G26" s="20">
        <v>67.099999999999994</v>
      </c>
      <c r="I26" s="20">
        <f t="shared" si="3"/>
        <v>95.112666996536376</v>
      </c>
      <c r="J26" s="45">
        <f>(I26/'AAU 03-04'!I26)-1</f>
        <v>1.6721979259793462E-2</v>
      </c>
      <c r="K26" s="18"/>
      <c r="M26" s="38">
        <f>745+186</f>
        <v>931</v>
      </c>
      <c r="N26" s="38">
        <f>285+210</f>
        <v>495</v>
      </c>
      <c r="O26" s="38">
        <f>356+239</f>
        <v>595</v>
      </c>
      <c r="P26" s="36">
        <f t="shared" si="0"/>
        <v>111906.2</v>
      </c>
      <c r="Q26" s="36">
        <f t="shared" si="0"/>
        <v>40392</v>
      </c>
      <c r="R26" s="36">
        <f t="shared" si="0"/>
        <v>39924.5</v>
      </c>
      <c r="S26" s="36">
        <f t="shared" si="1"/>
        <v>2021</v>
      </c>
      <c r="T26" s="36">
        <f t="shared" si="2"/>
        <v>192222.7</v>
      </c>
      <c r="U26" s="37">
        <f t="shared" si="4"/>
        <v>95.112666996536376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101.8</v>
      </c>
      <c r="F27" s="20">
        <v>73.7</v>
      </c>
      <c r="G27" s="20">
        <v>59.7</v>
      </c>
      <c r="I27" s="20">
        <f t="shared" si="3"/>
        <v>83.423985801217043</v>
      </c>
      <c r="J27" s="45">
        <f>(I27/'AAU 03-04'!I27)-1</f>
        <v>2.1967118248345852E-2</v>
      </c>
      <c r="K27" s="18"/>
      <c r="M27" s="38">
        <f>747+190</f>
        <v>937</v>
      </c>
      <c r="N27" s="38">
        <f>324+200</f>
        <v>524</v>
      </c>
      <c r="O27" s="38">
        <f>302+209</f>
        <v>511</v>
      </c>
      <c r="P27" s="36">
        <f t="shared" si="0"/>
        <v>95386.599999999991</v>
      </c>
      <c r="Q27" s="36">
        <f t="shared" si="0"/>
        <v>38618.800000000003</v>
      </c>
      <c r="R27" s="36">
        <f t="shared" si="0"/>
        <v>30506.7</v>
      </c>
      <c r="S27" s="36">
        <f t="shared" si="1"/>
        <v>1972</v>
      </c>
      <c r="T27" s="36">
        <f t="shared" si="2"/>
        <v>164512.1</v>
      </c>
      <c r="U27" s="37">
        <f t="shared" si="4"/>
        <v>83.423985801217043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105.4</v>
      </c>
      <c r="F28" s="20">
        <v>70.7</v>
      </c>
      <c r="G28" s="20">
        <v>62.5</v>
      </c>
      <c r="I28" s="20">
        <f t="shared" si="3"/>
        <v>85.979144062688377</v>
      </c>
      <c r="J28" s="45">
        <f>(I28/'AAU 03-04'!I28)-1</f>
        <v>2.8771818776033298E-2</v>
      </c>
      <c r="K28" s="18"/>
      <c r="M28" s="38">
        <f>660+161</f>
        <v>821</v>
      </c>
      <c r="N28" s="38">
        <f>268+187</f>
        <v>455</v>
      </c>
      <c r="O28" s="38">
        <f>226+157</f>
        <v>383</v>
      </c>
      <c r="P28" s="36">
        <f t="shared" si="0"/>
        <v>86533.400000000009</v>
      </c>
      <c r="Q28" s="36">
        <f t="shared" si="0"/>
        <v>32168.5</v>
      </c>
      <c r="R28" s="36">
        <f t="shared" si="0"/>
        <v>23937.5</v>
      </c>
      <c r="S28" s="36">
        <f t="shared" si="1"/>
        <v>1659</v>
      </c>
      <c r="T28" s="36">
        <f t="shared" si="2"/>
        <v>142639.40000000002</v>
      </c>
      <c r="U28" s="37">
        <f t="shared" si="4"/>
        <v>85.979144062688377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94.3</v>
      </c>
      <c r="F29" s="25">
        <v>65.900000000000006</v>
      </c>
      <c r="G29" s="25">
        <v>53.5</v>
      </c>
      <c r="H29" s="24"/>
      <c r="I29" s="25">
        <f t="shared" si="3"/>
        <v>70.285671641791055</v>
      </c>
      <c r="J29" s="47">
        <f>(I29/'AAU 03-04'!I29)-1</f>
        <v>2.2315892101647972E-2</v>
      </c>
      <c r="K29" s="18"/>
      <c r="M29" s="38">
        <f>249+66</f>
        <v>315</v>
      </c>
      <c r="N29" s="38">
        <f>214+110</f>
        <v>324</v>
      </c>
      <c r="O29" s="38">
        <v>366</v>
      </c>
      <c r="P29" s="36">
        <f t="shared" si="0"/>
        <v>29704.5</v>
      </c>
      <c r="Q29" s="36">
        <f t="shared" si="0"/>
        <v>21351.600000000002</v>
      </c>
      <c r="R29" s="36">
        <f t="shared" si="0"/>
        <v>19581</v>
      </c>
      <c r="S29" s="36">
        <f t="shared" si="1"/>
        <v>1005</v>
      </c>
      <c r="T29" s="36">
        <f t="shared" si="2"/>
        <v>70637.100000000006</v>
      </c>
      <c r="U29" s="37">
        <f t="shared" si="4"/>
        <v>70.285671641791055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93.9</v>
      </c>
      <c r="F30" s="20">
        <v>68.099999999999994</v>
      </c>
      <c r="G30" s="20">
        <v>57.6</v>
      </c>
      <c r="I30" s="20">
        <f>U30</f>
        <v>78.49009584664536</v>
      </c>
      <c r="J30" s="45">
        <f>(I30/'AAU 03-04'!I30)-1</f>
        <v>3.2805158559826575E-2</v>
      </c>
      <c r="K30" s="18"/>
      <c r="M30" s="38">
        <v>451</v>
      </c>
      <c r="N30" s="38">
        <v>309</v>
      </c>
      <c r="O30" s="38">
        <v>179</v>
      </c>
      <c r="P30" s="36">
        <f t="shared" si="0"/>
        <v>42348.9</v>
      </c>
      <c r="Q30" s="36">
        <f t="shared" si="0"/>
        <v>21042.899999999998</v>
      </c>
      <c r="R30" s="36">
        <f t="shared" si="0"/>
        <v>10310.4</v>
      </c>
      <c r="S30" s="36">
        <f t="shared" si="1"/>
        <v>939</v>
      </c>
      <c r="T30" s="36">
        <f t="shared" si="2"/>
        <v>73702.2</v>
      </c>
      <c r="U30" s="37">
        <f>T30/S30</f>
        <v>78.49009584664536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112.7</v>
      </c>
      <c r="F31" s="20">
        <v>77.2</v>
      </c>
      <c r="G31" s="20">
        <v>65.8</v>
      </c>
      <c r="I31" s="20">
        <f t="shared" si="3"/>
        <v>92.601921229586921</v>
      </c>
      <c r="J31" s="45">
        <f>(I31/'AAU 03-04'!I31)-1</f>
        <v>5.8862744542845791E-2</v>
      </c>
      <c r="K31" s="18"/>
      <c r="M31" s="38">
        <f>416+114</f>
        <v>530</v>
      </c>
      <c r="N31" s="38">
        <f>167+100</f>
        <v>267</v>
      </c>
      <c r="O31" s="38">
        <f>144+100</f>
        <v>244</v>
      </c>
      <c r="P31" s="36">
        <f t="shared" si="0"/>
        <v>59731</v>
      </c>
      <c r="Q31" s="36">
        <f t="shared" si="0"/>
        <v>20612.400000000001</v>
      </c>
      <c r="R31" s="36">
        <f t="shared" si="0"/>
        <v>16055.199999999999</v>
      </c>
      <c r="S31" s="36">
        <f t="shared" si="1"/>
        <v>1041</v>
      </c>
      <c r="T31" s="36">
        <f t="shared" si="2"/>
        <v>96398.599999999991</v>
      </c>
      <c r="U31" s="37">
        <f t="shared" si="4"/>
        <v>92.601921229586921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108.4</v>
      </c>
      <c r="F32" s="20">
        <v>72.099999999999994</v>
      </c>
      <c r="G32" s="20">
        <v>64.8</v>
      </c>
      <c r="I32" s="20">
        <f t="shared" si="3"/>
        <v>86.447744014732962</v>
      </c>
      <c r="J32" s="45">
        <f>(I32/'AAU 03-04'!I32)-1</f>
        <v>4.4242169216002436E-2</v>
      </c>
      <c r="K32" s="18"/>
      <c r="M32" s="38">
        <f>787+164</f>
        <v>951</v>
      </c>
      <c r="N32" s="38">
        <f>517+244</f>
        <v>761</v>
      </c>
      <c r="O32" s="38">
        <f>272+188</f>
        <v>460</v>
      </c>
      <c r="P32" s="36">
        <f t="shared" si="0"/>
        <v>103088.40000000001</v>
      </c>
      <c r="Q32" s="36">
        <f t="shared" si="0"/>
        <v>54868.1</v>
      </c>
      <c r="R32" s="36">
        <f t="shared" si="0"/>
        <v>29808</v>
      </c>
      <c r="S32" s="36">
        <f t="shared" si="1"/>
        <v>2172</v>
      </c>
      <c r="T32" s="36">
        <f t="shared" si="2"/>
        <v>187764.5</v>
      </c>
      <c r="U32" s="37">
        <f t="shared" si="4"/>
        <v>86.447744014732962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83.6</v>
      </c>
      <c r="F33" s="20">
        <v>59</v>
      </c>
      <c r="G33" s="20">
        <v>54.4</v>
      </c>
      <c r="I33" s="20">
        <f t="shared" si="3"/>
        <v>66.109589041095887</v>
      </c>
      <c r="J33" s="45">
        <f>(I33/'AAU 03-04'!I33)-1</f>
        <v>1.2503294404123899E-2</v>
      </c>
      <c r="K33" s="18"/>
      <c r="M33" s="38">
        <f>156+47</f>
        <v>203</v>
      </c>
      <c r="N33" s="38">
        <f>115+83</f>
        <v>198</v>
      </c>
      <c r="O33" s="38">
        <f>111+72</f>
        <v>183</v>
      </c>
      <c r="P33" s="36">
        <f t="shared" si="0"/>
        <v>16970.8</v>
      </c>
      <c r="Q33" s="36">
        <f t="shared" si="0"/>
        <v>11682</v>
      </c>
      <c r="R33" s="36">
        <f t="shared" si="0"/>
        <v>9955.1999999999989</v>
      </c>
      <c r="S33" s="36">
        <f t="shared" si="1"/>
        <v>584</v>
      </c>
      <c r="T33" s="36">
        <f t="shared" si="2"/>
        <v>38608</v>
      </c>
      <c r="U33" s="37">
        <f t="shared" si="4"/>
        <v>66.109589041095887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112.6</v>
      </c>
      <c r="F34" s="20">
        <v>75.400000000000006</v>
      </c>
      <c r="G34" s="20">
        <v>64</v>
      </c>
      <c r="I34" s="20">
        <f t="shared" si="3"/>
        <v>88.976744186046517</v>
      </c>
      <c r="J34" s="45">
        <f>(I34/'AAU 03-04'!I34)-1</f>
        <v>4.2416740003299092E-2</v>
      </c>
      <c r="K34" s="18"/>
      <c r="M34" s="38">
        <f>616+106</f>
        <v>722</v>
      </c>
      <c r="N34" s="38">
        <f>337+165</f>
        <v>502</v>
      </c>
      <c r="O34" s="38">
        <f>235+175</f>
        <v>410</v>
      </c>
      <c r="P34" s="36">
        <f t="shared" si="0"/>
        <v>81297.2</v>
      </c>
      <c r="Q34" s="36">
        <f t="shared" si="0"/>
        <v>37850.800000000003</v>
      </c>
      <c r="R34" s="36">
        <f t="shared" si="0"/>
        <v>26240</v>
      </c>
      <c r="S34" s="36">
        <f t="shared" si="1"/>
        <v>1634</v>
      </c>
      <c r="T34" s="36">
        <f t="shared" si="2"/>
        <v>145388</v>
      </c>
      <c r="U34" s="37">
        <f t="shared" si="4"/>
        <v>88.976744186046517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109.8</v>
      </c>
      <c r="F35" s="20">
        <v>74</v>
      </c>
      <c r="G35" s="20">
        <v>63.6</v>
      </c>
      <c r="I35" s="20">
        <f t="shared" si="3"/>
        <v>83.352888888888884</v>
      </c>
      <c r="J35" s="45">
        <f>(I35/'AAU 03-04'!I35)-1</f>
        <v>3.4736362397677301E-2</v>
      </c>
      <c r="K35" s="18"/>
      <c r="M35" s="38">
        <f>380+104</f>
        <v>484</v>
      </c>
      <c r="N35" s="38">
        <f>276+138</f>
        <v>414</v>
      </c>
      <c r="O35" s="38">
        <f>249+203</f>
        <v>452</v>
      </c>
      <c r="P35" s="36">
        <f t="shared" si="0"/>
        <v>53143.199999999997</v>
      </c>
      <c r="Q35" s="36">
        <f t="shared" si="0"/>
        <v>30636</v>
      </c>
      <c r="R35" s="36">
        <f t="shared" si="0"/>
        <v>28747.200000000001</v>
      </c>
      <c r="S35" s="36">
        <f t="shared" si="1"/>
        <v>1350</v>
      </c>
      <c r="T35" s="36">
        <f t="shared" si="2"/>
        <v>112526.39999999999</v>
      </c>
      <c r="U35" s="37">
        <f t="shared" si="4"/>
        <v>83.352888888888884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100.7</v>
      </c>
      <c r="F36" s="20">
        <v>70.599999999999994</v>
      </c>
      <c r="G36" s="20">
        <v>62.9</v>
      </c>
      <c r="I36" s="20">
        <f t="shared" si="3"/>
        <v>81.79109311740892</v>
      </c>
      <c r="J36" s="45">
        <f>(I36/'AAU 03-04'!I36)-1</f>
        <v>2.7326054335601757E-2</v>
      </c>
      <c r="K36" s="18"/>
      <c r="M36" s="38">
        <f>669+91</f>
        <v>760</v>
      </c>
      <c r="N36" s="38">
        <f>372+139</f>
        <v>511</v>
      </c>
      <c r="O36" s="38">
        <f>279+179</f>
        <v>458</v>
      </c>
      <c r="P36" s="36">
        <f t="shared" si="0"/>
        <v>76532</v>
      </c>
      <c r="Q36" s="36">
        <f t="shared" si="0"/>
        <v>36076.6</v>
      </c>
      <c r="R36" s="36">
        <f t="shared" si="0"/>
        <v>28808.2</v>
      </c>
      <c r="S36" s="36">
        <f t="shared" si="1"/>
        <v>1729</v>
      </c>
      <c r="T36" s="36">
        <f t="shared" si="2"/>
        <v>141416.80000000002</v>
      </c>
      <c r="U36" s="37">
        <f t="shared" si="4"/>
        <v>81.79109311740892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112.9</v>
      </c>
      <c r="F37" s="20">
        <v>77.7</v>
      </c>
      <c r="G37" s="20">
        <v>62.8</v>
      </c>
      <c r="I37" s="20">
        <f t="shared" si="3"/>
        <v>92.627292110874208</v>
      </c>
      <c r="J37" s="45">
        <f>(I37/'AAU 03-04'!I37)-1</f>
        <v>1.9009413866645009E-2</v>
      </c>
      <c r="K37" s="18"/>
      <c r="M37" s="38">
        <f>586+133</f>
        <v>719</v>
      </c>
      <c r="N37" s="38">
        <f>252+147</f>
        <v>399</v>
      </c>
      <c r="O37" s="38">
        <f>161+128</f>
        <v>289</v>
      </c>
      <c r="P37" s="36">
        <f t="shared" si="0"/>
        <v>81175.100000000006</v>
      </c>
      <c r="Q37" s="36">
        <f t="shared" si="0"/>
        <v>31002.300000000003</v>
      </c>
      <c r="R37" s="36">
        <f t="shared" si="0"/>
        <v>18149.2</v>
      </c>
      <c r="S37" s="36">
        <f t="shared" si="1"/>
        <v>1407</v>
      </c>
      <c r="T37" s="36">
        <f t="shared" si="2"/>
        <v>130326.6</v>
      </c>
      <c r="U37" s="37">
        <f t="shared" si="4"/>
        <v>92.627292110874208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107.7</v>
      </c>
      <c r="F38" s="20">
        <v>75.7</v>
      </c>
      <c r="G38" s="20">
        <v>61.4</v>
      </c>
      <c r="I38" s="20">
        <f t="shared" si="3"/>
        <v>82.254427860696509</v>
      </c>
      <c r="J38" s="45">
        <f>(I38/'AAU 03-04'!I38)-1</f>
        <v>2.0271671543966141E-2</v>
      </c>
      <c r="K38" s="18"/>
      <c r="M38" s="38">
        <f>307+49</f>
        <v>356</v>
      </c>
      <c r="N38" s="38">
        <f>202+111</f>
        <v>313</v>
      </c>
      <c r="O38" s="38">
        <f>190+146</f>
        <v>336</v>
      </c>
      <c r="P38" s="36">
        <f t="shared" si="0"/>
        <v>38341.200000000004</v>
      </c>
      <c r="Q38" s="36">
        <f t="shared" si="0"/>
        <v>23694.100000000002</v>
      </c>
      <c r="R38" s="36">
        <f t="shared" si="0"/>
        <v>20630.399999999998</v>
      </c>
      <c r="S38" s="36">
        <f t="shared" si="1"/>
        <v>1005</v>
      </c>
      <c r="T38" s="36">
        <f t="shared" si="2"/>
        <v>82665.7</v>
      </c>
      <c r="U38" s="37">
        <f t="shared" si="4"/>
        <v>82.254427860696509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107</v>
      </c>
      <c r="F39" s="20">
        <v>78.8</v>
      </c>
      <c r="G39" s="20">
        <v>64.599999999999994</v>
      </c>
      <c r="I39" s="20">
        <f t="shared" si="3"/>
        <v>88.316165951359082</v>
      </c>
      <c r="J39" s="45">
        <f>(I39/'AAU 03-04'!I39)-1</f>
        <v>5.0182224600264558E-2</v>
      </c>
      <c r="K39" s="18"/>
      <c r="M39" s="38">
        <f>269+55</f>
        <v>324</v>
      </c>
      <c r="N39" s="38">
        <f>129+71</f>
        <v>200</v>
      </c>
      <c r="O39" s="38">
        <f>95+80</f>
        <v>175</v>
      </c>
      <c r="P39" s="36">
        <f t="shared" si="0"/>
        <v>34668</v>
      </c>
      <c r="Q39" s="36">
        <f t="shared" si="0"/>
        <v>15760</v>
      </c>
      <c r="R39" s="36">
        <f t="shared" si="0"/>
        <v>11304.999999999998</v>
      </c>
      <c r="S39" s="36">
        <f t="shared" si="1"/>
        <v>699</v>
      </c>
      <c r="T39" s="36">
        <f t="shared" si="2"/>
        <v>61733</v>
      </c>
      <c r="U39" s="37">
        <f t="shared" si="4"/>
        <v>88.316165951359082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109.9</v>
      </c>
      <c r="F40" s="20">
        <v>70.3</v>
      </c>
      <c r="G40" s="20">
        <v>66.900000000000006</v>
      </c>
      <c r="I40" s="20">
        <f t="shared" si="3"/>
        <v>90.291740088105726</v>
      </c>
      <c r="J40" s="45">
        <f>(I40/'AAU 03-04'!I40)-1</f>
        <v>6.3278988863703312E-2</v>
      </c>
      <c r="K40" s="18"/>
      <c r="M40" s="38">
        <f>801+154</f>
        <v>955</v>
      </c>
      <c r="N40" s="38">
        <f>246+170</f>
        <v>416</v>
      </c>
      <c r="O40" s="38">
        <f>271+174</f>
        <v>445</v>
      </c>
      <c r="P40" s="36">
        <f t="shared" si="0"/>
        <v>104954.5</v>
      </c>
      <c r="Q40" s="36">
        <f t="shared" si="0"/>
        <v>29244.799999999999</v>
      </c>
      <c r="R40" s="36">
        <f t="shared" si="0"/>
        <v>29770.500000000004</v>
      </c>
      <c r="S40" s="36">
        <f t="shared" si="1"/>
        <v>1816</v>
      </c>
      <c r="T40" s="36">
        <f t="shared" si="2"/>
        <v>163969.79999999999</v>
      </c>
      <c r="U40" s="37">
        <f t="shared" si="4"/>
        <v>90.291740088105726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100.2</v>
      </c>
      <c r="F41" s="20">
        <v>70.3</v>
      </c>
      <c r="G41" s="20">
        <v>60.6</v>
      </c>
      <c r="I41" s="20">
        <f t="shared" si="3"/>
        <v>82.491987951807232</v>
      </c>
      <c r="J41" s="45">
        <f>(I41/'AAU 03-04'!I41)-1</f>
        <v>4.9878268933013503E-2</v>
      </c>
      <c r="K41" s="18"/>
      <c r="M41" s="38">
        <f>745+73</f>
        <v>818</v>
      </c>
      <c r="N41" s="38">
        <f>291+116</f>
        <v>407</v>
      </c>
      <c r="O41" s="38">
        <f>289+146</f>
        <v>435</v>
      </c>
      <c r="P41" s="36">
        <f t="shared" si="0"/>
        <v>81963.600000000006</v>
      </c>
      <c r="Q41" s="36">
        <f t="shared" si="0"/>
        <v>28612.1</v>
      </c>
      <c r="R41" s="36">
        <f t="shared" si="0"/>
        <v>26361</v>
      </c>
      <c r="S41" s="36">
        <f t="shared" si="1"/>
        <v>1660</v>
      </c>
      <c r="T41" s="36">
        <f t="shared" si="2"/>
        <v>136936.70000000001</v>
      </c>
      <c r="U41" s="37">
        <f t="shared" si="4"/>
        <v>82.491987951807232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118.1</v>
      </c>
      <c r="F42" s="20">
        <v>78.099999999999994</v>
      </c>
      <c r="G42" s="20">
        <v>64.099999999999994</v>
      </c>
      <c r="I42" s="20">
        <f t="shared" si="3"/>
        <v>94.956581532416493</v>
      </c>
      <c r="J42" s="45">
        <f>(I42/'AAU 03-04'!I42)-1</f>
        <v>4.9415611972084772E-2</v>
      </c>
      <c r="K42" s="18"/>
      <c r="M42" s="38">
        <f>422+84</f>
        <v>506</v>
      </c>
      <c r="N42" s="38">
        <f>196+96</f>
        <v>292</v>
      </c>
      <c r="O42" s="38">
        <f>112+108</f>
        <v>220</v>
      </c>
      <c r="P42" s="36">
        <f t="shared" si="0"/>
        <v>59758.6</v>
      </c>
      <c r="Q42" s="36">
        <f t="shared" si="0"/>
        <v>22805.199999999997</v>
      </c>
      <c r="R42" s="36">
        <f t="shared" si="0"/>
        <v>14101.999999999998</v>
      </c>
      <c r="S42" s="36">
        <f t="shared" si="1"/>
        <v>1018</v>
      </c>
      <c r="T42" s="36">
        <f t="shared" si="2"/>
        <v>96665.799999999988</v>
      </c>
      <c r="U42" s="37">
        <f t="shared" si="4"/>
        <v>94.956581532416493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98.1</v>
      </c>
      <c r="F43" s="20">
        <v>70.2</v>
      </c>
      <c r="G43" s="20">
        <v>64.7</v>
      </c>
      <c r="I43" s="20">
        <f t="shared" si="3"/>
        <v>83.534472598703601</v>
      </c>
      <c r="J43" s="45">
        <f>(I43/'AAU 03-04'!I43)-1</f>
        <v>4.5587234732410664E-2</v>
      </c>
      <c r="K43" s="18"/>
      <c r="M43" s="38">
        <f>685+199</f>
        <v>884</v>
      </c>
      <c r="N43" s="38">
        <f>271+172</f>
        <v>443</v>
      </c>
      <c r="O43" s="38">
        <f>211+159</f>
        <v>370</v>
      </c>
      <c r="P43" s="36">
        <f t="shared" si="0"/>
        <v>86720.4</v>
      </c>
      <c r="Q43" s="36">
        <f t="shared" si="0"/>
        <v>31098.600000000002</v>
      </c>
      <c r="R43" s="36">
        <f t="shared" si="0"/>
        <v>23939</v>
      </c>
      <c r="S43" s="36">
        <f t="shared" si="1"/>
        <v>1697</v>
      </c>
      <c r="T43" s="36">
        <f t="shared" si="2"/>
        <v>141758</v>
      </c>
      <c r="U43" s="37">
        <f t="shared" si="4"/>
        <v>83.534472598703601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97.8</v>
      </c>
      <c r="F44" s="20">
        <v>73.400000000000006</v>
      </c>
      <c r="G44" s="20">
        <v>63.6</v>
      </c>
      <c r="I44" s="20">
        <f t="shared" si="3"/>
        <v>85.202731847591664</v>
      </c>
      <c r="J44" s="45">
        <f>(I44/'AAU 03-04'!I44)-1</f>
        <v>5.4993179133389081E-3</v>
      </c>
      <c r="K44" s="18"/>
      <c r="M44" s="38">
        <f>616+191</f>
        <v>807</v>
      </c>
      <c r="N44" s="38">
        <f>167+83</f>
        <v>250</v>
      </c>
      <c r="O44" s="38">
        <f>183+151</f>
        <v>334</v>
      </c>
      <c r="P44" s="36">
        <f t="shared" si="0"/>
        <v>78924.599999999991</v>
      </c>
      <c r="Q44" s="36">
        <f t="shared" si="0"/>
        <v>18350</v>
      </c>
      <c r="R44" s="36">
        <f t="shared" si="0"/>
        <v>21242.400000000001</v>
      </c>
      <c r="S44" s="36">
        <f t="shared" si="1"/>
        <v>1391</v>
      </c>
      <c r="T44" s="36">
        <f t="shared" si="2"/>
        <v>118517</v>
      </c>
      <c r="U44" s="37">
        <f t="shared" si="4"/>
        <v>85.202731847591664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106.56127868704631</v>
      </c>
      <c r="F46" s="41">
        <f t="shared" ref="F46" si="5">Q46/N46</f>
        <v>72.423518351998695</v>
      </c>
      <c r="G46" s="41">
        <f>R46/O46</f>
        <v>62.886650053399791</v>
      </c>
      <c r="H46" s="40"/>
      <c r="I46" s="41">
        <f t="shared" si="3"/>
        <v>86.662589817735721</v>
      </c>
      <c r="J46" s="46">
        <f>(I46/'AAU 03-04'!I46)-1</f>
        <v>2.9960785511414123E-2</v>
      </c>
      <c r="K46" s="18"/>
      <c r="M46" s="39">
        <f t="shared" ref="M46:R46" si="6">SUM(M11:M44)</f>
        <v>22179</v>
      </c>
      <c r="N46" s="39">
        <f t="shared" si="6"/>
        <v>12233</v>
      </c>
      <c r="O46" s="39">
        <f t="shared" si="6"/>
        <v>11236</v>
      </c>
      <c r="P46" s="39">
        <f t="shared" si="6"/>
        <v>2363422.6</v>
      </c>
      <c r="Q46" s="39">
        <f t="shared" si="6"/>
        <v>885956.9</v>
      </c>
      <c r="R46" s="39">
        <f t="shared" si="6"/>
        <v>706594.4</v>
      </c>
      <c r="S46" s="36">
        <f>M46+N46+O46</f>
        <v>45648</v>
      </c>
      <c r="T46" s="36">
        <f>P46+Q46+R46</f>
        <v>3955973.9</v>
      </c>
      <c r="U46" s="37">
        <f>T46/S46</f>
        <v>86.662589817735721</v>
      </c>
    </row>
    <row r="47" spans="1:21" ht="13.5" customHeight="1" x14ac:dyDescent="0.3">
      <c r="A47" s="19"/>
      <c r="D47" s="44" t="s">
        <v>55</v>
      </c>
      <c r="E47" s="41">
        <f>MEDIAN(E11:E44)</f>
        <v>106.2</v>
      </c>
      <c r="F47" s="41">
        <f t="shared" ref="F47" si="7">MEDIAN(F11:F44)</f>
        <v>71.150000000000006</v>
      </c>
      <c r="G47" s="41">
        <f>MEDIAN(G11:G44)</f>
        <v>62.849999999999994</v>
      </c>
      <c r="H47" s="40"/>
      <c r="I47" s="41">
        <f>MEDIAN(I11:I44)</f>
        <v>85.590937955140021</v>
      </c>
      <c r="J47" s="46">
        <f>(I47/'AAU 03-04'!I47)-1</f>
        <v>2.8986432684004138E-2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79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80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92.5</v>
      </c>
      <c r="F11" s="20">
        <v>64.900000000000006</v>
      </c>
      <c r="G11" s="20">
        <v>57.6</v>
      </c>
      <c r="I11" s="20">
        <f>U11</f>
        <v>76.616055045871548</v>
      </c>
      <c r="J11" s="45">
        <f>(I11/'AAU 02-03'!I11)-1</f>
        <v>1.4874184805825363E-2</v>
      </c>
      <c r="K11" s="18"/>
      <c r="M11" s="38">
        <f>499+134</f>
        <v>633</v>
      </c>
      <c r="N11" s="38">
        <f>232+149</f>
        <v>381</v>
      </c>
      <c r="O11" s="38">
        <f>179+115</f>
        <v>294</v>
      </c>
      <c r="P11" s="36">
        <f t="shared" ref="P11:R44" si="0">E11*M11</f>
        <v>58552.5</v>
      </c>
      <c r="Q11" s="36">
        <f t="shared" si="0"/>
        <v>24726.9</v>
      </c>
      <c r="R11" s="36">
        <f t="shared" si="0"/>
        <v>16934.400000000001</v>
      </c>
      <c r="S11" s="36">
        <f t="shared" ref="S11:S44" si="1">M11+N11+O11</f>
        <v>1308</v>
      </c>
      <c r="T11" s="36">
        <f t="shared" ref="T11:T44" si="2">P11+Q11+R11</f>
        <v>100213.79999999999</v>
      </c>
      <c r="U11" s="37">
        <f>T11/S11</f>
        <v>76.616055045871548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123</v>
      </c>
      <c r="F12" s="20">
        <v>77.099999999999994</v>
      </c>
      <c r="G12" s="20">
        <v>70</v>
      </c>
      <c r="I12" s="20">
        <f t="shared" ref="I12:I46" si="3">U12</f>
        <v>105.97544247787611</v>
      </c>
      <c r="J12" s="45">
        <f>(I12/'AAU 02-03'!I12)-1</f>
        <v>4.0813907573946873E-2</v>
      </c>
      <c r="K12" s="18"/>
      <c r="M12" s="38">
        <f>715+171</f>
        <v>886</v>
      </c>
      <c r="N12" s="38">
        <f>165+92</f>
        <v>257</v>
      </c>
      <c r="O12" s="38">
        <f>130+83</f>
        <v>213</v>
      </c>
      <c r="P12" s="36">
        <f t="shared" si="0"/>
        <v>108978</v>
      </c>
      <c r="Q12" s="36">
        <f t="shared" si="0"/>
        <v>19814.699999999997</v>
      </c>
      <c r="R12" s="36">
        <f t="shared" si="0"/>
        <v>14910</v>
      </c>
      <c r="S12" s="36">
        <f t="shared" si="1"/>
        <v>1356</v>
      </c>
      <c r="T12" s="36">
        <f t="shared" si="2"/>
        <v>143702.70000000001</v>
      </c>
      <c r="U12" s="37">
        <f t="shared" ref="U12:U44" si="4">T12/S12</f>
        <v>105.97544247787611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105</v>
      </c>
      <c r="F13" s="20">
        <v>69.8</v>
      </c>
      <c r="G13" s="20">
        <v>60</v>
      </c>
      <c r="I13" s="20">
        <f t="shared" si="3"/>
        <v>90.296378418329638</v>
      </c>
      <c r="J13" s="45">
        <f>(I13/'AAU 02-03'!I13)-1</f>
        <v>4.0789157007445231E-2</v>
      </c>
      <c r="K13" s="18"/>
      <c r="M13" s="38">
        <f>685+178</f>
        <v>863</v>
      </c>
      <c r="N13" s="38">
        <f>139+81</f>
        <v>220</v>
      </c>
      <c r="O13" s="38">
        <f>151+119</f>
        <v>270</v>
      </c>
      <c r="P13" s="36">
        <f t="shared" si="0"/>
        <v>90615</v>
      </c>
      <c r="Q13" s="36">
        <f t="shared" si="0"/>
        <v>15356</v>
      </c>
      <c r="R13" s="36">
        <f t="shared" si="0"/>
        <v>16200</v>
      </c>
      <c r="S13" s="36">
        <f t="shared" si="1"/>
        <v>1353</v>
      </c>
      <c r="T13" s="36">
        <f t="shared" si="2"/>
        <v>122171</v>
      </c>
      <c r="U13" s="37">
        <f t="shared" si="4"/>
        <v>90.296378418329638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107.9</v>
      </c>
      <c r="F14" s="20">
        <v>71.2</v>
      </c>
      <c r="G14" s="20">
        <v>62.1</v>
      </c>
      <c r="I14" s="20">
        <f t="shared" si="3"/>
        <v>87.459228971962617</v>
      </c>
      <c r="J14" s="45">
        <f>(I14/'AAU 02-03'!I14)-1</f>
        <v>2.0073044216739389E-2</v>
      </c>
      <c r="K14" s="18"/>
      <c r="M14" s="38">
        <f>352+86</f>
        <v>438</v>
      </c>
      <c r="N14" s="38">
        <f>116+65</f>
        <v>181</v>
      </c>
      <c r="O14" s="38">
        <f>155+82</f>
        <v>237</v>
      </c>
      <c r="P14" s="36">
        <f t="shared" si="0"/>
        <v>47260.200000000004</v>
      </c>
      <c r="Q14" s="36">
        <f t="shared" si="0"/>
        <v>12887.2</v>
      </c>
      <c r="R14" s="36">
        <f t="shared" si="0"/>
        <v>14717.7</v>
      </c>
      <c r="S14" s="36">
        <f t="shared" si="1"/>
        <v>856</v>
      </c>
      <c r="T14" s="36">
        <f t="shared" si="2"/>
        <v>74865.100000000006</v>
      </c>
      <c r="U14" s="37">
        <f t="shared" si="4"/>
        <v>87.459228971962617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122.4</v>
      </c>
      <c r="F15" s="20">
        <v>77</v>
      </c>
      <c r="G15" s="20">
        <v>63.7</v>
      </c>
      <c r="I15" s="20">
        <f t="shared" si="3"/>
        <v>102.12524839275277</v>
      </c>
      <c r="J15" s="45">
        <f>(I15/'AAU 02-03'!I15)-1</f>
        <v>3.5573438782004807E-2</v>
      </c>
      <c r="K15" s="18"/>
      <c r="M15" s="38">
        <f>832+223</f>
        <v>1055</v>
      </c>
      <c r="N15" s="38">
        <f>190+97</f>
        <v>287</v>
      </c>
      <c r="O15" s="38">
        <f>234+135</f>
        <v>369</v>
      </c>
      <c r="P15" s="36">
        <f t="shared" si="0"/>
        <v>129132</v>
      </c>
      <c r="Q15" s="36">
        <f t="shared" si="0"/>
        <v>22099</v>
      </c>
      <c r="R15" s="36">
        <f t="shared" si="0"/>
        <v>23505.3</v>
      </c>
      <c r="S15" s="36">
        <f t="shared" si="1"/>
        <v>1711</v>
      </c>
      <c r="T15" s="36">
        <f t="shared" si="2"/>
        <v>174736.3</v>
      </c>
      <c r="U15" s="37">
        <f t="shared" si="4"/>
        <v>102.12524839275277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112.4</v>
      </c>
      <c r="F16" s="20">
        <v>69.599999999999994</v>
      </c>
      <c r="G16" s="20">
        <v>61.2</v>
      </c>
      <c r="I16" s="20">
        <f t="shared" si="3"/>
        <v>94.370403587443946</v>
      </c>
      <c r="J16" s="45">
        <f>(I16/'AAU 02-03'!I16)-1</f>
        <v>1.065843024046087E-2</v>
      </c>
      <c r="K16" s="18"/>
      <c r="M16" s="38">
        <f>462+88</f>
        <v>550</v>
      </c>
      <c r="N16" s="38">
        <f>121+49</f>
        <v>170</v>
      </c>
      <c r="O16" s="38">
        <f>112+60</f>
        <v>172</v>
      </c>
      <c r="P16" s="36">
        <f t="shared" si="0"/>
        <v>61820</v>
      </c>
      <c r="Q16" s="36">
        <f t="shared" si="0"/>
        <v>11831.999999999998</v>
      </c>
      <c r="R16" s="36">
        <f t="shared" si="0"/>
        <v>10526.4</v>
      </c>
      <c r="S16" s="36">
        <f t="shared" si="1"/>
        <v>892</v>
      </c>
      <c r="T16" s="36">
        <f t="shared" si="2"/>
        <v>84178.4</v>
      </c>
      <c r="U16" s="37">
        <f t="shared" si="4"/>
        <v>94.370403587443946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109.6</v>
      </c>
      <c r="F17" s="20">
        <v>70</v>
      </c>
      <c r="G17" s="20">
        <v>60</v>
      </c>
      <c r="I17" s="20">
        <f t="shared" si="3"/>
        <v>92.082337992376097</v>
      </c>
      <c r="J17" s="45">
        <f>(I17/'AAU 02-03'!I17)-1</f>
        <v>0.12115374414266644</v>
      </c>
      <c r="K17" s="18"/>
      <c r="M17" s="38">
        <f>389+89</f>
        <v>478</v>
      </c>
      <c r="N17" s="38">
        <f>94+60</f>
        <v>154</v>
      </c>
      <c r="O17" s="38">
        <f>98+57</f>
        <v>155</v>
      </c>
      <c r="P17" s="36">
        <f t="shared" si="0"/>
        <v>52388.799999999996</v>
      </c>
      <c r="Q17" s="36">
        <f t="shared" si="0"/>
        <v>10780</v>
      </c>
      <c r="R17" s="36">
        <f t="shared" si="0"/>
        <v>9300</v>
      </c>
      <c r="S17" s="36">
        <f t="shared" si="1"/>
        <v>787</v>
      </c>
      <c r="T17" s="36">
        <f t="shared" si="2"/>
        <v>72468.799999999988</v>
      </c>
      <c r="U17" s="37">
        <f t="shared" si="4"/>
        <v>92.082337992376097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98.4</v>
      </c>
      <c r="F18" s="20">
        <v>71.2</v>
      </c>
      <c r="G18" s="20">
        <v>61</v>
      </c>
      <c r="I18" s="20">
        <f t="shared" si="3"/>
        <v>80.431144067796609</v>
      </c>
      <c r="J18" s="45">
        <f>(I18/'AAU 02-03'!I18)-1</f>
        <v>2.1840780038399288E-2</v>
      </c>
      <c r="K18" s="18"/>
      <c r="M18" s="38">
        <f>348+65</f>
        <v>413</v>
      </c>
      <c r="N18" s="38">
        <f>194+90</f>
        <v>284</v>
      </c>
      <c r="O18" s="38">
        <f>150+97</f>
        <v>247</v>
      </c>
      <c r="P18" s="36">
        <f t="shared" si="0"/>
        <v>40639.200000000004</v>
      </c>
      <c r="Q18" s="36">
        <f t="shared" si="0"/>
        <v>20220.8</v>
      </c>
      <c r="R18" s="36">
        <f t="shared" si="0"/>
        <v>15067</v>
      </c>
      <c r="S18" s="36">
        <f t="shared" si="1"/>
        <v>944</v>
      </c>
      <c r="T18" s="36">
        <f t="shared" si="2"/>
        <v>75927</v>
      </c>
      <c r="U18" s="37">
        <f t="shared" si="4"/>
        <v>80.431144067796609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93.5</v>
      </c>
      <c r="F19" s="20">
        <v>65.7</v>
      </c>
      <c r="G19" s="20">
        <v>56.6</v>
      </c>
      <c r="I19" s="20">
        <f t="shared" si="3"/>
        <v>74.8094103633115</v>
      </c>
      <c r="J19" s="45">
        <f>(I19/'AAU 02-03'!I19)-1</f>
        <v>2.6836480347410152E-2</v>
      </c>
      <c r="K19" s="18"/>
      <c r="M19" s="38">
        <f>600+105</f>
        <v>705</v>
      </c>
      <c r="N19" s="38">
        <f>365+136</f>
        <v>501</v>
      </c>
      <c r="O19" s="38">
        <f>289+184</f>
        <v>473</v>
      </c>
      <c r="P19" s="36">
        <f t="shared" si="0"/>
        <v>65917.5</v>
      </c>
      <c r="Q19" s="36">
        <f t="shared" si="0"/>
        <v>32915.700000000004</v>
      </c>
      <c r="R19" s="36">
        <f t="shared" si="0"/>
        <v>26771.8</v>
      </c>
      <c r="S19" s="36">
        <f t="shared" si="1"/>
        <v>1679</v>
      </c>
      <c r="T19" s="36">
        <f t="shared" si="2"/>
        <v>125605.00000000001</v>
      </c>
      <c r="U19" s="37">
        <f t="shared" si="4"/>
        <v>74.8094103633115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107</v>
      </c>
      <c r="F20" s="20">
        <v>72</v>
      </c>
      <c r="G20" s="20">
        <v>64.5</v>
      </c>
      <c r="I20" s="20">
        <f t="shared" si="3"/>
        <v>86.18992027334852</v>
      </c>
      <c r="J20" s="45">
        <f>(I20/'AAU 02-03'!I20)-1</f>
        <v>4.8605258364047943E-2</v>
      </c>
      <c r="K20" s="18"/>
      <c r="M20" s="38">
        <f>696+116</f>
        <v>812</v>
      </c>
      <c r="N20" s="38">
        <f>325+152</f>
        <v>477</v>
      </c>
      <c r="O20" s="38">
        <f>285+182</f>
        <v>467</v>
      </c>
      <c r="P20" s="36">
        <f t="shared" si="0"/>
        <v>86884</v>
      </c>
      <c r="Q20" s="36">
        <f t="shared" si="0"/>
        <v>34344</v>
      </c>
      <c r="R20" s="36">
        <f t="shared" si="0"/>
        <v>30121.5</v>
      </c>
      <c r="S20" s="36">
        <f t="shared" si="1"/>
        <v>1756</v>
      </c>
      <c r="T20" s="36">
        <f t="shared" si="2"/>
        <v>151349.5</v>
      </c>
      <c r="U20" s="37">
        <f t="shared" si="4"/>
        <v>86.18992027334852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99.1</v>
      </c>
      <c r="F21" s="20">
        <v>68.5</v>
      </c>
      <c r="G21" s="20">
        <v>59.6</v>
      </c>
      <c r="I21" s="20">
        <f t="shared" si="3"/>
        <v>80.986861861861868</v>
      </c>
      <c r="J21" s="45">
        <f>(I21/'AAU 02-03'!I21)-1</f>
        <v>7.2347733551154647E-3</v>
      </c>
      <c r="K21" s="18"/>
      <c r="M21" s="38">
        <f>502+132</f>
        <v>634</v>
      </c>
      <c r="N21" s="38">
        <f>247+140</f>
        <v>387</v>
      </c>
      <c r="O21" s="38">
        <f>177+134</f>
        <v>311</v>
      </c>
      <c r="P21" s="36">
        <f t="shared" si="0"/>
        <v>62829.399999999994</v>
      </c>
      <c r="Q21" s="36">
        <f t="shared" si="0"/>
        <v>26509.5</v>
      </c>
      <c r="R21" s="36">
        <f t="shared" si="0"/>
        <v>18535.600000000002</v>
      </c>
      <c r="S21" s="36">
        <f t="shared" si="1"/>
        <v>1332</v>
      </c>
      <c r="T21" s="36">
        <f t="shared" si="2"/>
        <v>107874.5</v>
      </c>
      <c r="U21" s="37">
        <f t="shared" si="4"/>
        <v>80.986861861861868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100.8</v>
      </c>
      <c r="F22" s="20">
        <v>67.5</v>
      </c>
      <c r="G22" s="20">
        <v>59.8</v>
      </c>
      <c r="I22" s="20">
        <f t="shared" si="3"/>
        <v>78.261366806136678</v>
      </c>
      <c r="J22" s="45">
        <f>(I22/'AAU 02-03'!I22)-1</f>
        <v>-2.1570945248687523E-2</v>
      </c>
      <c r="K22" s="18"/>
      <c r="M22" s="38">
        <f>425+99</f>
        <v>524</v>
      </c>
      <c r="N22" s="38">
        <f>501+147</f>
        <v>648</v>
      </c>
      <c r="O22" s="38">
        <f>148+114</f>
        <v>262</v>
      </c>
      <c r="P22" s="36">
        <f t="shared" si="0"/>
        <v>52819.199999999997</v>
      </c>
      <c r="Q22" s="36">
        <f t="shared" si="0"/>
        <v>43740</v>
      </c>
      <c r="R22" s="36">
        <f t="shared" si="0"/>
        <v>15667.599999999999</v>
      </c>
      <c r="S22" s="36">
        <f t="shared" si="1"/>
        <v>1434</v>
      </c>
      <c r="T22" s="36">
        <f t="shared" si="2"/>
        <v>112226.79999999999</v>
      </c>
      <c r="U22" s="37">
        <f t="shared" si="4"/>
        <v>78.261366806136678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92.2</v>
      </c>
      <c r="F23" s="20">
        <v>69.2</v>
      </c>
      <c r="G23" s="20">
        <v>57.8</v>
      </c>
      <c r="I23" s="20">
        <f t="shared" si="3"/>
        <v>75.147494033412897</v>
      </c>
      <c r="J23" s="45">
        <f>(I23/'AAU 02-03'!I23)-1</f>
        <v>2.1176889265354548E-2</v>
      </c>
      <c r="K23" s="18"/>
      <c r="M23" s="38">
        <f>428+73</f>
        <v>501</v>
      </c>
      <c r="N23" s="38">
        <f>281+120</f>
        <v>401</v>
      </c>
      <c r="O23" s="38">
        <f>228+127</f>
        <v>355</v>
      </c>
      <c r="P23" s="36">
        <f t="shared" si="0"/>
        <v>46192.200000000004</v>
      </c>
      <c r="Q23" s="36">
        <f t="shared" si="0"/>
        <v>27749.200000000001</v>
      </c>
      <c r="R23" s="36">
        <f t="shared" si="0"/>
        <v>20519</v>
      </c>
      <c r="S23" s="36">
        <f t="shared" si="1"/>
        <v>1257</v>
      </c>
      <c r="T23" s="36">
        <f t="shared" si="2"/>
        <v>94460.400000000009</v>
      </c>
      <c r="U23" s="37">
        <f t="shared" si="4"/>
        <v>75.147494033412897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87.9</v>
      </c>
      <c r="F24" s="20">
        <v>61.7</v>
      </c>
      <c r="G24" s="20">
        <v>51.2</v>
      </c>
      <c r="I24" s="20">
        <f t="shared" si="3"/>
        <v>70.203898840885145</v>
      </c>
      <c r="J24" s="45">
        <f>(I24/'AAU 02-03'!I24)-1</f>
        <v>2.5747943614540025E-2</v>
      </c>
      <c r="K24" s="18"/>
      <c r="M24" s="38">
        <f>331+70</f>
        <v>401</v>
      </c>
      <c r="N24" s="38">
        <f>216+100</f>
        <v>316</v>
      </c>
      <c r="O24" s="38">
        <f>121+111</f>
        <v>232</v>
      </c>
      <c r="P24" s="36">
        <f t="shared" si="0"/>
        <v>35247.9</v>
      </c>
      <c r="Q24" s="36">
        <f t="shared" si="0"/>
        <v>19497.2</v>
      </c>
      <c r="R24" s="36">
        <f t="shared" si="0"/>
        <v>11878.400000000001</v>
      </c>
      <c r="S24" s="36">
        <f t="shared" si="1"/>
        <v>949</v>
      </c>
      <c r="T24" s="36">
        <f t="shared" si="2"/>
        <v>66623.5</v>
      </c>
      <c r="U24" s="37">
        <f t="shared" si="4"/>
        <v>70.203898840885145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107</v>
      </c>
      <c r="F25" s="20">
        <v>74.900000000000006</v>
      </c>
      <c r="G25" s="20">
        <v>70</v>
      </c>
      <c r="I25" s="20">
        <f t="shared" si="3"/>
        <v>89.868680089485451</v>
      </c>
      <c r="J25" s="45">
        <f>(I25/'AAU 02-03'!I25)-1</f>
        <v>6.0763564182468865E-3</v>
      </c>
      <c r="K25" s="18"/>
      <c r="M25" s="38">
        <f>546+121</f>
        <v>667</v>
      </c>
      <c r="N25" s="38">
        <f>279+122</f>
        <v>401</v>
      </c>
      <c r="O25" s="38">
        <f>162+111</f>
        <v>273</v>
      </c>
      <c r="P25" s="36">
        <f t="shared" si="0"/>
        <v>71369</v>
      </c>
      <c r="Q25" s="36">
        <f t="shared" si="0"/>
        <v>30034.9</v>
      </c>
      <c r="R25" s="36">
        <f t="shared" si="0"/>
        <v>19110</v>
      </c>
      <c r="S25" s="36">
        <f t="shared" si="1"/>
        <v>1341</v>
      </c>
      <c r="T25" s="36">
        <f t="shared" si="2"/>
        <v>120513.9</v>
      </c>
      <c r="U25" s="37">
        <f t="shared" si="4"/>
        <v>89.868680089485451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117.8</v>
      </c>
      <c r="F26" s="20">
        <v>80.900000000000006</v>
      </c>
      <c r="G26" s="20">
        <v>66.7</v>
      </c>
      <c r="I26" s="20">
        <f t="shared" si="3"/>
        <v>93.548353371667531</v>
      </c>
      <c r="J26" s="45">
        <f>(I26/'AAU 02-03'!I26)-1</f>
        <v>2.1047178287338042E-2</v>
      </c>
      <c r="K26" s="18"/>
      <c r="M26" s="38">
        <f>709+168</f>
        <v>877</v>
      </c>
      <c r="N26" s="38">
        <f>276+185</f>
        <v>461</v>
      </c>
      <c r="O26" s="38">
        <f>349+226</f>
        <v>575</v>
      </c>
      <c r="P26" s="36">
        <f t="shared" si="0"/>
        <v>103310.59999999999</v>
      </c>
      <c r="Q26" s="36">
        <f t="shared" si="0"/>
        <v>37294.9</v>
      </c>
      <c r="R26" s="36">
        <f t="shared" si="0"/>
        <v>38352.5</v>
      </c>
      <c r="S26" s="36">
        <f t="shared" si="1"/>
        <v>1913</v>
      </c>
      <c r="T26" s="36">
        <f t="shared" si="2"/>
        <v>178958</v>
      </c>
      <c r="U26" s="37">
        <f t="shared" si="4"/>
        <v>93.548353371667531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98.3</v>
      </c>
      <c r="F27" s="20">
        <v>72.400000000000006</v>
      </c>
      <c r="G27" s="20">
        <v>58.9</v>
      </c>
      <c r="I27" s="20">
        <f t="shared" si="3"/>
        <v>81.630792529025754</v>
      </c>
      <c r="J27" s="45">
        <f>(I27/'AAU 02-03'!I27)-1</f>
        <v>3.5336304575132482E-2</v>
      </c>
      <c r="K27" s="18"/>
      <c r="M27" s="38">
        <f>772+191</f>
        <v>963</v>
      </c>
      <c r="N27" s="38">
        <f>326+199</f>
        <v>525</v>
      </c>
      <c r="O27" s="38">
        <f>290+203</f>
        <v>493</v>
      </c>
      <c r="P27" s="36">
        <f t="shared" si="0"/>
        <v>94662.9</v>
      </c>
      <c r="Q27" s="36">
        <f t="shared" si="0"/>
        <v>38010</v>
      </c>
      <c r="R27" s="36">
        <f t="shared" si="0"/>
        <v>29037.7</v>
      </c>
      <c r="S27" s="36">
        <f t="shared" si="1"/>
        <v>1981</v>
      </c>
      <c r="T27" s="36">
        <f t="shared" si="2"/>
        <v>161710.6</v>
      </c>
      <c r="U27" s="37">
        <f t="shared" si="4"/>
        <v>81.630792529025754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102</v>
      </c>
      <c r="F28" s="20">
        <v>69.900000000000006</v>
      </c>
      <c r="G28" s="20">
        <v>60.6</v>
      </c>
      <c r="I28" s="20">
        <f t="shared" si="3"/>
        <v>83.574552192711536</v>
      </c>
      <c r="J28" s="45">
        <f>(I28/'AAU 02-03'!I28)-1</f>
        <v>-5.0763393308572713E-3</v>
      </c>
      <c r="K28" s="18"/>
      <c r="M28" s="38">
        <f>653+152</f>
        <v>805</v>
      </c>
      <c r="N28" s="38">
        <f>259+157</f>
        <v>416</v>
      </c>
      <c r="O28" s="38">
        <f>226+172</f>
        <v>398</v>
      </c>
      <c r="P28" s="36">
        <f t="shared" si="0"/>
        <v>82110</v>
      </c>
      <c r="Q28" s="36">
        <f t="shared" si="0"/>
        <v>29078.400000000001</v>
      </c>
      <c r="R28" s="36">
        <f t="shared" si="0"/>
        <v>24118.799999999999</v>
      </c>
      <c r="S28" s="36">
        <f t="shared" si="1"/>
        <v>1619</v>
      </c>
      <c r="T28" s="36">
        <f t="shared" si="2"/>
        <v>135307.19999999998</v>
      </c>
      <c r="U28" s="37">
        <f t="shared" si="4"/>
        <v>83.574552192711536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91.8</v>
      </c>
      <c r="F29" s="25">
        <v>64.5</v>
      </c>
      <c r="G29" s="25">
        <v>52.3</v>
      </c>
      <c r="H29" s="24"/>
      <c r="I29" s="25">
        <f t="shared" si="3"/>
        <v>68.751422319474827</v>
      </c>
      <c r="J29" s="47">
        <f>(I29/'AAU 02-03'!I29)-1</f>
        <v>2.2005189067237696E-2</v>
      </c>
      <c r="K29" s="18"/>
      <c r="M29" s="38">
        <f>224+60</f>
        <v>284</v>
      </c>
      <c r="N29" s="38">
        <f>213+100</f>
        <v>313</v>
      </c>
      <c r="O29" s="38">
        <f>185+132</f>
        <v>317</v>
      </c>
      <c r="P29" s="36">
        <f t="shared" si="0"/>
        <v>26071.200000000001</v>
      </c>
      <c r="Q29" s="36">
        <f t="shared" si="0"/>
        <v>20188.5</v>
      </c>
      <c r="R29" s="36">
        <f t="shared" si="0"/>
        <v>16579.099999999999</v>
      </c>
      <c r="S29" s="36">
        <f t="shared" si="1"/>
        <v>914</v>
      </c>
      <c r="T29" s="36">
        <f t="shared" si="2"/>
        <v>62838.799999999996</v>
      </c>
      <c r="U29" s="37">
        <f t="shared" si="4"/>
        <v>68.751422319474827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90.9</v>
      </c>
      <c r="F30" s="20">
        <v>65.400000000000006</v>
      </c>
      <c r="G30" s="20">
        <v>56.2</v>
      </c>
      <c r="I30" s="20">
        <f>U30</f>
        <v>75.997002141327627</v>
      </c>
      <c r="J30" s="45">
        <f>(I30/'AAU 02-03'!I30)-1</f>
        <v>4.6385343893198261E-3</v>
      </c>
      <c r="K30" s="18"/>
      <c r="M30" s="38">
        <f>393+59</f>
        <v>452</v>
      </c>
      <c r="N30" s="38">
        <f>231+74</f>
        <v>305</v>
      </c>
      <c r="O30" s="38">
        <f>100+77</f>
        <v>177</v>
      </c>
      <c r="P30" s="36">
        <f t="shared" si="0"/>
        <v>41086.800000000003</v>
      </c>
      <c r="Q30" s="36">
        <f t="shared" si="0"/>
        <v>19947</v>
      </c>
      <c r="R30" s="36">
        <f t="shared" si="0"/>
        <v>9947.4</v>
      </c>
      <c r="S30" s="36">
        <f t="shared" si="1"/>
        <v>934</v>
      </c>
      <c r="T30" s="36">
        <f t="shared" si="2"/>
        <v>70981.2</v>
      </c>
      <c r="U30" s="37">
        <f>T30/S30</f>
        <v>75.997002141327627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106.3</v>
      </c>
      <c r="F31" s="20">
        <v>74.099999999999994</v>
      </c>
      <c r="G31" s="20">
        <v>61.8</v>
      </c>
      <c r="I31" s="20">
        <f t="shared" si="3"/>
        <v>87.454131054131054</v>
      </c>
      <c r="J31" s="45">
        <f>(I31/'AAU 02-03'!I31)-1</f>
        <v>1.484785297278135E-3</v>
      </c>
      <c r="K31" s="18"/>
      <c r="M31" s="38">
        <f>415+113</f>
        <v>528</v>
      </c>
      <c r="N31" s="38">
        <f>183+103</f>
        <v>286</v>
      </c>
      <c r="O31" s="38">
        <f>140+99</f>
        <v>239</v>
      </c>
      <c r="P31" s="36">
        <f t="shared" si="0"/>
        <v>56126.400000000001</v>
      </c>
      <c r="Q31" s="36">
        <f t="shared" si="0"/>
        <v>21192.6</v>
      </c>
      <c r="R31" s="36">
        <f t="shared" si="0"/>
        <v>14770.199999999999</v>
      </c>
      <c r="S31" s="36">
        <f t="shared" si="1"/>
        <v>1053</v>
      </c>
      <c r="T31" s="36">
        <f t="shared" si="2"/>
        <v>92089.2</v>
      </c>
      <c r="U31" s="37">
        <f t="shared" si="4"/>
        <v>87.454131054131054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103.5</v>
      </c>
      <c r="F32" s="20">
        <v>69.099999999999994</v>
      </c>
      <c r="G32" s="20">
        <v>62.3</v>
      </c>
      <c r="I32" s="20">
        <f t="shared" si="3"/>
        <v>82.785149425287358</v>
      </c>
      <c r="J32" s="45">
        <f>(I32/'AAU 02-03'!I32)-1</f>
        <v>4.9723002419855611E-2</v>
      </c>
      <c r="K32" s="18"/>
      <c r="M32" s="38">
        <f>799+157</f>
        <v>956</v>
      </c>
      <c r="N32" s="38">
        <f>516+244</f>
        <v>760</v>
      </c>
      <c r="O32" s="38">
        <f>272+187</f>
        <v>459</v>
      </c>
      <c r="P32" s="36">
        <f t="shared" si="0"/>
        <v>98946</v>
      </c>
      <c r="Q32" s="36">
        <f t="shared" si="0"/>
        <v>52515.999999999993</v>
      </c>
      <c r="R32" s="36">
        <f t="shared" si="0"/>
        <v>28595.699999999997</v>
      </c>
      <c r="S32" s="36">
        <f t="shared" si="1"/>
        <v>2175</v>
      </c>
      <c r="T32" s="36">
        <f t="shared" si="2"/>
        <v>180057.7</v>
      </c>
      <c r="U32" s="37">
        <f t="shared" si="4"/>
        <v>82.785149425287358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83.1</v>
      </c>
      <c r="F33" s="20">
        <v>59.7</v>
      </c>
      <c r="G33" s="20">
        <v>52.9</v>
      </c>
      <c r="I33" s="20">
        <f t="shared" si="3"/>
        <v>65.293208828522921</v>
      </c>
      <c r="J33" s="45">
        <f>(I33/'AAU 02-03'!I33)-1</f>
        <v>2.144123136441145E-2</v>
      </c>
      <c r="K33" s="18"/>
      <c r="M33" s="38">
        <f>149+47</f>
        <v>196</v>
      </c>
      <c r="N33" s="38">
        <f>123+80</f>
        <v>203</v>
      </c>
      <c r="O33" s="38">
        <f>117+73</f>
        <v>190</v>
      </c>
      <c r="P33" s="36">
        <f t="shared" si="0"/>
        <v>16287.599999999999</v>
      </c>
      <c r="Q33" s="36">
        <f t="shared" si="0"/>
        <v>12119.1</v>
      </c>
      <c r="R33" s="36">
        <f t="shared" si="0"/>
        <v>10051</v>
      </c>
      <c r="S33" s="36">
        <f t="shared" si="1"/>
        <v>589</v>
      </c>
      <c r="T33" s="36">
        <f t="shared" si="2"/>
        <v>38457.699999999997</v>
      </c>
      <c r="U33" s="37">
        <f t="shared" si="4"/>
        <v>65.293208828522921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108</v>
      </c>
      <c r="F34" s="20">
        <v>72.400000000000006</v>
      </c>
      <c r="G34" s="20">
        <v>62.5</v>
      </c>
      <c r="I34" s="20">
        <f t="shared" si="3"/>
        <v>85.356211936662604</v>
      </c>
      <c r="J34" s="45">
        <f>(I34/'AAU 02-03'!I34)-1</f>
        <v>5.222218651710886E-2</v>
      </c>
      <c r="K34" s="18"/>
      <c r="M34" s="38">
        <f>618+100</f>
        <v>718</v>
      </c>
      <c r="N34" s="38">
        <f>327+164</f>
        <v>491</v>
      </c>
      <c r="O34" s="38">
        <f>245+188</f>
        <v>433</v>
      </c>
      <c r="P34" s="36">
        <f t="shared" si="0"/>
        <v>77544</v>
      </c>
      <c r="Q34" s="36">
        <f t="shared" si="0"/>
        <v>35548.400000000001</v>
      </c>
      <c r="R34" s="36">
        <f t="shared" si="0"/>
        <v>27062.5</v>
      </c>
      <c r="S34" s="36">
        <f t="shared" si="1"/>
        <v>1642</v>
      </c>
      <c r="T34" s="36">
        <f t="shared" si="2"/>
        <v>140154.9</v>
      </c>
      <c r="U34" s="37">
        <f t="shared" si="4"/>
        <v>85.356211936662604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105.6</v>
      </c>
      <c r="F35" s="20">
        <v>70.2</v>
      </c>
      <c r="G35" s="20">
        <v>61.6</v>
      </c>
      <c r="I35" s="20">
        <f t="shared" si="3"/>
        <v>80.554711246200611</v>
      </c>
      <c r="J35" s="45">
        <f>(I35/'AAU 02-03'!I35)-1</f>
        <v>2.9011292204717432E-2</v>
      </c>
      <c r="K35" s="18"/>
      <c r="M35" s="38">
        <f>382+104</f>
        <v>486</v>
      </c>
      <c r="N35" s="38">
        <f>273+141</f>
        <v>414</v>
      </c>
      <c r="O35" s="38">
        <f>242+174</f>
        <v>416</v>
      </c>
      <c r="P35" s="36">
        <f t="shared" si="0"/>
        <v>51321.599999999999</v>
      </c>
      <c r="Q35" s="36">
        <f t="shared" si="0"/>
        <v>29062.800000000003</v>
      </c>
      <c r="R35" s="36">
        <f t="shared" si="0"/>
        <v>25625.600000000002</v>
      </c>
      <c r="S35" s="36">
        <f t="shared" si="1"/>
        <v>1316</v>
      </c>
      <c r="T35" s="36">
        <f t="shared" si="2"/>
        <v>106010</v>
      </c>
      <c r="U35" s="37">
        <f t="shared" si="4"/>
        <v>80.554711246200611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97.2</v>
      </c>
      <c r="F36" s="20">
        <v>68.8</v>
      </c>
      <c r="G36" s="20">
        <v>60.5</v>
      </c>
      <c r="I36" s="20">
        <f t="shared" si="3"/>
        <v>79.615515222482443</v>
      </c>
      <c r="J36" s="45">
        <f>(I36/'AAU 02-03'!I36)-1</f>
        <v>5.9268430946904704E-2</v>
      </c>
      <c r="K36" s="18"/>
      <c r="M36" s="38">
        <f>686+91</f>
        <v>777</v>
      </c>
      <c r="N36" s="38">
        <f>355+143</f>
        <v>498</v>
      </c>
      <c r="O36" s="38">
        <f>273+160</f>
        <v>433</v>
      </c>
      <c r="P36" s="36">
        <f t="shared" si="0"/>
        <v>75524.400000000009</v>
      </c>
      <c r="Q36" s="36">
        <f t="shared" si="0"/>
        <v>34262.400000000001</v>
      </c>
      <c r="R36" s="36">
        <f t="shared" si="0"/>
        <v>26196.5</v>
      </c>
      <c r="S36" s="36">
        <f t="shared" si="1"/>
        <v>1708</v>
      </c>
      <c r="T36" s="36">
        <f t="shared" si="2"/>
        <v>135983.30000000002</v>
      </c>
      <c r="U36" s="37">
        <f t="shared" si="4"/>
        <v>79.615515222482443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110.9</v>
      </c>
      <c r="F37" s="20">
        <v>76.8</v>
      </c>
      <c r="G37" s="20">
        <v>61.2</v>
      </c>
      <c r="I37" s="20">
        <f t="shared" si="3"/>
        <v>90.899348769898694</v>
      </c>
      <c r="J37" s="45">
        <f>(I37/'AAU 02-03'!I37)-1</f>
        <v>2.5484896351400721E-2</v>
      </c>
      <c r="K37" s="18"/>
      <c r="M37" s="38">
        <f>575+130</f>
        <v>705</v>
      </c>
      <c r="N37" s="38">
        <f>251+134</f>
        <v>385</v>
      </c>
      <c r="O37" s="38">
        <f>159+133</f>
        <v>292</v>
      </c>
      <c r="P37" s="36">
        <f t="shared" si="0"/>
        <v>78184.5</v>
      </c>
      <c r="Q37" s="36">
        <f t="shared" si="0"/>
        <v>29568</v>
      </c>
      <c r="R37" s="36">
        <f t="shared" si="0"/>
        <v>17870.400000000001</v>
      </c>
      <c r="S37" s="36">
        <f t="shared" si="1"/>
        <v>1382</v>
      </c>
      <c r="T37" s="36">
        <f t="shared" si="2"/>
        <v>125622.9</v>
      </c>
      <c r="U37" s="37">
        <f t="shared" si="4"/>
        <v>90.899348769898694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104.4</v>
      </c>
      <c r="F38" s="20">
        <v>73.099999999999994</v>
      </c>
      <c r="G38" s="20">
        <v>60.5</v>
      </c>
      <c r="I38" s="20">
        <f t="shared" si="3"/>
        <v>80.620123203285416</v>
      </c>
      <c r="J38" s="45">
        <f>(I38/'AAU 02-03'!I38)-1</f>
        <v>1.2406190517199489E-2</v>
      </c>
      <c r="K38" s="18"/>
      <c r="M38" s="38">
        <f>306+52</f>
        <v>358</v>
      </c>
      <c r="N38" s="38">
        <f>204+104</f>
        <v>308</v>
      </c>
      <c r="O38" s="38">
        <f>180+128</f>
        <v>308</v>
      </c>
      <c r="P38" s="36">
        <f t="shared" si="0"/>
        <v>37375.200000000004</v>
      </c>
      <c r="Q38" s="36">
        <f t="shared" si="0"/>
        <v>22514.799999999999</v>
      </c>
      <c r="R38" s="36">
        <f t="shared" si="0"/>
        <v>18634</v>
      </c>
      <c r="S38" s="36">
        <f t="shared" si="1"/>
        <v>974</v>
      </c>
      <c r="T38" s="36">
        <f t="shared" si="2"/>
        <v>78524</v>
      </c>
      <c r="U38" s="37">
        <f t="shared" si="4"/>
        <v>80.620123203285416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102.5</v>
      </c>
      <c r="F39" s="20">
        <v>76.900000000000006</v>
      </c>
      <c r="G39" s="20">
        <v>61.1</v>
      </c>
      <c r="I39" s="20">
        <f t="shared" si="3"/>
        <v>84.096039603960392</v>
      </c>
      <c r="J39" s="45">
        <f>(I39/'AAU 02-03'!I39)-1</f>
        <v>-3.9497469756808457E-3</v>
      </c>
      <c r="K39" s="18"/>
      <c r="M39" s="38">
        <f>263+53</f>
        <v>316</v>
      </c>
      <c r="N39" s="38">
        <f>130+71</f>
        <v>201</v>
      </c>
      <c r="O39" s="38">
        <f>110+80</f>
        <v>190</v>
      </c>
      <c r="P39" s="36">
        <f t="shared" si="0"/>
        <v>32390</v>
      </c>
      <c r="Q39" s="36">
        <f t="shared" si="0"/>
        <v>15456.900000000001</v>
      </c>
      <c r="R39" s="36">
        <f t="shared" si="0"/>
        <v>11609</v>
      </c>
      <c r="S39" s="36">
        <f t="shared" si="1"/>
        <v>707</v>
      </c>
      <c r="T39" s="36">
        <f t="shared" si="2"/>
        <v>59455.9</v>
      </c>
      <c r="U39" s="37">
        <f t="shared" si="4"/>
        <v>84.096039603960392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103.2</v>
      </c>
      <c r="F40" s="20">
        <v>64.900000000000006</v>
      </c>
      <c r="G40" s="20">
        <v>62.3</v>
      </c>
      <c r="I40" s="20">
        <f t="shared" si="3"/>
        <v>84.918202121719716</v>
      </c>
      <c r="J40" s="45">
        <f>(I40/'AAU 02-03'!I40)-1</f>
        <v>-1.1230826319538201E-3</v>
      </c>
      <c r="K40" s="18"/>
      <c r="M40" s="38">
        <f>814+150</f>
        <v>964</v>
      </c>
      <c r="N40" s="38">
        <f>251+165</f>
        <v>416</v>
      </c>
      <c r="O40" s="38">
        <f>236+175</f>
        <v>411</v>
      </c>
      <c r="P40" s="36">
        <f t="shared" si="0"/>
        <v>99484.800000000003</v>
      </c>
      <c r="Q40" s="36">
        <f t="shared" si="0"/>
        <v>26998.400000000001</v>
      </c>
      <c r="R40" s="36">
        <f t="shared" si="0"/>
        <v>25605.3</v>
      </c>
      <c r="S40" s="36">
        <f t="shared" si="1"/>
        <v>1791</v>
      </c>
      <c r="T40" s="36">
        <f t="shared" si="2"/>
        <v>152088.5</v>
      </c>
      <c r="U40" s="37">
        <f t="shared" si="4"/>
        <v>84.918202121719716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95.2</v>
      </c>
      <c r="F41" s="20">
        <v>67.900000000000006</v>
      </c>
      <c r="G41" s="20">
        <v>58.9</v>
      </c>
      <c r="I41" s="20">
        <f t="shared" si="3"/>
        <v>78.572907348242822</v>
      </c>
      <c r="J41" s="45">
        <f>(I41/'AAU 02-03'!I41)-1</f>
        <v>4.1580662970969628E-2</v>
      </c>
      <c r="K41" s="18"/>
      <c r="M41" s="38">
        <f>683+64</f>
        <v>747</v>
      </c>
      <c r="N41" s="38">
        <f>301+107</f>
        <v>408</v>
      </c>
      <c r="O41" s="38">
        <f>280+130</f>
        <v>410</v>
      </c>
      <c r="P41" s="36">
        <f t="shared" si="0"/>
        <v>71114.400000000009</v>
      </c>
      <c r="Q41" s="36">
        <f t="shared" si="0"/>
        <v>27703.200000000001</v>
      </c>
      <c r="R41" s="36">
        <f t="shared" si="0"/>
        <v>24149</v>
      </c>
      <c r="S41" s="36">
        <f t="shared" si="1"/>
        <v>1565</v>
      </c>
      <c r="T41" s="36">
        <f t="shared" si="2"/>
        <v>122966.6</v>
      </c>
      <c r="U41" s="37">
        <f t="shared" si="4"/>
        <v>78.572907348242822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112.9</v>
      </c>
      <c r="F42" s="20">
        <v>75.099999999999994</v>
      </c>
      <c r="G42" s="20">
        <v>60.8</v>
      </c>
      <c r="I42" s="20">
        <f t="shared" si="3"/>
        <v>90.485200000000006</v>
      </c>
      <c r="J42" s="45">
        <f>(I42/'AAU 02-03'!I42)-1</f>
        <v>4.4313354127332616E-2</v>
      </c>
      <c r="K42" s="18"/>
      <c r="M42" s="38">
        <f>420+71</f>
        <v>491</v>
      </c>
      <c r="N42" s="38">
        <f>185+102</f>
        <v>287</v>
      </c>
      <c r="O42" s="38">
        <f>121+101</f>
        <v>222</v>
      </c>
      <c r="P42" s="36">
        <f t="shared" si="0"/>
        <v>55433.9</v>
      </c>
      <c r="Q42" s="36">
        <f t="shared" si="0"/>
        <v>21553.699999999997</v>
      </c>
      <c r="R42" s="36">
        <f t="shared" si="0"/>
        <v>13497.599999999999</v>
      </c>
      <c r="S42" s="36">
        <f t="shared" si="1"/>
        <v>1000</v>
      </c>
      <c r="T42" s="36">
        <f t="shared" si="2"/>
        <v>90485.200000000012</v>
      </c>
      <c r="U42" s="37">
        <f t="shared" si="4"/>
        <v>90.485200000000006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93.2</v>
      </c>
      <c r="F43" s="20">
        <v>66.7</v>
      </c>
      <c r="G43" s="20">
        <v>63.2</v>
      </c>
      <c r="I43" s="20">
        <f t="shared" si="3"/>
        <v>79.892399049881249</v>
      </c>
      <c r="J43" s="45">
        <f>(I43/'AAU 02-03'!I43)-1</f>
        <v>2.9513310827060657E-2</v>
      </c>
      <c r="K43" s="18"/>
      <c r="M43" s="38">
        <f>699+189</f>
        <v>888</v>
      </c>
      <c r="N43" s="38">
        <f>247+173</f>
        <v>420</v>
      </c>
      <c r="O43" s="38">
        <f>218+158</f>
        <v>376</v>
      </c>
      <c r="P43" s="36">
        <f t="shared" si="0"/>
        <v>82761.600000000006</v>
      </c>
      <c r="Q43" s="36">
        <f t="shared" si="0"/>
        <v>28014</v>
      </c>
      <c r="R43" s="36">
        <f t="shared" si="0"/>
        <v>23763.200000000001</v>
      </c>
      <c r="S43" s="36">
        <f t="shared" si="1"/>
        <v>1684</v>
      </c>
      <c r="T43" s="36">
        <f t="shared" si="2"/>
        <v>134538.80000000002</v>
      </c>
      <c r="U43" s="37">
        <f t="shared" si="4"/>
        <v>79.892399049881249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96.2</v>
      </c>
      <c r="F44" s="20">
        <v>73.3</v>
      </c>
      <c r="G44" s="20">
        <v>63.6</v>
      </c>
      <c r="I44" s="20">
        <f t="shared" si="3"/>
        <v>84.736737588652488</v>
      </c>
      <c r="J44" s="45">
        <f>(I44/'AAU 02-03'!I44)-1</f>
        <v>2.6823713478130173E-3</v>
      </c>
      <c r="K44" s="18"/>
      <c r="M44" s="38">
        <f>655+186</f>
        <v>841</v>
      </c>
      <c r="N44" s="38">
        <f>161+85</f>
        <v>246</v>
      </c>
      <c r="O44" s="38">
        <f>187+136</f>
        <v>323</v>
      </c>
      <c r="P44" s="36">
        <f t="shared" si="0"/>
        <v>80904.2</v>
      </c>
      <c r="Q44" s="36">
        <f t="shared" si="0"/>
        <v>18031.8</v>
      </c>
      <c r="R44" s="36">
        <f t="shared" si="0"/>
        <v>20542.8</v>
      </c>
      <c r="S44" s="36">
        <f t="shared" si="1"/>
        <v>1410</v>
      </c>
      <c r="T44" s="36">
        <f t="shared" si="2"/>
        <v>119478.8</v>
      </c>
      <c r="U44" s="37">
        <f t="shared" si="4"/>
        <v>84.736737588652488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103.65484665936474</v>
      </c>
      <c r="F46" s="41">
        <f t="shared" ref="F46" si="5">Q46/N46</f>
        <v>70.242424242424264</v>
      </c>
      <c r="G46" s="41">
        <f>R46/O46</f>
        <v>60.932769286754002</v>
      </c>
      <c r="H46" s="40"/>
      <c r="I46" s="41">
        <f t="shared" si="3"/>
        <v>84.14164018361582</v>
      </c>
      <c r="J46" s="46">
        <f>(I46/'AAU 02-03'!I46)-1</f>
        <v>2.6017388225712645E-2</v>
      </c>
      <c r="K46" s="18"/>
      <c r="M46" s="39">
        <f t="shared" ref="M46:R46" si="6">SUM(M11:M44)</f>
        <v>21912</v>
      </c>
      <c r="N46" s="39">
        <f t="shared" si="6"/>
        <v>12408</v>
      </c>
      <c r="O46" s="39">
        <f t="shared" si="6"/>
        <v>10992</v>
      </c>
      <c r="P46" s="39">
        <f t="shared" si="6"/>
        <v>2271285</v>
      </c>
      <c r="Q46" s="39">
        <f t="shared" si="6"/>
        <v>871568.00000000023</v>
      </c>
      <c r="R46" s="39">
        <f t="shared" si="6"/>
        <v>669773</v>
      </c>
      <c r="S46" s="36">
        <f>M46+N46+O46</f>
        <v>45312</v>
      </c>
      <c r="T46" s="36">
        <f>P46+Q46+R46</f>
        <v>3812626</v>
      </c>
      <c r="U46" s="37">
        <f>T46/S46</f>
        <v>84.14164018361582</v>
      </c>
    </row>
    <row r="47" spans="1:21" ht="13.5" customHeight="1" x14ac:dyDescent="0.3">
      <c r="A47" s="19"/>
      <c r="D47" s="44" t="s">
        <v>55</v>
      </c>
      <c r="E47" s="41">
        <f>MEDIAN(E11:E44)</f>
        <v>102.85</v>
      </c>
      <c r="F47" s="41">
        <f t="shared" ref="F47" si="7">MEDIAN(F11:F44)</f>
        <v>69.95</v>
      </c>
      <c r="G47" s="41">
        <f>MEDIAN(G11:G44)</f>
        <v>60.9</v>
      </c>
      <c r="H47" s="40"/>
      <c r="I47" s="41">
        <f>MEDIAN(I11:I44)</f>
        <v>83.179850808999447</v>
      </c>
      <c r="J47" s="46">
        <f>(I47/'AAU 02-03'!I47)-1</f>
        <v>2.9930964651402325E-2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81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82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90.6</v>
      </c>
      <c r="F11" s="20">
        <v>64.2</v>
      </c>
      <c r="G11" s="20">
        <v>56.3</v>
      </c>
      <c r="I11" s="20">
        <f>U11</f>
        <v>75.493155893536112</v>
      </c>
      <c r="J11" s="45">
        <f>(I11/'AAU 01-02'!I11)-1</f>
        <v>3.626612453456457E-2</v>
      </c>
      <c r="K11" s="18"/>
      <c r="M11" s="38">
        <f>526+123</f>
        <v>649</v>
      </c>
      <c r="N11" s="38">
        <f>230+147</f>
        <v>377</v>
      </c>
      <c r="O11" s="38">
        <f>177+112</f>
        <v>289</v>
      </c>
      <c r="P11" s="36">
        <f t="shared" ref="P11:R44" si="0">E11*M11</f>
        <v>58799.399999999994</v>
      </c>
      <c r="Q11" s="36">
        <f t="shared" si="0"/>
        <v>24203.4</v>
      </c>
      <c r="R11" s="36">
        <f t="shared" si="0"/>
        <v>16270.699999999999</v>
      </c>
      <c r="S11" s="36">
        <f t="shared" ref="S11:S44" si="1">M11+N11+O11</f>
        <v>1315</v>
      </c>
      <c r="T11" s="36">
        <f t="shared" ref="T11:T44" si="2">P11+Q11+R11</f>
        <v>99273.499999999985</v>
      </c>
      <c r="U11" s="37">
        <f>T11/S11</f>
        <v>75.493155893536112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117.3</v>
      </c>
      <c r="F12" s="20">
        <v>74.599999999999994</v>
      </c>
      <c r="G12" s="20">
        <v>67.3</v>
      </c>
      <c r="I12" s="20">
        <f t="shared" ref="I12:I46" si="3">U12</f>
        <v>101.8197794117647</v>
      </c>
      <c r="J12" s="45">
        <f>(I12/'AAU 01-02'!I12)-1</f>
        <v>1.9017272881189928E-2</v>
      </c>
      <c r="K12" s="18"/>
      <c r="M12" s="38">
        <f>725+177</f>
        <v>902</v>
      </c>
      <c r="N12" s="38">
        <f>160+93</f>
        <v>253</v>
      </c>
      <c r="O12" s="38">
        <f>131+74</f>
        <v>205</v>
      </c>
      <c r="P12" s="36">
        <f t="shared" si="0"/>
        <v>105804.59999999999</v>
      </c>
      <c r="Q12" s="36">
        <f t="shared" si="0"/>
        <v>18873.8</v>
      </c>
      <c r="R12" s="36">
        <f t="shared" si="0"/>
        <v>13796.5</v>
      </c>
      <c r="S12" s="36">
        <f t="shared" si="1"/>
        <v>1360</v>
      </c>
      <c r="T12" s="36">
        <f t="shared" si="2"/>
        <v>138474.9</v>
      </c>
      <c r="U12" s="37">
        <f t="shared" ref="U12:U44" si="4">T12/S12</f>
        <v>101.8197794117647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99.6</v>
      </c>
      <c r="F13" s="20">
        <v>67.400000000000006</v>
      </c>
      <c r="G13" s="20">
        <v>58.3</v>
      </c>
      <c r="I13" s="20">
        <f t="shared" si="3"/>
        <v>86.757608695652181</v>
      </c>
      <c r="J13" s="45">
        <f>(I13/'AAU 01-02'!I13)-1</f>
        <v>1.3100844067873929E-2</v>
      </c>
      <c r="K13" s="18"/>
      <c r="M13" s="38">
        <f>675+166</f>
        <v>841</v>
      </c>
      <c r="N13" s="38">
        <f>142+69</f>
        <v>211</v>
      </c>
      <c r="O13" s="38">
        <f>134+102</f>
        <v>236</v>
      </c>
      <c r="P13" s="36">
        <f t="shared" si="0"/>
        <v>83763.599999999991</v>
      </c>
      <c r="Q13" s="36">
        <f t="shared" si="0"/>
        <v>14221.400000000001</v>
      </c>
      <c r="R13" s="36">
        <f t="shared" si="0"/>
        <v>13758.8</v>
      </c>
      <c r="S13" s="36">
        <f t="shared" si="1"/>
        <v>1288</v>
      </c>
      <c r="T13" s="36">
        <f t="shared" si="2"/>
        <v>111743.8</v>
      </c>
      <c r="U13" s="37">
        <f t="shared" si="4"/>
        <v>86.757608695652181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104.8</v>
      </c>
      <c r="F14" s="20">
        <v>70.7</v>
      </c>
      <c r="G14" s="20">
        <v>60.7</v>
      </c>
      <c r="I14" s="20">
        <f t="shared" si="3"/>
        <v>85.738202247191012</v>
      </c>
      <c r="J14" s="45">
        <f>(I14/'AAU 01-02'!I14)-1</f>
        <v>1.395383919011306E-2</v>
      </c>
      <c r="K14" s="18"/>
      <c r="M14" s="38">
        <f>339+77</f>
        <v>416</v>
      </c>
      <c r="N14" s="38">
        <f>115+56</f>
        <v>171</v>
      </c>
      <c r="O14" s="38">
        <f>144+70</f>
        <v>214</v>
      </c>
      <c r="P14" s="36">
        <f t="shared" si="0"/>
        <v>43596.799999999996</v>
      </c>
      <c r="Q14" s="36">
        <f t="shared" si="0"/>
        <v>12089.7</v>
      </c>
      <c r="R14" s="36">
        <f t="shared" si="0"/>
        <v>12989.800000000001</v>
      </c>
      <c r="S14" s="36">
        <f t="shared" si="1"/>
        <v>801</v>
      </c>
      <c r="T14" s="36">
        <f t="shared" si="2"/>
        <v>68676.3</v>
      </c>
      <c r="U14" s="37">
        <f t="shared" si="4"/>
        <v>85.738202247191012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117.9</v>
      </c>
      <c r="F15" s="20">
        <v>74.599999999999994</v>
      </c>
      <c r="G15" s="20">
        <v>63.8</v>
      </c>
      <c r="I15" s="20">
        <f t="shared" si="3"/>
        <v>98.617099056603777</v>
      </c>
      <c r="J15" s="45">
        <f>(I15/'AAU 01-02'!I15)-1</f>
        <v>1.8255118357867417E-2</v>
      </c>
      <c r="K15" s="18"/>
      <c r="M15" s="38">
        <f>824+210</f>
        <v>1034</v>
      </c>
      <c r="N15" s="38">
        <f>185+103</f>
        <v>288</v>
      </c>
      <c r="O15" s="38">
        <f>237+137</f>
        <v>374</v>
      </c>
      <c r="P15" s="36">
        <f t="shared" si="0"/>
        <v>121908.6</v>
      </c>
      <c r="Q15" s="36">
        <f t="shared" si="0"/>
        <v>21484.799999999999</v>
      </c>
      <c r="R15" s="36">
        <f t="shared" si="0"/>
        <v>23861.200000000001</v>
      </c>
      <c r="S15" s="36">
        <f t="shared" si="1"/>
        <v>1696</v>
      </c>
      <c r="T15" s="36">
        <f t="shared" si="2"/>
        <v>167254.6</v>
      </c>
      <c r="U15" s="37">
        <f t="shared" si="4"/>
        <v>98.617099056603777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108.9</v>
      </c>
      <c r="F16" s="20">
        <v>67.5</v>
      </c>
      <c r="G16" s="20">
        <v>59.5</v>
      </c>
      <c r="I16" s="20">
        <f t="shared" si="3"/>
        <v>93.375170842824588</v>
      </c>
      <c r="J16" s="45">
        <f>(I16/'AAU 01-02'!I16)-1</f>
        <v>1.9978560213516072E-2</v>
      </c>
      <c r="K16" s="18"/>
      <c r="M16" s="38">
        <f>490+86</f>
        <v>576</v>
      </c>
      <c r="N16" s="38">
        <f>111+50</f>
        <v>161</v>
      </c>
      <c r="O16" s="38">
        <f>97+44</f>
        <v>141</v>
      </c>
      <c r="P16" s="36">
        <f t="shared" si="0"/>
        <v>62726.400000000001</v>
      </c>
      <c r="Q16" s="36">
        <f t="shared" si="0"/>
        <v>10867.5</v>
      </c>
      <c r="R16" s="36">
        <f t="shared" si="0"/>
        <v>8389.5</v>
      </c>
      <c r="S16" s="36">
        <f t="shared" si="1"/>
        <v>878</v>
      </c>
      <c r="T16" s="36">
        <f t="shared" si="2"/>
        <v>81983.399999999994</v>
      </c>
      <c r="U16" s="37">
        <f t="shared" si="4"/>
        <v>93.375170842824588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106.6</v>
      </c>
      <c r="F17" s="20">
        <v>68</v>
      </c>
      <c r="G17" s="20">
        <v>57.7</v>
      </c>
      <c r="I17" s="20">
        <f t="shared" si="3"/>
        <v>82.131766917293234</v>
      </c>
      <c r="J17" s="45">
        <f>(I17/'AAU 01-02'!I17)-1</f>
        <v>-7.1245780089777666E-2</v>
      </c>
      <c r="K17" s="18"/>
      <c r="M17" s="38">
        <f>144+98</f>
        <v>242</v>
      </c>
      <c r="N17" s="38">
        <f>58+55</f>
        <v>113</v>
      </c>
      <c r="O17" s="38">
        <f>92+85</f>
        <v>177</v>
      </c>
      <c r="P17" s="36">
        <f t="shared" si="0"/>
        <v>25797.199999999997</v>
      </c>
      <c r="Q17" s="36">
        <f t="shared" si="0"/>
        <v>7684</v>
      </c>
      <c r="R17" s="36">
        <f t="shared" si="0"/>
        <v>10212.9</v>
      </c>
      <c r="S17" s="36">
        <f t="shared" si="1"/>
        <v>532</v>
      </c>
      <c r="T17" s="36">
        <f t="shared" si="2"/>
        <v>43694.1</v>
      </c>
      <c r="U17" s="37">
        <f t="shared" si="4"/>
        <v>82.131766917293234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95.7</v>
      </c>
      <c r="F18" s="20">
        <v>69.8</v>
      </c>
      <c r="G18" s="20">
        <v>59.9</v>
      </c>
      <c r="I18" s="20">
        <f t="shared" si="3"/>
        <v>78.71201232032854</v>
      </c>
      <c r="J18" s="45">
        <f>(I18/'AAU 01-02'!I18)-1</f>
        <v>6.6287910308011844E-2</v>
      </c>
      <c r="K18" s="18"/>
      <c r="M18" s="38">
        <f>363+70</f>
        <v>433</v>
      </c>
      <c r="N18" s="38">
        <f>199+86</f>
        <v>285</v>
      </c>
      <c r="O18" s="38">
        <f>156+100</f>
        <v>256</v>
      </c>
      <c r="P18" s="36">
        <f t="shared" si="0"/>
        <v>41438.1</v>
      </c>
      <c r="Q18" s="36">
        <f t="shared" si="0"/>
        <v>19893</v>
      </c>
      <c r="R18" s="36">
        <f t="shared" si="0"/>
        <v>15334.4</v>
      </c>
      <c r="S18" s="36">
        <f t="shared" si="1"/>
        <v>974</v>
      </c>
      <c r="T18" s="36">
        <f t="shared" si="2"/>
        <v>76665.5</v>
      </c>
      <c r="U18" s="37">
        <f t="shared" si="4"/>
        <v>78.71201232032854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89.3</v>
      </c>
      <c r="F19" s="20">
        <v>63.7</v>
      </c>
      <c r="G19" s="20">
        <v>55.3</v>
      </c>
      <c r="I19" s="20">
        <f t="shared" si="3"/>
        <v>72.854258487194755</v>
      </c>
      <c r="J19" s="45">
        <f>(I19/'AAU 01-02'!I19)-1</f>
        <v>2.3459748687169268E-2</v>
      </c>
      <c r="K19" s="18"/>
      <c r="M19" s="38">
        <f>656+95</f>
        <v>751</v>
      </c>
      <c r="N19" s="38">
        <f>344+125</f>
        <v>469</v>
      </c>
      <c r="O19" s="38">
        <f>290+169</f>
        <v>459</v>
      </c>
      <c r="P19" s="36">
        <f t="shared" si="0"/>
        <v>67064.3</v>
      </c>
      <c r="Q19" s="36">
        <f t="shared" si="0"/>
        <v>29875.300000000003</v>
      </c>
      <c r="R19" s="36">
        <f t="shared" si="0"/>
        <v>25382.699999999997</v>
      </c>
      <c r="S19" s="36">
        <f t="shared" si="1"/>
        <v>1679</v>
      </c>
      <c r="T19" s="36">
        <f t="shared" si="2"/>
        <v>122322.3</v>
      </c>
      <c r="U19" s="37">
        <f t="shared" si="4"/>
        <v>72.854258487194755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101.4</v>
      </c>
      <c r="F20" s="20">
        <v>69.400000000000006</v>
      </c>
      <c r="G20" s="20">
        <v>61</v>
      </c>
      <c r="I20" s="20">
        <f t="shared" si="3"/>
        <v>82.194819819819813</v>
      </c>
      <c r="J20" s="45">
        <f>(I20/'AAU 01-02'!I20)-1</f>
        <v>-1.0841657398450444E-3</v>
      </c>
      <c r="K20" s="18"/>
      <c r="M20" s="38">
        <f>723+116</f>
        <v>839</v>
      </c>
      <c r="N20" s="38">
        <f>311+135</f>
        <v>446</v>
      </c>
      <c r="O20" s="38">
        <f>304+187</f>
        <v>491</v>
      </c>
      <c r="P20" s="36">
        <f t="shared" si="0"/>
        <v>85074.6</v>
      </c>
      <c r="Q20" s="36">
        <f t="shared" si="0"/>
        <v>30952.400000000001</v>
      </c>
      <c r="R20" s="36">
        <f t="shared" si="0"/>
        <v>29951</v>
      </c>
      <c r="S20" s="36">
        <f t="shared" si="1"/>
        <v>1776</v>
      </c>
      <c r="T20" s="36">
        <f t="shared" si="2"/>
        <v>145978</v>
      </c>
      <c r="U20" s="37">
        <f t="shared" si="4"/>
        <v>82.194819819819813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96.8</v>
      </c>
      <c r="F21" s="20">
        <v>66.2</v>
      </c>
      <c r="G21" s="20">
        <v>58.8</v>
      </c>
      <c r="I21" s="20">
        <f t="shared" si="3"/>
        <v>80.405148833467408</v>
      </c>
      <c r="J21" s="45">
        <f>(I21/'AAU 01-02'!I21)-1</f>
        <v>3.5038235927071559E-2</v>
      </c>
      <c r="K21" s="18"/>
      <c r="M21" s="38">
        <f>507+130</f>
        <v>637</v>
      </c>
      <c r="N21" s="38">
        <f>241+117</f>
        <v>358</v>
      </c>
      <c r="O21" s="38">
        <f>149+99</f>
        <v>248</v>
      </c>
      <c r="P21" s="36">
        <f t="shared" si="0"/>
        <v>61661.599999999999</v>
      </c>
      <c r="Q21" s="36">
        <f t="shared" si="0"/>
        <v>23699.600000000002</v>
      </c>
      <c r="R21" s="36">
        <f t="shared" si="0"/>
        <v>14582.4</v>
      </c>
      <c r="S21" s="36">
        <f t="shared" si="1"/>
        <v>1243</v>
      </c>
      <c r="T21" s="36">
        <f t="shared" si="2"/>
        <v>99943.599999999991</v>
      </c>
      <c r="U21" s="37">
        <f t="shared" si="4"/>
        <v>80.405148833467408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99.4</v>
      </c>
      <c r="F22" s="20">
        <v>65.8</v>
      </c>
      <c r="G22" s="20">
        <v>59.3</v>
      </c>
      <c r="I22" s="20">
        <f t="shared" si="3"/>
        <v>79.986756756756762</v>
      </c>
      <c r="J22" s="45">
        <f>(I22/'AAU 01-02'!I22)-1</f>
        <v>3.8803848997319923E-2</v>
      </c>
      <c r="K22" s="18"/>
      <c r="M22" s="38">
        <f>425+93</f>
        <v>518</v>
      </c>
      <c r="N22" s="38">
        <f>193+144</f>
        <v>337</v>
      </c>
      <c r="O22" s="38">
        <f>142+113</f>
        <v>255</v>
      </c>
      <c r="P22" s="36">
        <f t="shared" si="0"/>
        <v>51489.200000000004</v>
      </c>
      <c r="Q22" s="36">
        <f t="shared" si="0"/>
        <v>22174.6</v>
      </c>
      <c r="R22" s="36">
        <f t="shared" si="0"/>
        <v>15121.5</v>
      </c>
      <c r="S22" s="36">
        <f t="shared" si="1"/>
        <v>1110</v>
      </c>
      <c r="T22" s="36">
        <f t="shared" si="2"/>
        <v>88785.3</v>
      </c>
      <c r="U22" s="37">
        <f t="shared" si="4"/>
        <v>79.986756756756762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89.7</v>
      </c>
      <c r="F23" s="20">
        <v>67.3</v>
      </c>
      <c r="G23" s="20">
        <v>56.5</v>
      </c>
      <c r="I23" s="20">
        <f t="shared" si="3"/>
        <v>73.589105691056915</v>
      </c>
      <c r="J23" s="45">
        <f>(I23/'AAU 01-02'!I23)-1</f>
        <v>2.9740417923980189E-2</v>
      </c>
      <c r="K23" s="18"/>
      <c r="M23" s="38">
        <f>435+68</f>
        <v>503</v>
      </c>
      <c r="N23" s="38">
        <f>278+122</f>
        <v>400</v>
      </c>
      <c r="O23" s="38">
        <f>211+116</f>
        <v>327</v>
      </c>
      <c r="P23" s="36">
        <f t="shared" si="0"/>
        <v>45119.1</v>
      </c>
      <c r="Q23" s="36">
        <f t="shared" si="0"/>
        <v>26920</v>
      </c>
      <c r="R23" s="36">
        <f t="shared" si="0"/>
        <v>18475.5</v>
      </c>
      <c r="S23" s="36">
        <f t="shared" si="1"/>
        <v>1230</v>
      </c>
      <c r="T23" s="36">
        <f t="shared" si="2"/>
        <v>90514.6</v>
      </c>
      <c r="U23" s="37">
        <f t="shared" si="4"/>
        <v>73.589105691056915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84.6</v>
      </c>
      <c r="F24" s="20">
        <v>59.9</v>
      </c>
      <c r="G24" s="20">
        <v>50.7</v>
      </c>
      <c r="I24" s="20">
        <f t="shared" si="3"/>
        <v>68.441666666666663</v>
      </c>
      <c r="J24" s="45">
        <f>(I24/'AAU 01-02'!I24)-1</f>
        <v>1.3934611833967825E-3</v>
      </c>
      <c r="K24" s="18"/>
      <c r="M24" s="38">
        <f>337+69</f>
        <v>406</v>
      </c>
      <c r="N24" s="38">
        <f>207+102</f>
        <v>309</v>
      </c>
      <c r="O24" s="38">
        <f>117+104</f>
        <v>221</v>
      </c>
      <c r="P24" s="36">
        <f t="shared" si="0"/>
        <v>34347.599999999999</v>
      </c>
      <c r="Q24" s="36">
        <f t="shared" si="0"/>
        <v>18509.099999999999</v>
      </c>
      <c r="R24" s="36">
        <f t="shared" si="0"/>
        <v>11204.7</v>
      </c>
      <c r="S24" s="36">
        <f t="shared" si="1"/>
        <v>936</v>
      </c>
      <c r="T24" s="36">
        <f t="shared" si="2"/>
        <v>64061.399999999994</v>
      </c>
      <c r="U24" s="37">
        <f t="shared" si="4"/>
        <v>68.441666666666663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106.5</v>
      </c>
      <c r="F25" s="20">
        <v>74.5</v>
      </c>
      <c r="G25" s="20">
        <v>69.2</v>
      </c>
      <c r="I25" s="20">
        <f t="shared" si="3"/>
        <v>89.325904059040596</v>
      </c>
      <c r="J25" s="45">
        <f>(I25/'AAU 01-02'!I25)-1</f>
        <v>1.4255799815530157E-2</v>
      </c>
      <c r="K25" s="18"/>
      <c r="M25" s="38">
        <f>556+117</f>
        <v>673</v>
      </c>
      <c r="N25" s="38">
        <f>287+122</f>
        <v>409</v>
      </c>
      <c r="O25" s="38">
        <f>168+105</f>
        <v>273</v>
      </c>
      <c r="P25" s="36">
        <f t="shared" si="0"/>
        <v>71674.5</v>
      </c>
      <c r="Q25" s="36">
        <f t="shared" si="0"/>
        <v>30470.5</v>
      </c>
      <c r="R25" s="36">
        <f t="shared" si="0"/>
        <v>18891.600000000002</v>
      </c>
      <c r="S25" s="36">
        <f t="shared" si="1"/>
        <v>1355</v>
      </c>
      <c r="T25" s="36">
        <f t="shared" si="2"/>
        <v>121036.6</v>
      </c>
      <c r="U25" s="37">
        <f t="shared" si="4"/>
        <v>89.325904059040596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114.8</v>
      </c>
      <c r="F26" s="20">
        <v>78.900000000000006</v>
      </c>
      <c r="G26" s="20">
        <v>65.3</v>
      </c>
      <c r="I26" s="20">
        <f t="shared" si="3"/>
        <v>91.620010672358589</v>
      </c>
      <c r="J26" s="45">
        <f>(I26/'AAU 01-02'!I26)-1</f>
        <v>4.9369140568098491E-2</v>
      </c>
      <c r="K26" s="18"/>
      <c r="M26" s="38">
        <f>709+166</f>
        <v>875</v>
      </c>
      <c r="N26" s="38">
        <f>271+171</f>
        <v>442</v>
      </c>
      <c r="O26" s="38">
        <f>343+214</f>
        <v>557</v>
      </c>
      <c r="P26" s="36">
        <f t="shared" si="0"/>
        <v>100450</v>
      </c>
      <c r="Q26" s="36">
        <f t="shared" si="0"/>
        <v>34873.800000000003</v>
      </c>
      <c r="R26" s="36">
        <f t="shared" si="0"/>
        <v>36372.1</v>
      </c>
      <c r="S26" s="36">
        <f t="shared" si="1"/>
        <v>1874</v>
      </c>
      <c r="T26" s="36">
        <f t="shared" si="2"/>
        <v>171695.9</v>
      </c>
      <c r="U26" s="37">
        <f t="shared" si="4"/>
        <v>91.620010672358589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95</v>
      </c>
      <c r="F27" s="20">
        <v>69.900000000000006</v>
      </c>
      <c r="G27" s="20">
        <v>57</v>
      </c>
      <c r="I27" s="20">
        <f t="shared" si="3"/>
        <v>78.84471177944863</v>
      </c>
      <c r="J27" s="45">
        <f>(I27/'AAU 01-02'!I27)-1</f>
        <v>5.4516045455017315E-2</v>
      </c>
      <c r="K27" s="18"/>
      <c r="M27" s="38">
        <f>786+185</f>
        <v>971</v>
      </c>
      <c r="N27" s="38">
        <f>332+186</f>
        <v>518</v>
      </c>
      <c r="O27" s="38">
        <f>299+207</f>
        <v>506</v>
      </c>
      <c r="P27" s="36">
        <f t="shared" si="0"/>
        <v>92245</v>
      </c>
      <c r="Q27" s="36">
        <f t="shared" si="0"/>
        <v>36208.200000000004</v>
      </c>
      <c r="R27" s="36">
        <f t="shared" si="0"/>
        <v>28842</v>
      </c>
      <c r="S27" s="36">
        <f t="shared" si="1"/>
        <v>1995</v>
      </c>
      <c r="T27" s="36">
        <f t="shared" si="2"/>
        <v>157295.20000000001</v>
      </c>
      <c r="U27" s="37">
        <f t="shared" si="4"/>
        <v>78.84471177944863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101.3</v>
      </c>
      <c r="F28" s="20">
        <v>70.900000000000006</v>
      </c>
      <c r="G28" s="20">
        <v>61.9</v>
      </c>
      <c r="I28" s="20">
        <f t="shared" si="3"/>
        <v>84.000969618616665</v>
      </c>
      <c r="J28" s="45">
        <f>(I28/'AAU 01-02'!I28)-1</f>
        <v>3.9585225288950809E-2</v>
      </c>
      <c r="K28" s="18"/>
      <c r="M28" s="38">
        <f>631+147</f>
        <v>778</v>
      </c>
      <c r="N28" s="38">
        <f>250+143</f>
        <v>393</v>
      </c>
      <c r="O28" s="38">
        <f>219+157</f>
        <v>376</v>
      </c>
      <c r="P28" s="36">
        <f t="shared" si="0"/>
        <v>78811.399999999994</v>
      </c>
      <c r="Q28" s="36">
        <f t="shared" si="0"/>
        <v>27863.7</v>
      </c>
      <c r="R28" s="36">
        <f t="shared" si="0"/>
        <v>23274.399999999998</v>
      </c>
      <c r="S28" s="36">
        <f t="shared" si="1"/>
        <v>1547</v>
      </c>
      <c r="T28" s="36">
        <f t="shared" si="2"/>
        <v>129949.49999999999</v>
      </c>
      <c r="U28" s="37">
        <f t="shared" si="4"/>
        <v>84.000969618616665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88.4</v>
      </c>
      <c r="F29" s="25">
        <v>62.5</v>
      </c>
      <c r="G29" s="25">
        <v>52.1</v>
      </c>
      <c r="H29" s="24"/>
      <c r="I29" s="25">
        <f t="shared" si="3"/>
        <v>67.271108850457779</v>
      </c>
      <c r="J29" s="47">
        <f>(I29/'AAU 01-02'!I29)-1</f>
        <v>-1.9687154375853999E-2</v>
      </c>
      <c r="K29" s="18"/>
      <c r="M29" s="38">
        <f>252+64</f>
        <v>316</v>
      </c>
      <c r="N29" s="38">
        <f>227+104</f>
        <v>331</v>
      </c>
      <c r="O29" s="38">
        <f>195+141</f>
        <v>336</v>
      </c>
      <c r="P29" s="36">
        <f t="shared" si="0"/>
        <v>27934.400000000001</v>
      </c>
      <c r="Q29" s="36">
        <f t="shared" si="0"/>
        <v>20687.5</v>
      </c>
      <c r="R29" s="36">
        <f t="shared" si="0"/>
        <v>17505.600000000002</v>
      </c>
      <c r="S29" s="36">
        <f t="shared" si="1"/>
        <v>983</v>
      </c>
      <c r="T29" s="36">
        <f t="shared" si="2"/>
        <v>66127.5</v>
      </c>
      <c r="U29" s="37">
        <f t="shared" si="4"/>
        <v>67.271108850457779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90.7</v>
      </c>
      <c r="F30" s="20">
        <v>65.099999999999994</v>
      </c>
      <c r="G30" s="20">
        <v>56.3</v>
      </c>
      <c r="I30" s="20">
        <f>U30</f>
        <v>75.646115035317862</v>
      </c>
      <c r="J30" s="45">
        <f>(I30/'AAU 01-02'!I30)-1</f>
        <v>5.0367044422132023E-2</v>
      </c>
      <c r="K30" s="18"/>
      <c r="M30" s="38">
        <f>415+62</f>
        <v>477</v>
      </c>
      <c r="N30" s="38">
        <f>231+83</f>
        <v>314</v>
      </c>
      <c r="O30" s="38">
        <f>117+83</f>
        <v>200</v>
      </c>
      <c r="P30" s="36">
        <f t="shared" si="0"/>
        <v>43263.9</v>
      </c>
      <c r="Q30" s="36">
        <f t="shared" si="0"/>
        <v>20441.399999999998</v>
      </c>
      <c r="R30" s="36">
        <f t="shared" si="0"/>
        <v>11260</v>
      </c>
      <c r="S30" s="36">
        <f t="shared" si="1"/>
        <v>991</v>
      </c>
      <c r="T30" s="36">
        <f t="shared" si="2"/>
        <v>74965.3</v>
      </c>
      <c r="U30" s="37">
        <f>T30/S30</f>
        <v>75.646115035317862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105.2</v>
      </c>
      <c r="F31" s="20">
        <v>73.400000000000006</v>
      </c>
      <c r="G31" s="20">
        <v>61.3</v>
      </c>
      <c r="I31" s="20">
        <f t="shared" si="3"/>
        <v>87.324472960586618</v>
      </c>
      <c r="J31" s="45">
        <f>(I31/'AAU 01-02'!I31)-1</f>
        <v>1.6782391581048106E-2</v>
      </c>
      <c r="K31" s="18"/>
      <c r="M31" s="38">
        <f>436+130</f>
        <v>566</v>
      </c>
      <c r="N31" s="38">
        <f>186+107</f>
        <v>293</v>
      </c>
      <c r="O31" s="38">
        <f>138+94</f>
        <v>232</v>
      </c>
      <c r="P31" s="36">
        <f t="shared" si="0"/>
        <v>59543.200000000004</v>
      </c>
      <c r="Q31" s="36">
        <f t="shared" si="0"/>
        <v>21506.2</v>
      </c>
      <c r="R31" s="36">
        <f t="shared" si="0"/>
        <v>14221.599999999999</v>
      </c>
      <c r="S31" s="36">
        <f t="shared" si="1"/>
        <v>1091</v>
      </c>
      <c r="T31" s="36">
        <f t="shared" si="2"/>
        <v>95271</v>
      </c>
      <c r="U31" s="37">
        <f t="shared" si="4"/>
        <v>87.324472960586618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98.2</v>
      </c>
      <c r="F32" s="20">
        <v>66.3</v>
      </c>
      <c r="G32" s="20">
        <v>59.1</v>
      </c>
      <c r="I32" s="20">
        <f t="shared" si="3"/>
        <v>78.863804293559667</v>
      </c>
      <c r="J32" s="45">
        <f>(I32/'AAU 01-02'!I32)-1</f>
        <v>5.4220250460084607E-2</v>
      </c>
      <c r="K32" s="18"/>
      <c r="M32" s="38">
        <f>747+136</f>
        <v>883</v>
      </c>
      <c r="N32" s="38">
        <f>469+234</f>
        <v>703</v>
      </c>
      <c r="O32" s="38">
        <f>249+168</f>
        <v>417</v>
      </c>
      <c r="P32" s="36">
        <f t="shared" si="0"/>
        <v>86710.6</v>
      </c>
      <c r="Q32" s="36">
        <f t="shared" si="0"/>
        <v>46608.9</v>
      </c>
      <c r="R32" s="36">
        <f t="shared" si="0"/>
        <v>24644.7</v>
      </c>
      <c r="S32" s="36">
        <f t="shared" si="1"/>
        <v>2003</v>
      </c>
      <c r="T32" s="36">
        <f t="shared" si="2"/>
        <v>157964.20000000001</v>
      </c>
      <c r="U32" s="37">
        <f t="shared" si="4"/>
        <v>78.863804293559667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80.3</v>
      </c>
      <c r="F33" s="20">
        <v>58.3</v>
      </c>
      <c r="G33" s="20">
        <v>50</v>
      </c>
      <c r="I33" s="20">
        <f t="shared" si="3"/>
        <v>63.922628951747086</v>
      </c>
      <c r="J33" s="45">
        <f>(I33/'AAU 01-02'!I33)-1</f>
        <v>5.6003532930067657E-2</v>
      </c>
      <c r="K33" s="18"/>
      <c r="M33" s="38">
        <f>168+52</f>
        <v>220</v>
      </c>
      <c r="N33" s="38">
        <f>127+78</f>
        <v>205</v>
      </c>
      <c r="O33" s="38">
        <f>106+70</f>
        <v>176</v>
      </c>
      <c r="P33" s="36">
        <f t="shared" si="0"/>
        <v>17666</v>
      </c>
      <c r="Q33" s="36">
        <f t="shared" si="0"/>
        <v>11951.5</v>
      </c>
      <c r="R33" s="36">
        <f t="shared" si="0"/>
        <v>8800</v>
      </c>
      <c r="S33" s="36">
        <f t="shared" si="1"/>
        <v>601</v>
      </c>
      <c r="T33" s="36">
        <f t="shared" si="2"/>
        <v>38417.5</v>
      </c>
      <c r="U33" s="37">
        <f t="shared" si="4"/>
        <v>63.922628951747086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102.7</v>
      </c>
      <c r="F34" s="20">
        <v>70.3</v>
      </c>
      <c r="G34" s="20">
        <v>59.5</v>
      </c>
      <c r="I34" s="20">
        <f t="shared" si="3"/>
        <v>81.119950738916245</v>
      </c>
      <c r="J34" s="45">
        <f>(I34/'AAU 01-02'!I34)-1</f>
        <v>4.811196995857947E-2</v>
      </c>
      <c r="K34" s="18"/>
      <c r="M34" s="38">
        <f>600+91</f>
        <v>691</v>
      </c>
      <c r="N34" s="38">
        <f>329+158</f>
        <v>487</v>
      </c>
      <c r="O34" s="38">
        <f>256+190</f>
        <v>446</v>
      </c>
      <c r="P34" s="36">
        <f t="shared" si="0"/>
        <v>70965.7</v>
      </c>
      <c r="Q34" s="36">
        <f t="shared" si="0"/>
        <v>34236.1</v>
      </c>
      <c r="R34" s="36">
        <f t="shared" si="0"/>
        <v>26537</v>
      </c>
      <c r="S34" s="36">
        <f t="shared" si="1"/>
        <v>1624</v>
      </c>
      <c r="T34" s="36">
        <f t="shared" si="2"/>
        <v>131738.79999999999</v>
      </c>
      <c r="U34" s="37">
        <f t="shared" si="4"/>
        <v>81.119950738916245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102.4</v>
      </c>
      <c r="F35" s="20">
        <v>68</v>
      </c>
      <c r="G35" s="20">
        <v>59.6</v>
      </c>
      <c r="I35" s="20">
        <f t="shared" si="3"/>
        <v>78.283602771362581</v>
      </c>
      <c r="J35" s="45">
        <f>(I35/'AAU 01-02'!I35)-1</f>
        <v>7.002565176661868E-2</v>
      </c>
      <c r="K35" s="18"/>
      <c r="M35" s="38">
        <f>387+99</f>
        <v>486</v>
      </c>
      <c r="N35" s="38">
        <f>277+136</f>
        <v>413</v>
      </c>
      <c r="O35" s="38">
        <f>222+178</f>
        <v>400</v>
      </c>
      <c r="P35" s="36">
        <f t="shared" si="0"/>
        <v>49766.400000000001</v>
      </c>
      <c r="Q35" s="36">
        <f t="shared" si="0"/>
        <v>28084</v>
      </c>
      <c r="R35" s="36">
        <f t="shared" si="0"/>
        <v>23840</v>
      </c>
      <c r="S35" s="36">
        <f t="shared" si="1"/>
        <v>1299</v>
      </c>
      <c r="T35" s="36">
        <f t="shared" si="2"/>
        <v>101690.4</v>
      </c>
      <c r="U35" s="37">
        <f t="shared" si="4"/>
        <v>78.283602771362581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93.1</v>
      </c>
      <c r="F36" s="20">
        <v>64.5</v>
      </c>
      <c r="G36" s="20">
        <v>57.1</v>
      </c>
      <c r="I36" s="20">
        <f t="shared" si="3"/>
        <v>75.160849598163026</v>
      </c>
      <c r="J36" s="45">
        <f>(I36/'AAU 01-02'!I36)-1</f>
        <v>2.5933039404974156E-2</v>
      </c>
      <c r="K36" s="18"/>
      <c r="M36" s="38">
        <f>676+89</f>
        <v>765</v>
      </c>
      <c r="N36" s="38">
        <f>390+140</f>
        <v>530</v>
      </c>
      <c r="O36" s="38">
        <f>277+170</f>
        <v>447</v>
      </c>
      <c r="P36" s="36">
        <f t="shared" si="0"/>
        <v>71221.5</v>
      </c>
      <c r="Q36" s="36">
        <f t="shared" si="0"/>
        <v>34185</v>
      </c>
      <c r="R36" s="36">
        <f t="shared" si="0"/>
        <v>25523.7</v>
      </c>
      <c r="S36" s="36">
        <f t="shared" si="1"/>
        <v>1742</v>
      </c>
      <c r="T36" s="36">
        <f t="shared" si="2"/>
        <v>130930.2</v>
      </c>
      <c r="U36" s="37">
        <f t="shared" si="4"/>
        <v>75.160849598163026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108.5</v>
      </c>
      <c r="F37" s="20">
        <v>75.7</v>
      </c>
      <c r="G37" s="20">
        <v>59.5</v>
      </c>
      <c r="I37" s="20">
        <f t="shared" si="3"/>
        <v>88.640358422939073</v>
      </c>
      <c r="J37" s="45">
        <f>(I37/'AAU 01-02'!I37)-1</f>
        <v>4.2014525730279972E-2</v>
      </c>
      <c r="K37" s="18"/>
      <c r="M37" s="38">
        <f>571+130</f>
        <v>701</v>
      </c>
      <c r="N37" s="38">
        <f>257+132</f>
        <v>389</v>
      </c>
      <c r="O37" s="38">
        <f>171+134</f>
        <v>305</v>
      </c>
      <c r="P37" s="36">
        <f t="shared" si="0"/>
        <v>76058.5</v>
      </c>
      <c r="Q37" s="36">
        <f t="shared" si="0"/>
        <v>29447.300000000003</v>
      </c>
      <c r="R37" s="36">
        <f t="shared" si="0"/>
        <v>18147.5</v>
      </c>
      <c r="S37" s="36">
        <f t="shared" si="1"/>
        <v>1395</v>
      </c>
      <c r="T37" s="36">
        <f t="shared" si="2"/>
        <v>123653.3</v>
      </c>
      <c r="U37" s="37">
        <f t="shared" si="4"/>
        <v>88.640358422939073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103.2</v>
      </c>
      <c r="F38" s="20">
        <v>73</v>
      </c>
      <c r="G38" s="20">
        <v>58</v>
      </c>
      <c r="I38" s="20">
        <f t="shared" si="3"/>
        <v>79.632191069574247</v>
      </c>
      <c r="J38" s="45">
        <f>(I38/'AAU 01-02'!I38)-1</f>
        <v>2.9081288069695566E-2</v>
      </c>
      <c r="K38" s="18"/>
      <c r="M38" s="38">
        <f>316+43</f>
        <v>359</v>
      </c>
      <c r="N38" s="38">
        <f>209+98</f>
        <v>307</v>
      </c>
      <c r="O38" s="38">
        <f>179+118</f>
        <v>297</v>
      </c>
      <c r="P38" s="36">
        <f t="shared" si="0"/>
        <v>37048.800000000003</v>
      </c>
      <c r="Q38" s="36">
        <f t="shared" si="0"/>
        <v>22411</v>
      </c>
      <c r="R38" s="36">
        <f t="shared" si="0"/>
        <v>17226</v>
      </c>
      <c r="S38" s="36">
        <f t="shared" si="1"/>
        <v>963</v>
      </c>
      <c r="T38" s="36">
        <f t="shared" si="2"/>
        <v>76685.8</v>
      </c>
      <c r="U38" s="37">
        <f t="shared" si="4"/>
        <v>79.632191069574247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102.6</v>
      </c>
      <c r="F39" s="20">
        <v>76.400000000000006</v>
      </c>
      <c r="G39" s="20">
        <v>62.9</v>
      </c>
      <c r="I39" s="20">
        <f t="shared" si="3"/>
        <v>84.429514824797835</v>
      </c>
      <c r="J39" s="45">
        <f>(I39/'AAU 01-02'!I39)-1</f>
        <v>5.0589908899311808E-2</v>
      </c>
      <c r="K39" s="18"/>
      <c r="M39" s="38">
        <f>282+50</f>
        <v>332</v>
      </c>
      <c r="N39" s="38">
        <f>133+74</f>
        <v>207</v>
      </c>
      <c r="O39" s="38">
        <f>120+83</f>
        <v>203</v>
      </c>
      <c r="P39" s="36">
        <f t="shared" si="0"/>
        <v>34063.199999999997</v>
      </c>
      <c r="Q39" s="36">
        <f t="shared" si="0"/>
        <v>15814.800000000001</v>
      </c>
      <c r="R39" s="36">
        <f t="shared" si="0"/>
        <v>12768.699999999999</v>
      </c>
      <c r="S39" s="36">
        <f t="shared" si="1"/>
        <v>742</v>
      </c>
      <c r="T39" s="36">
        <f t="shared" si="2"/>
        <v>62646.7</v>
      </c>
      <c r="U39" s="37">
        <f t="shared" si="4"/>
        <v>84.429514824797835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102.9</v>
      </c>
      <c r="F40" s="20">
        <v>66.099999999999994</v>
      </c>
      <c r="G40" s="20">
        <v>61.5</v>
      </c>
      <c r="I40" s="20">
        <f t="shared" si="3"/>
        <v>85.013679508654377</v>
      </c>
      <c r="J40" s="45">
        <f>(I40/'AAU 01-02'!I40)-1</f>
        <v>3.7212150172136305E-2</v>
      </c>
      <c r="K40" s="18"/>
      <c r="M40" s="38">
        <f>822+148</f>
        <v>970</v>
      </c>
      <c r="N40" s="38">
        <f>258+167</f>
        <v>425</v>
      </c>
      <c r="O40" s="38">
        <f>232+164</f>
        <v>396</v>
      </c>
      <c r="P40" s="36">
        <f t="shared" si="0"/>
        <v>99813</v>
      </c>
      <c r="Q40" s="36">
        <f t="shared" si="0"/>
        <v>28092.499999999996</v>
      </c>
      <c r="R40" s="36">
        <f t="shared" si="0"/>
        <v>24354</v>
      </c>
      <c r="S40" s="36">
        <f t="shared" si="1"/>
        <v>1791</v>
      </c>
      <c r="T40" s="36">
        <f t="shared" si="2"/>
        <v>152259.5</v>
      </c>
      <c r="U40" s="37">
        <f t="shared" si="4"/>
        <v>85.013679508654377</v>
      </c>
    </row>
    <row r="41" spans="1:21" ht="13.5" customHeight="1" x14ac:dyDescent="0.3">
      <c r="A41" s="19"/>
      <c r="C41" s="31">
        <v>31</v>
      </c>
      <c r="D41" s="1" t="s">
        <v>37</v>
      </c>
      <c r="E41" s="20">
        <v>91.2</v>
      </c>
      <c r="F41" s="20">
        <v>65.5</v>
      </c>
      <c r="G41" s="20">
        <v>56.9</v>
      </c>
      <c r="I41" s="20">
        <f t="shared" si="3"/>
        <v>75.436219336219338</v>
      </c>
      <c r="J41" s="45">
        <f>(I41/'AAU 01-02'!I41)-1</f>
        <v>-2.8957534476087288E-2</v>
      </c>
      <c r="K41" s="18"/>
      <c r="M41" s="38">
        <f>601+57</f>
        <v>658</v>
      </c>
      <c r="N41" s="38">
        <f>270+93</f>
        <v>363</v>
      </c>
      <c r="O41" s="38">
        <f>243+122</f>
        <v>365</v>
      </c>
      <c r="P41" s="36">
        <f t="shared" si="0"/>
        <v>60009.599999999999</v>
      </c>
      <c r="Q41" s="36">
        <f t="shared" si="0"/>
        <v>23776.5</v>
      </c>
      <c r="R41" s="36">
        <f t="shared" si="0"/>
        <v>20768.5</v>
      </c>
      <c r="S41" s="36">
        <f t="shared" si="1"/>
        <v>1386</v>
      </c>
      <c r="T41" s="36">
        <f t="shared" si="2"/>
        <v>104554.6</v>
      </c>
      <c r="U41" s="37">
        <f t="shared" si="4"/>
        <v>75.436219336219338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107.7</v>
      </c>
      <c r="F42" s="20">
        <v>71.3</v>
      </c>
      <c r="G42" s="20">
        <v>57.4</v>
      </c>
      <c r="I42" s="20">
        <f t="shared" si="3"/>
        <v>86.645641025641027</v>
      </c>
      <c r="J42" s="45">
        <f>(I42/'AAU 01-02'!I42)-1</f>
        <v>2.2715254407730257E-3</v>
      </c>
      <c r="K42" s="18"/>
      <c r="M42" s="38">
        <f>422+70</f>
        <v>492</v>
      </c>
      <c r="N42" s="38">
        <f>186+85</f>
        <v>271</v>
      </c>
      <c r="O42" s="38">
        <f>117+95</f>
        <v>212</v>
      </c>
      <c r="P42" s="36">
        <f t="shared" si="0"/>
        <v>52988.4</v>
      </c>
      <c r="Q42" s="36">
        <f t="shared" si="0"/>
        <v>19322.3</v>
      </c>
      <c r="R42" s="36">
        <f t="shared" si="0"/>
        <v>12168.8</v>
      </c>
      <c r="S42" s="36">
        <f t="shared" si="1"/>
        <v>975</v>
      </c>
      <c r="T42" s="36">
        <f t="shared" si="2"/>
        <v>84479.5</v>
      </c>
      <c r="U42" s="37">
        <f t="shared" si="4"/>
        <v>86.645641025641027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91.2</v>
      </c>
      <c r="F43" s="20">
        <v>65.8</v>
      </c>
      <c r="G43" s="20">
        <v>60.2</v>
      </c>
      <c r="I43" s="20">
        <f t="shared" si="3"/>
        <v>77.6021040327294</v>
      </c>
      <c r="J43" s="45">
        <f>(I43/'AAU 01-02'!I43)-1</f>
        <v>1.083126939435286E-2</v>
      </c>
      <c r="K43" s="18"/>
      <c r="M43" s="38">
        <f>692+189</f>
        <v>881</v>
      </c>
      <c r="N43" s="38">
        <f>266+174</f>
        <v>440</v>
      </c>
      <c r="O43" s="38">
        <f>227+163</f>
        <v>390</v>
      </c>
      <c r="P43" s="36">
        <f t="shared" si="0"/>
        <v>80347.199999999997</v>
      </c>
      <c r="Q43" s="36">
        <f t="shared" si="0"/>
        <v>28952</v>
      </c>
      <c r="R43" s="36">
        <f t="shared" si="0"/>
        <v>23478</v>
      </c>
      <c r="S43" s="36">
        <f t="shared" si="1"/>
        <v>1711</v>
      </c>
      <c r="T43" s="36">
        <f t="shared" si="2"/>
        <v>132777.20000000001</v>
      </c>
      <c r="U43" s="37">
        <f t="shared" si="4"/>
        <v>77.6021040327294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96.4</v>
      </c>
      <c r="F44" s="20">
        <v>73.7</v>
      </c>
      <c r="G44" s="20">
        <v>62</v>
      </c>
      <c r="I44" s="20">
        <f t="shared" si="3"/>
        <v>84.510050251256288</v>
      </c>
      <c r="J44" s="45">
        <f>(I44/'AAU 01-02'!I44)-1</f>
        <v>3.984443991721287E-2</v>
      </c>
      <c r="K44" s="18"/>
      <c r="M44" s="38">
        <f>657+178</f>
        <v>835</v>
      </c>
      <c r="N44" s="38">
        <f>150+75</f>
        <v>225</v>
      </c>
      <c r="O44" s="38">
        <f>193+140</f>
        <v>333</v>
      </c>
      <c r="P44" s="36">
        <f t="shared" si="0"/>
        <v>80494</v>
      </c>
      <c r="Q44" s="36">
        <f t="shared" si="0"/>
        <v>16582.5</v>
      </c>
      <c r="R44" s="36">
        <f t="shared" si="0"/>
        <v>20646</v>
      </c>
      <c r="S44" s="36">
        <f t="shared" si="1"/>
        <v>1393</v>
      </c>
      <c r="T44" s="36">
        <f t="shared" si="2"/>
        <v>117722.5</v>
      </c>
      <c r="U44" s="37">
        <f t="shared" si="4"/>
        <v>84.510050251256288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100.55667097250415</v>
      </c>
      <c r="F46" s="41">
        <f t="shared" ref="F46" si="5">Q46/N46</f>
        <v>68.645132145571239</v>
      </c>
      <c r="G46" s="41">
        <f>R46/O46</f>
        <v>59.349609665427515</v>
      </c>
      <c r="H46" s="40"/>
      <c r="I46" s="41">
        <f t="shared" si="3"/>
        <v>82.008006052530547</v>
      </c>
      <c r="J46" s="46">
        <f>(I46/'AAU 01-02'!I46)-1</f>
        <v>2.7035450058573884E-2</v>
      </c>
      <c r="K46" s="18"/>
      <c r="M46" s="39">
        <f t="shared" ref="M46:R46" si="6">SUM(M11:M44)</f>
        <v>21676</v>
      </c>
      <c r="N46" s="39">
        <f t="shared" si="6"/>
        <v>11843</v>
      </c>
      <c r="O46" s="39">
        <f t="shared" si="6"/>
        <v>10760</v>
      </c>
      <c r="P46" s="39">
        <f t="shared" si="6"/>
        <v>2179666.4</v>
      </c>
      <c r="Q46" s="39">
        <f t="shared" si="6"/>
        <v>812964.30000000016</v>
      </c>
      <c r="R46" s="39">
        <f t="shared" si="6"/>
        <v>638601.80000000005</v>
      </c>
      <c r="S46" s="36">
        <f>M46+N46+O46</f>
        <v>44279</v>
      </c>
      <c r="T46" s="36">
        <f>P46+Q46+R46</f>
        <v>3631232.5</v>
      </c>
      <c r="U46" s="37">
        <f>T46/S46</f>
        <v>82.008006052530547</v>
      </c>
    </row>
    <row r="47" spans="1:21" ht="13.5" customHeight="1" x14ac:dyDescent="0.3">
      <c r="A47" s="19"/>
      <c r="D47" s="44" t="s">
        <v>55</v>
      </c>
      <c r="E47" s="41">
        <f>MEDIAN(E11:E44)</f>
        <v>100.44999999999999</v>
      </c>
      <c r="F47" s="41">
        <f t="shared" ref="F47" si="7">MEDIAN(F11:F44)</f>
        <v>68</v>
      </c>
      <c r="G47" s="41">
        <f>MEDIAN(G11:G44)</f>
        <v>59.4</v>
      </c>
      <c r="H47" s="40"/>
      <c r="I47" s="41">
        <f>MEDIAN(I11:I44)</f>
        <v>80.762549786191826</v>
      </c>
      <c r="J47" s="46">
        <f>(I47/'AAU 01-02'!I47)-1</f>
        <v>3.9621955217942206E-2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83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53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84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87.7</v>
      </c>
      <c r="F11" s="20">
        <v>61.8</v>
      </c>
      <c r="G11" s="20">
        <v>54.2</v>
      </c>
      <c r="I11" s="20">
        <f>U11</f>
        <v>72.851127819548879</v>
      </c>
      <c r="J11" s="45">
        <f>(I11/'AAU 00-01'!I11)-1</f>
        <v>2.5893574005138698E-2</v>
      </c>
      <c r="K11" s="18"/>
      <c r="M11" s="38">
        <f>530+122</f>
        <v>652</v>
      </c>
      <c r="N11" s="38">
        <f>244+146</f>
        <v>390</v>
      </c>
      <c r="O11" s="38">
        <f>170+118</f>
        <v>288</v>
      </c>
      <c r="P11" s="36">
        <f t="shared" ref="P11:R44" si="0">E11*M11</f>
        <v>57180.4</v>
      </c>
      <c r="Q11" s="36">
        <f t="shared" si="0"/>
        <v>24102</v>
      </c>
      <c r="R11" s="36">
        <f t="shared" si="0"/>
        <v>15609.6</v>
      </c>
      <c r="S11" s="36">
        <f t="shared" ref="S11:S44" si="1">M11+N11+O11</f>
        <v>1330</v>
      </c>
      <c r="T11" s="36">
        <f t="shared" ref="T11:T44" si="2">P11+Q11+R11</f>
        <v>96892</v>
      </c>
      <c r="U11" s="37">
        <f>T11/S11</f>
        <v>72.851127819548879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115.9</v>
      </c>
      <c r="F12" s="20">
        <v>73.7</v>
      </c>
      <c r="G12" s="20">
        <v>66.2</v>
      </c>
      <c r="I12" s="20">
        <f t="shared" ref="I12:I46" si="3">U12</f>
        <v>99.919581464872934</v>
      </c>
      <c r="J12" s="45">
        <f>(I12/'AAU 00-01'!I12)-1</f>
        <v>2.2662792005183174E-2</v>
      </c>
      <c r="K12" s="18"/>
      <c r="M12" s="38">
        <f>710+159</f>
        <v>869</v>
      </c>
      <c r="N12" s="38">
        <f>159+98</f>
        <v>257</v>
      </c>
      <c r="O12" s="38">
        <f>144+68</f>
        <v>212</v>
      </c>
      <c r="P12" s="36">
        <f t="shared" si="0"/>
        <v>100717.1</v>
      </c>
      <c r="Q12" s="36">
        <f t="shared" si="0"/>
        <v>18940.900000000001</v>
      </c>
      <c r="R12" s="36">
        <f t="shared" si="0"/>
        <v>14034.400000000001</v>
      </c>
      <c r="S12" s="36">
        <f t="shared" si="1"/>
        <v>1338</v>
      </c>
      <c r="T12" s="36">
        <f t="shared" si="2"/>
        <v>133692.4</v>
      </c>
      <c r="U12" s="37">
        <f t="shared" ref="U12:U44" si="4">T12/S12</f>
        <v>99.919581464872934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98.2</v>
      </c>
      <c r="F13" s="20">
        <v>67.3</v>
      </c>
      <c r="G13" s="20">
        <v>57.3</v>
      </c>
      <c r="I13" s="20">
        <f t="shared" si="3"/>
        <v>85.635708630245446</v>
      </c>
      <c r="J13" s="45">
        <f>(I13/'AAU 00-01'!I13)-1</f>
        <v>2.3557763996624237E-2</v>
      </c>
      <c r="K13" s="18"/>
      <c r="M13" s="38">
        <f>665+155</f>
        <v>820</v>
      </c>
      <c r="N13" s="38">
        <f>153+72</f>
        <v>225</v>
      </c>
      <c r="O13" s="38">
        <f>127+91</f>
        <v>218</v>
      </c>
      <c r="P13" s="36">
        <f t="shared" si="0"/>
        <v>80524</v>
      </c>
      <c r="Q13" s="36">
        <f t="shared" si="0"/>
        <v>15142.5</v>
      </c>
      <c r="R13" s="36">
        <f t="shared" si="0"/>
        <v>12491.4</v>
      </c>
      <c r="S13" s="36">
        <f t="shared" si="1"/>
        <v>1263</v>
      </c>
      <c r="T13" s="36">
        <f t="shared" si="2"/>
        <v>108157.9</v>
      </c>
      <c r="U13" s="37">
        <f t="shared" si="4"/>
        <v>85.635708630245446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103.1</v>
      </c>
      <c r="F14" s="20">
        <v>70</v>
      </c>
      <c r="G14" s="20">
        <v>60.3</v>
      </c>
      <c r="I14" s="20">
        <f t="shared" si="3"/>
        <v>84.558289473684198</v>
      </c>
      <c r="J14" s="45">
        <f>(I14/'AAU 00-01'!I14)-1</f>
        <v>1.4593033910105913E-2</v>
      </c>
      <c r="K14" s="18"/>
      <c r="M14" s="38">
        <f>323+69</f>
        <v>392</v>
      </c>
      <c r="N14" s="38">
        <f>108+63</f>
        <v>171</v>
      </c>
      <c r="O14" s="38">
        <f>135+62</f>
        <v>197</v>
      </c>
      <c r="P14" s="36">
        <f t="shared" si="0"/>
        <v>40415.199999999997</v>
      </c>
      <c r="Q14" s="36">
        <f t="shared" si="0"/>
        <v>11970</v>
      </c>
      <c r="R14" s="36">
        <f t="shared" si="0"/>
        <v>11879.099999999999</v>
      </c>
      <c r="S14" s="36">
        <f t="shared" si="1"/>
        <v>760</v>
      </c>
      <c r="T14" s="36">
        <f t="shared" si="2"/>
        <v>64264.299999999996</v>
      </c>
      <c r="U14" s="37">
        <f t="shared" si="4"/>
        <v>84.558289473684198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115.7</v>
      </c>
      <c r="F15" s="20">
        <v>73.2</v>
      </c>
      <c r="G15" s="20">
        <v>63.5</v>
      </c>
      <c r="I15" s="20">
        <f t="shared" si="3"/>
        <v>96.849107142857136</v>
      </c>
      <c r="J15" s="45">
        <f>(I15/'AAU 00-01'!I15)-1</f>
        <v>2.3762153554848897E-2</v>
      </c>
      <c r="K15" s="18"/>
      <c r="M15" s="38">
        <f>806+211</f>
        <v>1017</v>
      </c>
      <c r="N15" s="38">
        <f>197+106</f>
        <v>303</v>
      </c>
      <c r="O15" s="38">
        <f>234+126</f>
        <v>360</v>
      </c>
      <c r="P15" s="36">
        <f t="shared" si="0"/>
        <v>117666.90000000001</v>
      </c>
      <c r="Q15" s="36">
        <f t="shared" si="0"/>
        <v>22179.600000000002</v>
      </c>
      <c r="R15" s="36">
        <f t="shared" si="0"/>
        <v>22860</v>
      </c>
      <c r="S15" s="36">
        <f t="shared" si="1"/>
        <v>1680</v>
      </c>
      <c r="T15" s="36">
        <f t="shared" si="2"/>
        <v>162706.5</v>
      </c>
      <c r="U15" s="37">
        <f t="shared" si="4"/>
        <v>96.849107142857136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106.2</v>
      </c>
      <c r="F16" s="20">
        <v>67.8</v>
      </c>
      <c r="G16" s="20">
        <v>58.9</v>
      </c>
      <c r="I16" s="20">
        <f t="shared" si="3"/>
        <v>91.546209386281603</v>
      </c>
      <c r="J16" s="45">
        <f>(I16/'AAU 00-01'!I16)-1</f>
        <v>1.2862825009172241E-2</v>
      </c>
      <c r="K16" s="18"/>
      <c r="M16" s="38">
        <f>465+76</f>
        <v>541</v>
      </c>
      <c r="N16" s="38">
        <f>125+48</f>
        <v>173</v>
      </c>
      <c r="O16" s="38">
        <f>81+36</f>
        <v>117</v>
      </c>
      <c r="P16" s="36">
        <f t="shared" si="0"/>
        <v>57454.200000000004</v>
      </c>
      <c r="Q16" s="36">
        <f t="shared" si="0"/>
        <v>11729.4</v>
      </c>
      <c r="R16" s="36">
        <f t="shared" si="0"/>
        <v>6891.3</v>
      </c>
      <c r="S16" s="36">
        <f t="shared" si="1"/>
        <v>831</v>
      </c>
      <c r="T16" s="36">
        <f t="shared" si="2"/>
        <v>76074.900000000009</v>
      </c>
      <c r="U16" s="37">
        <f t="shared" si="4"/>
        <v>91.546209386281603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104.9</v>
      </c>
      <c r="F17" s="20">
        <v>65.5</v>
      </c>
      <c r="G17" s="20">
        <v>57.6</v>
      </c>
      <c r="I17" s="20">
        <f t="shared" si="3"/>
        <v>88.432187070151315</v>
      </c>
      <c r="J17" s="45">
        <f>(I17/'AAU 00-01'!I17)-1</f>
        <v>1.7887575883093199E-2</v>
      </c>
      <c r="K17" s="18"/>
      <c r="M17" s="38">
        <f>374+73</f>
        <v>447</v>
      </c>
      <c r="N17" s="38">
        <f>104+57</f>
        <v>161</v>
      </c>
      <c r="O17" s="38">
        <f>71+48</f>
        <v>119</v>
      </c>
      <c r="P17" s="36">
        <f t="shared" si="0"/>
        <v>46890.3</v>
      </c>
      <c r="Q17" s="36">
        <f t="shared" si="0"/>
        <v>10545.5</v>
      </c>
      <c r="R17" s="36">
        <f t="shared" si="0"/>
        <v>6854.4000000000005</v>
      </c>
      <c r="S17" s="36">
        <f t="shared" si="1"/>
        <v>727</v>
      </c>
      <c r="T17" s="36">
        <f t="shared" si="2"/>
        <v>64290.200000000004</v>
      </c>
      <c r="U17" s="37">
        <f t="shared" si="4"/>
        <v>88.432187070151315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89.7</v>
      </c>
      <c r="F18" s="20">
        <v>65.400000000000006</v>
      </c>
      <c r="G18" s="20">
        <v>55.3</v>
      </c>
      <c r="I18" s="20">
        <f t="shared" si="3"/>
        <v>73.818723404255323</v>
      </c>
      <c r="J18" s="45">
        <f>(I18/'AAU 00-01'!I18)-1</f>
        <v>5.0912606092134549E-2</v>
      </c>
      <c r="K18" s="18"/>
      <c r="M18" s="38">
        <f>362+63</f>
        <v>425</v>
      </c>
      <c r="N18" s="38">
        <f>185+91</f>
        <v>276</v>
      </c>
      <c r="O18" s="38">
        <f>148+91</f>
        <v>239</v>
      </c>
      <c r="P18" s="36">
        <f t="shared" si="0"/>
        <v>38122.5</v>
      </c>
      <c r="Q18" s="36">
        <f t="shared" si="0"/>
        <v>18050.400000000001</v>
      </c>
      <c r="R18" s="36">
        <f t="shared" si="0"/>
        <v>13216.699999999999</v>
      </c>
      <c r="S18" s="36">
        <f t="shared" si="1"/>
        <v>940</v>
      </c>
      <c r="T18" s="36">
        <f t="shared" si="2"/>
        <v>69389.600000000006</v>
      </c>
      <c r="U18" s="37">
        <f t="shared" si="4"/>
        <v>73.818723404255323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86.9</v>
      </c>
      <c r="F19" s="20">
        <v>62.4</v>
      </c>
      <c r="G19" s="20">
        <v>53.7</v>
      </c>
      <c r="I19" s="20">
        <f t="shared" si="3"/>
        <v>71.1842928660826</v>
      </c>
      <c r="J19" s="45">
        <f>(I19/'AAU 00-01'!I19)-1</f>
        <v>4.110534277734823E-2</v>
      </c>
      <c r="K19" s="18"/>
      <c r="M19" s="38">
        <f>636+90</f>
        <v>726</v>
      </c>
      <c r="N19" s="38">
        <f>322+119</f>
        <v>441</v>
      </c>
      <c r="O19" s="38">
        <f>273+158</f>
        <v>431</v>
      </c>
      <c r="P19" s="36">
        <f t="shared" si="0"/>
        <v>63089.4</v>
      </c>
      <c r="Q19" s="36">
        <f t="shared" si="0"/>
        <v>27518.399999999998</v>
      </c>
      <c r="R19" s="36">
        <f t="shared" si="0"/>
        <v>23144.7</v>
      </c>
      <c r="S19" s="36">
        <f t="shared" si="1"/>
        <v>1598</v>
      </c>
      <c r="T19" s="36">
        <f t="shared" si="2"/>
        <v>113752.5</v>
      </c>
      <c r="U19" s="37">
        <f t="shared" si="4"/>
        <v>71.1842928660826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100.9</v>
      </c>
      <c r="F20" s="20">
        <v>69.900000000000006</v>
      </c>
      <c r="G20" s="20">
        <v>60.4</v>
      </c>
      <c r="I20" s="20">
        <f t="shared" si="3"/>
        <v>82.284029345372474</v>
      </c>
      <c r="J20" s="45">
        <f>(I20/'AAU 00-01'!I20)-1</f>
        <v>4.9141532264471044E-2</v>
      </c>
      <c r="K20" s="18"/>
      <c r="M20" s="38">
        <f>747+104</f>
        <v>851</v>
      </c>
      <c r="N20" s="38">
        <f>320+134</f>
        <v>454</v>
      </c>
      <c r="O20" s="38">
        <f>299+168</f>
        <v>467</v>
      </c>
      <c r="P20" s="36">
        <f t="shared" si="0"/>
        <v>85865.900000000009</v>
      </c>
      <c r="Q20" s="36">
        <f t="shared" si="0"/>
        <v>31734.600000000002</v>
      </c>
      <c r="R20" s="36">
        <f t="shared" si="0"/>
        <v>28206.799999999999</v>
      </c>
      <c r="S20" s="36">
        <f t="shared" si="1"/>
        <v>1772</v>
      </c>
      <c r="T20" s="36">
        <f t="shared" si="2"/>
        <v>145807.30000000002</v>
      </c>
      <c r="U20" s="37">
        <f t="shared" si="4"/>
        <v>82.284029345372474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94.2</v>
      </c>
      <c r="F21" s="20">
        <v>64</v>
      </c>
      <c r="G21" s="20">
        <v>55.3</v>
      </c>
      <c r="I21" s="20">
        <f t="shared" si="3"/>
        <v>77.683264291632142</v>
      </c>
      <c r="J21" s="45">
        <f>(I21/'AAU 00-01'!I21)-1</f>
        <v>8.2647079261275458E-2</v>
      </c>
      <c r="K21" s="18"/>
      <c r="M21" s="38">
        <f>486+128</f>
        <v>614</v>
      </c>
      <c r="N21" s="38">
        <f>242+118</f>
        <v>360</v>
      </c>
      <c r="O21" s="38">
        <f>138+95</f>
        <v>233</v>
      </c>
      <c r="P21" s="36">
        <f t="shared" si="0"/>
        <v>57838.8</v>
      </c>
      <c r="Q21" s="36">
        <f t="shared" si="0"/>
        <v>23040</v>
      </c>
      <c r="R21" s="36">
        <f t="shared" si="0"/>
        <v>12884.9</v>
      </c>
      <c r="S21" s="36">
        <f t="shared" si="1"/>
        <v>1207</v>
      </c>
      <c r="T21" s="36">
        <f t="shared" si="2"/>
        <v>93763.7</v>
      </c>
      <c r="U21" s="37">
        <f t="shared" si="4"/>
        <v>77.683264291632142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97.1</v>
      </c>
      <c r="F22" s="20">
        <v>63.7</v>
      </c>
      <c r="G22" s="20">
        <v>56.1</v>
      </c>
      <c r="I22" s="20">
        <f t="shared" si="3"/>
        <v>76.998902953586494</v>
      </c>
      <c r="J22" s="45">
        <f>(I22/'AAU 00-01'!I22)-1</f>
        <v>3.502245638677115E-2</v>
      </c>
      <c r="K22" s="18"/>
      <c r="M22" s="38">
        <f>452+84</f>
        <v>536</v>
      </c>
      <c r="N22" s="38">
        <f>197+170</f>
        <v>367</v>
      </c>
      <c r="O22" s="38">
        <f>154+128</f>
        <v>282</v>
      </c>
      <c r="P22" s="36">
        <f t="shared" si="0"/>
        <v>52045.599999999999</v>
      </c>
      <c r="Q22" s="36">
        <f t="shared" si="0"/>
        <v>23377.9</v>
      </c>
      <c r="R22" s="36">
        <f t="shared" si="0"/>
        <v>15820.2</v>
      </c>
      <c r="S22" s="36">
        <f t="shared" si="1"/>
        <v>1185</v>
      </c>
      <c r="T22" s="36">
        <f t="shared" si="2"/>
        <v>91243.7</v>
      </c>
      <c r="U22" s="37">
        <f t="shared" si="4"/>
        <v>76.998902953586494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87.4</v>
      </c>
      <c r="F23" s="20">
        <v>65.400000000000006</v>
      </c>
      <c r="G23" s="20">
        <v>54.3</v>
      </c>
      <c r="I23" s="20">
        <f t="shared" si="3"/>
        <v>71.463744075829382</v>
      </c>
      <c r="J23" s="45">
        <f>(I23/'AAU 00-01'!I23)-1</f>
        <v>2.8497385056822422E-2</v>
      </c>
      <c r="K23" s="18"/>
      <c r="M23" s="38">
        <f>455+67</f>
        <v>522</v>
      </c>
      <c r="N23" s="38">
        <f>286+115</f>
        <v>401</v>
      </c>
      <c r="O23" s="38">
        <f>212+131</f>
        <v>343</v>
      </c>
      <c r="P23" s="36">
        <f t="shared" si="0"/>
        <v>45622.8</v>
      </c>
      <c r="Q23" s="36">
        <f t="shared" si="0"/>
        <v>26225.4</v>
      </c>
      <c r="R23" s="36">
        <f t="shared" si="0"/>
        <v>18624.899999999998</v>
      </c>
      <c r="S23" s="36">
        <f t="shared" si="1"/>
        <v>1266</v>
      </c>
      <c r="T23" s="36">
        <f t="shared" si="2"/>
        <v>90473.1</v>
      </c>
      <c r="U23" s="37">
        <f t="shared" si="4"/>
        <v>71.463744075829382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84.4</v>
      </c>
      <c r="F24" s="20">
        <v>59.6</v>
      </c>
      <c r="G24" s="20">
        <v>50.9</v>
      </c>
      <c r="I24" s="20">
        <f t="shared" si="3"/>
        <v>68.346428571428575</v>
      </c>
      <c r="J24" s="45">
        <f>(I24/'AAU 00-01'!I24)-1</f>
        <v>1.6616798919937725E-2</v>
      </c>
      <c r="K24" s="18"/>
      <c r="M24" s="38">
        <f>335+67</f>
        <v>402</v>
      </c>
      <c r="N24" s="38">
        <f>208+97</f>
        <v>305</v>
      </c>
      <c r="O24" s="38">
        <f>125+92</f>
        <v>217</v>
      </c>
      <c r="P24" s="36">
        <f t="shared" si="0"/>
        <v>33928.800000000003</v>
      </c>
      <c r="Q24" s="36">
        <f t="shared" si="0"/>
        <v>18178</v>
      </c>
      <c r="R24" s="36">
        <f t="shared" si="0"/>
        <v>11045.3</v>
      </c>
      <c r="S24" s="36">
        <f t="shared" si="1"/>
        <v>924</v>
      </c>
      <c r="T24" s="36">
        <f t="shared" si="2"/>
        <v>63152.100000000006</v>
      </c>
      <c r="U24" s="37">
        <f t="shared" si="4"/>
        <v>68.346428571428575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105.6</v>
      </c>
      <c r="F25" s="20">
        <v>74.400000000000006</v>
      </c>
      <c r="G25" s="20">
        <v>69.2</v>
      </c>
      <c r="I25" s="20">
        <f t="shared" si="3"/>
        <v>88.070390206579958</v>
      </c>
      <c r="J25" s="45">
        <f>(I25/'AAU 00-01'!I25)-1</f>
        <v>7.1574126836439378E-2</v>
      </c>
      <c r="K25" s="18"/>
      <c r="M25" s="38">
        <f>519+102</f>
        <v>621</v>
      </c>
      <c r="N25" s="38">
        <f>278+118</f>
        <v>396</v>
      </c>
      <c r="O25" s="38">
        <f>187+103</f>
        <v>290</v>
      </c>
      <c r="P25" s="36">
        <f t="shared" si="0"/>
        <v>65577.599999999991</v>
      </c>
      <c r="Q25" s="36">
        <f t="shared" si="0"/>
        <v>29462.400000000001</v>
      </c>
      <c r="R25" s="36">
        <f t="shared" si="0"/>
        <v>20068</v>
      </c>
      <c r="S25" s="36">
        <f t="shared" si="1"/>
        <v>1307</v>
      </c>
      <c r="T25" s="36">
        <f t="shared" si="2"/>
        <v>115108</v>
      </c>
      <c r="U25" s="37">
        <f t="shared" si="4"/>
        <v>88.070390206579958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108.9</v>
      </c>
      <c r="F26" s="20">
        <v>76.3</v>
      </c>
      <c r="G26" s="20">
        <v>61.7</v>
      </c>
      <c r="I26" s="20">
        <f t="shared" si="3"/>
        <v>87.309610250934327</v>
      </c>
      <c r="J26" s="45">
        <f>(I26/'AAU 00-01'!I26)-1</f>
        <v>4.3124203981844467E-2</v>
      </c>
      <c r="K26" s="18"/>
      <c r="M26" s="38">
        <f>725+157</f>
        <v>882</v>
      </c>
      <c r="N26" s="38">
        <f>260+174</f>
        <v>434</v>
      </c>
      <c r="O26" s="38">
        <f>345+212</f>
        <v>557</v>
      </c>
      <c r="P26" s="36">
        <f t="shared" si="0"/>
        <v>96049.8</v>
      </c>
      <c r="Q26" s="36">
        <f t="shared" si="0"/>
        <v>33114.199999999997</v>
      </c>
      <c r="R26" s="36">
        <f t="shared" si="0"/>
        <v>34366.9</v>
      </c>
      <c r="S26" s="36">
        <f t="shared" si="1"/>
        <v>1873</v>
      </c>
      <c r="T26" s="36">
        <f t="shared" si="2"/>
        <v>163530.9</v>
      </c>
      <c r="U26" s="37">
        <f t="shared" si="4"/>
        <v>87.309610250934327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89.7</v>
      </c>
      <c r="F27" s="20">
        <v>67.599999999999994</v>
      </c>
      <c r="G27" s="20">
        <v>53.9</v>
      </c>
      <c r="I27" s="20">
        <f t="shared" si="3"/>
        <v>74.768622174381065</v>
      </c>
      <c r="J27" s="45">
        <f>(I27/'AAU 00-01'!I27)-1</f>
        <v>4.6459465821492518E-2</v>
      </c>
      <c r="K27" s="18"/>
      <c r="M27" s="38">
        <f>727+172</f>
        <v>899</v>
      </c>
      <c r="N27" s="38">
        <f>315+166</f>
        <v>481</v>
      </c>
      <c r="O27" s="38">
        <f>288+190</f>
        <v>478</v>
      </c>
      <c r="P27" s="36">
        <f t="shared" si="0"/>
        <v>80640.3</v>
      </c>
      <c r="Q27" s="36">
        <f t="shared" si="0"/>
        <v>32515.599999999999</v>
      </c>
      <c r="R27" s="36">
        <f t="shared" si="0"/>
        <v>25764.2</v>
      </c>
      <c r="S27" s="36">
        <f t="shared" si="1"/>
        <v>1858</v>
      </c>
      <c r="T27" s="36">
        <f t="shared" si="2"/>
        <v>138920.1</v>
      </c>
      <c r="U27" s="37">
        <f t="shared" si="4"/>
        <v>74.768622174381065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97.6</v>
      </c>
      <c r="F28" s="20">
        <v>69.2</v>
      </c>
      <c r="G28" s="20">
        <v>58.2</v>
      </c>
      <c r="I28" s="20">
        <f t="shared" si="3"/>
        <v>80.802388852023896</v>
      </c>
      <c r="J28" s="45">
        <f>(I28/'AAU 00-01'!I28)-1</f>
        <v>4.1864913035791318E-2</v>
      </c>
      <c r="K28" s="18"/>
      <c r="M28" s="38">
        <f>612+140</f>
        <v>752</v>
      </c>
      <c r="N28" s="38">
        <f>257+146</f>
        <v>403</v>
      </c>
      <c r="O28" s="38">
        <f>204+148</f>
        <v>352</v>
      </c>
      <c r="P28" s="36">
        <f t="shared" si="0"/>
        <v>73395.199999999997</v>
      </c>
      <c r="Q28" s="36">
        <f t="shared" si="0"/>
        <v>27887.600000000002</v>
      </c>
      <c r="R28" s="36">
        <f t="shared" si="0"/>
        <v>20486.400000000001</v>
      </c>
      <c r="S28" s="36">
        <f t="shared" si="1"/>
        <v>1507</v>
      </c>
      <c r="T28" s="36">
        <f t="shared" si="2"/>
        <v>121769.20000000001</v>
      </c>
      <c r="U28" s="37">
        <f t="shared" si="4"/>
        <v>80.802388852023896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88.9</v>
      </c>
      <c r="F29" s="25">
        <v>63.9</v>
      </c>
      <c r="G29" s="25">
        <v>52.6</v>
      </c>
      <c r="H29" s="24"/>
      <c r="I29" s="25">
        <f t="shared" si="3"/>
        <v>68.622082379862704</v>
      </c>
      <c r="J29" s="47">
        <f>(I29/'AAU 00-01'!I29)-1</f>
        <v>3.4446209575546449E-2</v>
      </c>
      <c r="K29" s="18"/>
      <c r="M29" s="38">
        <f>232+61</f>
        <v>293</v>
      </c>
      <c r="N29" s="38">
        <f>214+84</f>
        <v>298</v>
      </c>
      <c r="O29" s="38">
        <f>154+129</f>
        <v>283</v>
      </c>
      <c r="P29" s="36">
        <f t="shared" si="0"/>
        <v>26047.7</v>
      </c>
      <c r="Q29" s="36">
        <f t="shared" si="0"/>
        <v>19042.2</v>
      </c>
      <c r="R29" s="36">
        <f t="shared" si="0"/>
        <v>14885.800000000001</v>
      </c>
      <c r="S29" s="36">
        <f t="shared" si="1"/>
        <v>874</v>
      </c>
      <c r="T29" s="36">
        <f t="shared" si="2"/>
        <v>59975.700000000004</v>
      </c>
      <c r="U29" s="37">
        <f t="shared" si="4"/>
        <v>68.622082379862704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86.6</v>
      </c>
      <c r="F30" s="20">
        <v>62.8</v>
      </c>
      <c r="G30" s="20">
        <v>54.2</v>
      </c>
      <c r="I30" s="20">
        <f>U30</f>
        <v>72.018743768693909</v>
      </c>
      <c r="J30" s="45">
        <f>(I30/'AAU 00-01'!I30)-1</f>
        <v>7.3808110214923284E-2</v>
      </c>
      <c r="K30" s="18"/>
      <c r="M30" s="38">
        <f>403+65</f>
        <v>468</v>
      </c>
      <c r="N30" s="38">
        <f>238+77</f>
        <v>315</v>
      </c>
      <c r="O30" s="38">
        <f>129+91</f>
        <v>220</v>
      </c>
      <c r="P30" s="36">
        <f t="shared" si="0"/>
        <v>40528.799999999996</v>
      </c>
      <c r="Q30" s="36">
        <f t="shared" si="0"/>
        <v>19782</v>
      </c>
      <c r="R30" s="36">
        <f t="shared" si="0"/>
        <v>11924</v>
      </c>
      <c r="S30" s="36">
        <f t="shared" si="1"/>
        <v>1003</v>
      </c>
      <c r="T30" s="36">
        <f t="shared" si="2"/>
        <v>72234.799999999988</v>
      </c>
      <c r="U30" s="37">
        <f>T30/S30</f>
        <v>72.018743768693909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103.4</v>
      </c>
      <c r="F31" s="20">
        <v>72.2</v>
      </c>
      <c r="G31" s="20">
        <v>60.3</v>
      </c>
      <c r="I31" s="20">
        <f t="shared" si="3"/>
        <v>85.88314833501515</v>
      </c>
      <c r="J31" s="45">
        <f>(I31/'AAU 00-01'!I31)-1</f>
        <v>1.3230205295795106E-2</v>
      </c>
      <c r="K31" s="18"/>
      <c r="M31" s="38">
        <f>405+112</f>
        <v>517</v>
      </c>
      <c r="N31" s="38">
        <f>163+95</f>
        <v>258</v>
      </c>
      <c r="O31" s="38">
        <f>129+87</f>
        <v>216</v>
      </c>
      <c r="P31" s="36">
        <f t="shared" si="0"/>
        <v>53457.8</v>
      </c>
      <c r="Q31" s="36">
        <f t="shared" si="0"/>
        <v>18627.600000000002</v>
      </c>
      <c r="R31" s="36">
        <f t="shared" si="0"/>
        <v>13024.8</v>
      </c>
      <c r="S31" s="36">
        <f t="shared" si="1"/>
        <v>991</v>
      </c>
      <c r="T31" s="36">
        <f t="shared" si="2"/>
        <v>85110.200000000012</v>
      </c>
      <c r="U31" s="37">
        <f t="shared" si="4"/>
        <v>85.88314833501515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93.7</v>
      </c>
      <c r="F32" s="20">
        <v>63.5</v>
      </c>
      <c r="G32" s="20">
        <v>55.2</v>
      </c>
      <c r="I32" s="20">
        <f t="shared" si="3"/>
        <v>74.807711442786072</v>
      </c>
      <c r="J32" s="45">
        <f>(I32/'AAU 00-01'!I32)-1</f>
        <v>1.1890766399381913E-2</v>
      </c>
      <c r="K32" s="18"/>
      <c r="M32" s="38">
        <f>750+126</f>
        <v>876</v>
      </c>
      <c r="N32" s="38">
        <f>462+223</f>
        <v>685</v>
      </c>
      <c r="O32" s="38">
        <f>257+192</f>
        <v>449</v>
      </c>
      <c r="P32" s="36">
        <f t="shared" si="0"/>
        <v>82081.2</v>
      </c>
      <c r="Q32" s="36">
        <f t="shared" si="0"/>
        <v>43497.5</v>
      </c>
      <c r="R32" s="36">
        <f t="shared" si="0"/>
        <v>24784.800000000003</v>
      </c>
      <c r="S32" s="36">
        <f t="shared" si="1"/>
        <v>2010</v>
      </c>
      <c r="T32" s="36">
        <f t="shared" si="2"/>
        <v>150363.5</v>
      </c>
      <c r="U32" s="37">
        <f t="shared" si="4"/>
        <v>74.807711442786072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76.7</v>
      </c>
      <c r="F33" s="20">
        <v>55.4</v>
      </c>
      <c r="G33" s="20">
        <v>47.1</v>
      </c>
      <c r="I33" s="20">
        <f t="shared" si="3"/>
        <v>60.532590051457973</v>
      </c>
      <c r="J33" s="45">
        <f>(I33/'AAU 00-01'!I33)-1</f>
        <v>2.8903903959269783E-3</v>
      </c>
      <c r="K33" s="18"/>
      <c r="M33" s="38">
        <f>159+45</f>
        <v>204</v>
      </c>
      <c r="N33" s="38">
        <f>132+84</f>
        <v>216</v>
      </c>
      <c r="O33" s="38">
        <f>92+71</f>
        <v>163</v>
      </c>
      <c r="P33" s="36">
        <f t="shared" si="0"/>
        <v>15646.800000000001</v>
      </c>
      <c r="Q33" s="36">
        <f t="shared" si="0"/>
        <v>11966.4</v>
      </c>
      <c r="R33" s="36">
        <f t="shared" si="0"/>
        <v>7677.3</v>
      </c>
      <c r="S33" s="36">
        <f t="shared" si="1"/>
        <v>583</v>
      </c>
      <c r="T33" s="36">
        <f t="shared" si="2"/>
        <v>35290.5</v>
      </c>
      <c r="U33" s="37">
        <f t="shared" si="4"/>
        <v>60.532590051457973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98.1</v>
      </c>
      <c r="F34" s="20">
        <v>66.5</v>
      </c>
      <c r="G34" s="20">
        <v>56</v>
      </c>
      <c r="I34" s="20">
        <f t="shared" si="3"/>
        <v>77.396264009962636</v>
      </c>
      <c r="J34" s="45">
        <f>(I34/'AAU 00-01'!I34)-1</f>
        <v>5.1645471244159191E-2</v>
      </c>
      <c r="K34" s="18"/>
      <c r="M34" s="38">
        <f>606+88</f>
        <v>694</v>
      </c>
      <c r="N34" s="38">
        <f>334+156</f>
        <v>490</v>
      </c>
      <c r="O34" s="38">
        <f>245+177</f>
        <v>422</v>
      </c>
      <c r="P34" s="36">
        <f t="shared" si="0"/>
        <v>68081.399999999994</v>
      </c>
      <c r="Q34" s="36">
        <f t="shared" si="0"/>
        <v>32585</v>
      </c>
      <c r="R34" s="36">
        <f t="shared" si="0"/>
        <v>23632</v>
      </c>
      <c r="S34" s="36">
        <f t="shared" si="1"/>
        <v>1606</v>
      </c>
      <c r="T34" s="36">
        <f t="shared" si="2"/>
        <v>124298.4</v>
      </c>
      <c r="U34" s="37">
        <f t="shared" si="4"/>
        <v>77.396264009962636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95.8</v>
      </c>
      <c r="F35" s="20">
        <v>65.400000000000006</v>
      </c>
      <c r="G35" s="20">
        <v>56.6</v>
      </c>
      <c r="I35" s="20">
        <f t="shared" si="3"/>
        <v>73.160491659350313</v>
      </c>
      <c r="J35" s="45">
        <f>(I35/'AAU 00-01'!I35)-1</f>
        <v>4.6205521499538049E-2</v>
      </c>
      <c r="K35" s="18"/>
      <c r="M35" s="38">
        <f>320+77</f>
        <v>397</v>
      </c>
      <c r="N35" s="38">
        <f>255+120</f>
        <v>375</v>
      </c>
      <c r="O35" s="38">
        <f>198+169</f>
        <v>367</v>
      </c>
      <c r="P35" s="36">
        <f t="shared" si="0"/>
        <v>38032.6</v>
      </c>
      <c r="Q35" s="36">
        <f t="shared" si="0"/>
        <v>24525.000000000004</v>
      </c>
      <c r="R35" s="36">
        <f t="shared" si="0"/>
        <v>20772.2</v>
      </c>
      <c r="S35" s="36">
        <f t="shared" si="1"/>
        <v>1139</v>
      </c>
      <c r="T35" s="36">
        <f t="shared" si="2"/>
        <v>83329.8</v>
      </c>
      <c r="U35" s="37">
        <f t="shared" si="4"/>
        <v>73.160491659350313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90.5</v>
      </c>
      <c r="F36" s="20">
        <v>62.7</v>
      </c>
      <c r="G36" s="20">
        <v>55.7</v>
      </c>
      <c r="I36" s="20">
        <f t="shared" si="3"/>
        <v>73.260969976905315</v>
      </c>
      <c r="J36" s="45">
        <f>(I36/'AAU 00-01'!I36)-1</f>
        <v>3.7164608908626384E-2</v>
      </c>
      <c r="K36" s="18"/>
      <c r="M36" s="38">
        <f>684+83</f>
        <v>767</v>
      </c>
      <c r="N36" s="38">
        <f>383+149</f>
        <v>532</v>
      </c>
      <c r="O36" s="38">
        <f>275+158</f>
        <v>433</v>
      </c>
      <c r="P36" s="36">
        <f t="shared" si="0"/>
        <v>69413.5</v>
      </c>
      <c r="Q36" s="36">
        <f t="shared" si="0"/>
        <v>33356.400000000001</v>
      </c>
      <c r="R36" s="36">
        <f t="shared" si="0"/>
        <v>24118.100000000002</v>
      </c>
      <c r="S36" s="36">
        <f t="shared" si="1"/>
        <v>1732</v>
      </c>
      <c r="T36" s="36">
        <f t="shared" si="2"/>
        <v>126888</v>
      </c>
      <c r="U36" s="37">
        <f t="shared" si="4"/>
        <v>73.260969976905315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105.7</v>
      </c>
      <c r="F37" s="20">
        <v>74</v>
      </c>
      <c r="G37" s="20">
        <v>56.7</v>
      </c>
      <c r="I37" s="20">
        <f t="shared" si="3"/>
        <v>85.066336633663369</v>
      </c>
      <c r="J37" s="45">
        <f>(I37/'AAU 00-01'!I37)-1</f>
        <v>2.1402971784223013E-2</v>
      </c>
      <c r="K37" s="18"/>
      <c r="M37" s="38">
        <f>514+119</f>
        <v>633</v>
      </c>
      <c r="N37" s="38">
        <f>231+129</f>
        <v>360</v>
      </c>
      <c r="O37" s="38">
        <f>184+136</f>
        <v>320</v>
      </c>
      <c r="P37" s="36">
        <f t="shared" si="0"/>
        <v>66908.100000000006</v>
      </c>
      <c r="Q37" s="36">
        <f t="shared" si="0"/>
        <v>26640</v>
      </c>
      <c r="R37" s="36">
        <f t="shared" si="0"/>
        <v>18144</v>
      </c>
      <c r="S37" s="36">
        <f t="shared" si="1"/>
        <v>1313</v>
      </c>
      <c r="T37" s="36">
        <f t="shared" si="2"/>
        <v>111692.1</v>
      </c>
      <c r="U37" s="37">
        <f t="shared" si="4"/>
        <v>85.066336633663369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98.7</v>
      </c>
      <c r="F38" s="20">
        <v>70.5</v>
      </c>
      <c r="G38" s="20">
        <v>56.1</v>
      </c>
      <c r="I38" s="20">
        <f t="shared" si="3"/>
        <v>77.381827842720512</v>
      </c>
      <c r="J38" s="45">
        <f>(I38/'AAU 00-01'!I38)-1</f>
        <v>1.85576368659639E-2</v>
      </c>
      <c r="K38" s="18"/>
      <c r="M38" s="38">
        <f>319+48</f>
        <v>367</v>
      </c>
      <c r="N38" s="38">
        <f>204+101</f>
        <v>305</v>
      </c>
      <c r="O38" s="38">
        <f>150+119</f>
        <v>269</v>
      </c>
      <c r="P38" s="36">
        <f t="shared" si="0"/>
        <v>36222.9</v>
      </c>
      <c r="Q38" s="36">
        <f t="shared" si="0"/>
        <v>21502.5</v>
      </c>
      <c r="R38" s="36">
        <f t="shared" si="0"/>
        <v>15090.9</v>
      </c>
      <c r="S38" s="36">
        <f t="shared" si="1"/>
        <v>941</v>
      </c>
      <c r="T38" s="36">
        <f t="shared" si="2"/>
        <v>72816.3</v>
      </c>
      <c r="U38" s="37">
        <f t="shared" si="4"/>
        <v>77.381827842720512</v>
      </c>
    </row>
    <row r="39" spans="1:21" ht="13.5" customHeight="1" x14ac:dyDescent="0.3">
      <c r="A39" s="19"/>
      <c r="B39" s="48" t="s">
        <v>66</v>
      </c>
      <c r="C39" s="31">
        <v>29</v>
      </c>
      <c r="D39" s="1" t="s">
        <v>47</v>
      </c>
      <c r="E39" s="20">
        <v>98.3</v>
      </c>
      <c r="F39" s="20">
        <v>72.7</v>
      </c>
      <c r="G39" s="20">
        <v>59.1</v>
      </c>
      <c r="I39" s="20">
        <f t="shared" si="3"/>
        <v>80.36391184573003</v>
      </c>
      <c r="J39" s="45">
        <f>(I39/'AAU 00-01'!I39)-1</f>
        <v>3.1647090145476175E-2</v>
      </c>
      <c r="K39" s="18"/>
      <c r="M39" s="38">
        <f>277+45</f>
        <v>322</v>
      </c>
      <c r="N39" s="38">
        <f>133+74</f>
        <v>207</v>
      </c>
      <c r="O39" s="38">
        <f>116+81</f>
        <v>197</v>
      </c>
      <c r="P39" s="36">
        <f t="shared" si="0"/>
        <v>31652.6</v>
      </c>
      <c r="Q39" s="36">
        <f t="shared" si="0"/>
        <v>15048.900000000001</v>
      </c>
      <c r="R39" s="36">
        <f t="shared" si="0"/>
        <v>11642.7</v>
      </c>
      <c r="S39" s="36">
        <f t="shared" si="1"/>
        <v>726</v>
      </c>
      <c r="T39" s="36">
        <f t="shared" si="2"/>
        <v>58344.2</v>
      </c>
      <c r="U39" s="37">
        <f t="shared" si="4"/>
        <v>80.36391184573003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98.8</v>
      </c>
      <c r="F40" s="20">
        <v>63.5</v>
      </c>
      <c r="G40" s="20">
        <v>60</v>
      </c>
      <c r="I40" s="20">
        <f t="shared" si="3"/>
        <v>81.963636363636368</v>
      </c>
      <c r="J40" s="45">
        <f>(I40/'AAU 00-01'!I40)-1</f>
        <v>4.2387143199808186E-2</v>
      </c>
      <c r="K40" s="18"/>
      <c r="M40" s="38">
        <f>813+126</f>
        <v>939</v>
      </c>
      <c r="N40" s="38">
        <f>260+168</f>
        <v>428</v>
      </c>
      <c r="O40" s="38">
        <f>212+148</f>
        <v>360</v>
      </c>
      <c r="P40" s="36">
        <f t="shared" si="0"/>
        <v>92773.2</v>
      </c>
      <c r="Q40" s="36">
        <f t="shared" si="0"/>
        <v>27178</v>
      </c>
      <c r="R40" s="36">
        <f t="shared" si="0"/>
        <v>21600</v>
      </c>
      <c r="S40" s="36">
        <f t="shared" si="1"/>
        <v>1727</v>
      </c>
      <c r="T40" s="36">
        <f t="shared" si="2"/>
        <v>141551.20000000001</v>
      </c>
      <c r="U40" s="37">
        <f t="shared" si="4"/>
        <v>81.963636363636368</v>
      </c>
    </row>
    <row r="41" spans="1:21" ht="13.5" customHeight="1" x14ac:dyDescent="0.3">
      <c r="A41" s="19"/>
      <c r="B41" s="48" t="s">
        <v>66</v>
      </c>
      <c r="C41" s="31">
        <v>31</v>
      </c>
      <c r="D41" s="1" t="s">
        <v>37</v>
      </c>
      <c r="E41" s="20">
        <v>93.4</v>
      </c>
      <c r="F41" s="20">
        <v>66.3</v>
      </c>
      <c r="G41" s="20">
        <v>56.9</v>
      </c>
      <c r="I41" s="20">
        <f t="shared" si="3"/>
        <v>77.685808823529413</v>
      </c>
      <c r="J41" s="45">
        <f>(I41/'AAU 00-01'!I41)-1</f>
        <v>7.6682623453423249E-2</v>
      </c>
      <c r="K41" s="18"/>
      <c r="M41" s="38">
        <f>629+52</f>
        <v>681</v>
      </c>
      <c r="N41" s="38">
        <f>278+85</f>
        <v>363</v>
      </c>
      <c r="O41" s="38">
        <f>212+104</f>
        <v>316</v>
      </c>
      <c r="P41" s="36">
        <f t="shared" si="0"/>
        <v>63605.4</v>
      </c>
      <c r="Q41" s="36">
        <f t="shared" si="0"/>
        <v>24066.899999999998</v>
      </c>
      <c r="R41" s="36">
        <f t="shared" si="0"/>
        <v>17980.399999999998</v>
      </c>
      <c r="S41" s="36">
        <f t="shared" si="1"/>
        <v>1360</v>
      </c>
      <c r="T41" s="36">
        <f t="shared" si="2"/>
        <v>105652.7</v>
      </c>
      <c r="U41" s="37">
        <f t="shared" si="4"/>
        <v>77.685808823529413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107.6</v>
      </c>
      <c r="F42" s="20">
        <v>71.2</v>
      </c>
      <c r="G42" s="20">
        <v>56.8</v>
      </c>
      <c r="I42" s="20">
        <f t="shared" si="3"/>
        <v>86.449269311064711</v>
      </c>
      <c r="J42" s="45">
        <f>(I42/'AAU 00-01'!I42)-1</f>
        <v>8.9541810476354566E-3</v>
      </c>
      <c r="K42" s="18"/>
      <c r="M42" s="38">
        <f>423+63</f>
        <v>486</v>
      </c>
      <c r="N42" s="38">
        <f>174+84</f>
        <v>258</v>
      </c>
      <c r="O42" s="38">
        <f>119+95</f>
        <v>214</v>
      </c>
      <c r="P42" s="36">
        <f t="shared" si="0"/>
        <v>52293.599999999999</v>
      </c>
      <c r="Q42" s="36">
        <f t="shared" si="0"/>
        <v>18369.600000000002</v>
      </c>
      <c r="R42" s="36">
        <f t="shared" si="0"/>
        <v>12155.199999999999</v>
      </c>
      <c r="S42" s="36">
        <f t="shared" si="1"/>
        <v>958</v>
      </c>
      <c r="T42" s="36">
        <f t="shared" si="2"/>
        <v>82818.399999999994</v>
      </c>
      <c r="U42" s="37">
        <f t="shared" si="4"/>
        <v>86.449269311064711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90.1</v>
      </c>
      <c r="F43" s="20">
        <v>65.5</v>
      </c>
      <c r="G43" s="20">
        <v>58.3</v>
      </c>
      <c r="I43" s="20">
        <f t="shared" si="3"/>
        <v>76.770581186339129</v>
      </c>
      <c r="J43" s="45">
        <f>(I43/'AAU 00-01'!I43)-1</f>
        <v>4.8444346406000482E-2</v>
      </c>
      <c r="K43" s="18"/>
      <c r="M43" s="38">
        <f>698+177</f>
        <v>875</v>
      </c>
      <c r="N43" s="38">
        <f>252+165</f>
        <v>417</v>
      </c>
      <c r="O43" s="38">
        <f>222+155</f>
        <v>377</v>
      </c>
      <c r="P43" s="36">
        <f t="shared" si="0"/>
        <v>78837.5</v>
      </c>
      <c r="Q43" s="36">
        <f t="shared" si="0"/>
        <v>27313.5</v>
      </c>
      <c r="R43" s="36">
        <f t="shared" si="0"/>
        <v>21979.1</v>
      </c>
      <c r="S43" s="36">
        <f t="shared" si="1"/>
        <v>1669</v>
      </c>
      <c r="T43" s="36">
        <f t="shared" si="2"/>
        <v>128130.1</v>
      </c>
      <c r="U43" s="37">
        <f t="shared" si="4"/>
        <v>76.770581186339129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92.9</v>
      </c>
      <c r="F44" s="20">
        <v>70.2</v>
      </c>
      <c r="G44" s="20">
        <v>59.8</v>
      </c>
      <c r="I44" s="20">
        <f t="shared" si="3"/>
        <v>81.271820098383714</v>
      </c>
      <c r="J44" s="45">
        <f>(I44/'AAU 00-01'!I44)-1</f>
        <v>1.1574500731029502E-2</v>
      </c>
      <c r="K44" s="18"/>
      <c r="M44" s="38">
        <f>661+187</f>
        <v>848</v>
      </c>
      <c r="N44" s="38">
        <f>158+81</f>
        <v>239</v>
      </c>
      <c r="O44" s="38">
        <f>201+135</f>
        <v>336</v>
      </c>
      <c r="P44" s="36">
        <f t="shared" si="0"/>
        <v>78779.200000000012</v>
      </c>
      <c r="Q44" s="36">
        <f t="shared" si="0"/>
        <v>16777.8</v>
      </c>
      <c r="R44" s="36">
        <f t="shared" si="0"/>
        <v>20092.8</v>
      </c>
      <c r="S44" s="36">
        <f t="shared" si="1"/>
        <v>1423</v>
      </c>
      <c r="T44" s="36">
        <f t="shared" si="2"/>
        <v>115649.80000000002</v>
      </c>
      <c r="U44" s="37">
        <f t="shared" si="4"/>
        <v>81.271820098383714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97.838626669791438</v>
      </c>
      <c r="F46" s="41">
        <f t="shared" ref="F46" si="5">Q46/N46</f>
        <v>66.927256471389654</v>
      </c>
      <c r="G46" s="41">
        <f>R46/O46</f>
        <v>57.411844904273828</v>
      </c>
      <c r="H46" s="40"/>
      <c r="I46" s="41">
        <f t="shared" si="3"/>
        <v>79.849245756661531</v>
      </c>
      <c r="J46" s="46">
        <f>(I46/'AAU 00-01'!I46)-1</f>
        <v>3.7290746109981399E-2</v>
      </c>
      <c r="K46" s="18"/>
      <c r="M46" s="39">
        <f t="shared" ref="M46:R46" si="6">SUM(M11:M44)</f>
        <v>21335</v>
      </c>
      <c r="N46" s="39">
        <f t="shared" si="6"/>
        <v>11744</v>
      </c>
      <c r="O46" s="39">
        <f t="shared" si="6"/>
        <v>10342</v>
      </c>
      <c r="P46" s="39">
        <f t="shared" si="6"/>
        <v>2087387.1000000003</v>
      </c>
      <c r="Q46" s="39">
        <f t="shared" si="6"/>
        <v>785993.70000000007</v>
      </c>
      <c r="R46" s="39">
        <f t="shared" si="6"/>
        <v>593753.29999999993</v>
      </c>
      <c r="S46" s="36">
        <f>M46+N46+O46</f>
        <v>43421</v>
      </c>
      <c r="T46" s="36">
        <f>P46+Q46+R46</f>
        <v>3467134.1</v>
      </c>
      <c r="U46" s="37">
        <f>T46/S46</f>
        <v>79.849245756661531</v>
      </c>
    </row>
    <row r="47" spans="1:21" ht="13.5" customHeight="1" x14ac:dyDescent="0.3">
      <c r="A47" s="19"/>
      <c r="D47" s="44" t="s">
        <v>55</v>
      </c>
      <c r="E47" s="41">
        <f>MEDIAN(E11:E44)</f>
        <v>97.35</v>
      </c>
      <c r="F47" s="41">
        <f t="shared" ref="F47" si="7">MEDIAN(F11:F44)</f>
        <v>66.400000000000006</v>
      </c>
      <c r="G47" s="41">
        <f>MEDIAN(G11:G44)</f>
        <v>56.75</v>
      </c>
      <c r="H47" s="40"/>
      <c r="I47" s="41">
        <f>MEDIAN(I11:I44)</f>
        <v>77.68453655758077</v>
      </c>
      <c r="J47" s="46">
        <f>(I47/'AAU 00-01'!I47)-1</f>
        <v>3.3276560277412548E-2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B49" s="1" t="s">
        <v>85</v>
      </c>
      <c r="K49" s="18"/>
    </row>
    <row r="50" spans="1:11" ht="13.5" customHeight="1" x14ac:dyDescent="0.3">
      <c r="A50" s="19"/>
      <c r="K50" s="18"/>
    </row>
    <row r="51" spans="1:11" ht="13.5" customHeight="1" x14ac:dyDescent="0.3">
      <c r="A51" s="19"/>
      <c r="B51" s="16" t="s">
        <v>58</v>
      </c>
      <c r="K51" s="18"/>
    </row>
    <row r="52" spans="1:11" ht="13.5" customHeight="1" x14ac:dyDescent="0.3">
      <c r="A52" s="19"/>
      <c r="K52" s="18"/>
    </row>
    <row r="53" spans="1:11" ht="13.5" customHeight="1" x14ac:dyDescent="0.3">
      <c r="A53" s="21"/>
      <c r="B53" s="42" t="s">
        <v>56</v>
      </c>
      <c r="C53" s="33"/>
      <c r="D53" s="22"/>
      <c r="E53" s="22"/>
      <c r="F53" s="22"/>
      <c r="G53" s="22"/>
      <c r="H53" s="22"/>
      <c r="I53" s="22"/>
      <c r="J53" s="43" t="s">
        <v>88</v>
      </c>
      <c r="K53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86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84.9</v>
      </c>
      <c r="F11" s="20">
        <v>60</v>
      </c>
      <c r="G11" s="20">
        <v>52</v>
      </c>
      <c r="I11" s="20">
        <f>U11</f>
        <v>71.012363919129072</v>
      </c>
      <c r="J11" s="45">
        <f>(I11/'AAU 99-00'!I11)-1</f>
        <v>3.8989630691263155E-2</v>
      </c>
      <c r="K11" s="18"/>
      <c r="M11" s="38">
        <f>532+119</f>
        <v>651</v>
      </c>
      <c r="N11" s="38">
        <f>241+138</f>
        <v>379</v>
      </c>
      <c r="O11" s="38">
        <f>150+106</f>
        <v>256</v>
      </c>
      <c r="P11" s="36">
        <f t="shared" ref="P11:R44" si="0">E11*M11</f>
        <v>55269.9</v>
      </c>
      <c r="Q11" s="36">
        <f t="shared" si="0"/>
        <v>22740</v>
      </c>
      <c r="R11" s="36">
        <f t="shared" si="0"/>
        <v>13312</v>
      </c>
      <c r="S11" s="36">
        <f t="shared" ref="S11:S44" si="1">M11+N11+O11</f>
        <v>1286</v>
      </c>
      <c r="T11" s="36">
        <f t="shared" ref="T11:T44" si="2">P11+Q11+R11</f>
        <v>91321.9</v>
      </c>
      <c r="U11" s="37">
        <f>T11/S11</f>
        <v>71.012363919129072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113.6</v>
      </c>
      <c r="F12" s="20">
        <v>73.2</v>
      </c>
      <c r="G12" s="20">
        <v>62.5</v>
      </c>
      <c r="I12" s="20">
        <f t="shared" ref="I12:I46" si="3">U12</f>
        <v>97.705306427503729</v>
      </c>
      <c r="J12" s="45">
        <f>(I12/'AAU 99-00'!I12)-1</f>
        <v>4.1902513843577127E-2</v>
      </c>
      <c r="K12" s="18"/>
      <c r="M12" s="38">
        <f>720+148</f>
        <v>868</v>
      </c>
      <c r="N12" s="38">
        <f>155+102</f>
        <v>257</v>
      </c>
      <c r="O12" s="38">
        <f>145+68</f>
        <v>213</v>
      </c>
      <c r="P12" s="36">
        <f t="shared" si="0"/>
        <v>98604.799999999988</v>
      </c>
      <c r="Q12" s="36">
        <f t="shared" si="0"/>
        <v>18812.400000000001</v>
      </c>
      <c r="R12" s="36">
        <f t="shared" si="0"/>
        <v>13312.5</v>
      </c>
      <c r="S12" s="36">
        <f t="shared" si="1"/>
        <v>1338</v>
      </c>
      <c r="T12" s="36">
        <f t="shared" si="2"/>
        <v>130729.69999999998</v>
      </c>
      <c r="U12" s="37">
        <f t="shared" ref="U12:U44" si="4">T12/S12</f>
        <v>97.705306427503729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95.4</v>
      </c>
      <c r="F13" s="20">
        <v>66.400000000000006</v>
      </c>
      <c r="G13" s="20">
        <v>56.4</v>
      </c>
      <c r="I13" s="20">
        <f t="shared" si="3"/>
        <v>83.66475409836066</v>
      </c>
      <c r="J13" s="45">
        <f>(I13/'AAU 99-00'!I13)-1</f>
        <v>4.3798668936265939E-2</v>
      </c>
      <c r="K13" s="18"/>
      <c r="M13" s="38">
        <f>650+147</f>
        <v>797</v>
      </c>
      <c r="N13" s="38">
        <f>140+78</f>
        <v>218</v>
      </c>
      <c r="O13" s="38">
        <f>130+75</f>
        <v>205</v>
      </c>
      <c r="P13" s="36">
        <f t="shared" si="0"/>
        <v>76033.8</v>
      </c>
      <c r="Q13" s="36">
        <f t="shared" si="0"/>
        <v>14475.2</v>
      </c>
      <c r="R13" s="36">
        <f t="shared" si="0"/>
        <v>11562</v>
      </c>
      <c r="S13" s="36">
        <f t="shared" si="1"/>
        <v>1220</v>
      </c>
      <c r="T13" s="36">
        <f t="shared" si="2"/>
        <v>102071</v>
      </c>
      <c r="U13" s="37">
        <f t="shared" si="4"/>
        <v>83.66475409836066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100.5</v>
      </c>
      <c r="F14" s="20">
        <v>69.099999999999994</v>
      </c>
      <c r="G14" s="20">
        <v>60.3</v>
      </c>
      <c r="I14" s="20">
        <f t="shared" si="3"/>
        <v>83.342075736325384</v>
      </c>
      <c r="J14" s="45">
        <f>(I14/'AAU 99-00'!I14)-1</f>
        <v>3.3832439742317533E-2</v>
      </c>
      <c r="K14" s="18"/>
      <c r="M14" s="38">
        <f>312+61</f>
        <v>373</v>
      </c>
      <c r="N14" s="38">
        <f>99+64</f>
        <v>163</v>
      </c>
      <c r="O14" s="38">
        <f>118+59</f>
        <v>177</v>
      </c>
      <c r="P14" s="36">
        <f t="shared" si="0"/>
        <v>37486.5</v>
      </c>
      <c r="Q14" s="36">
        <f t="shared" si="0"/>
        <v>11263.3</v>
      </c>
      <c r="R14" s="36">
        <f t="shared" si="0"/>
        <v>10673.1</v>
      </c>
      <c r="S14" s="36">
        <f t="shared" si="1"/>
        <v>713</v>
      </c>
      <c r="T14" s="36">
        <f t="shared" si="2"/>
        <v>59422.9</v>
      </c>
      <c r="U14" s="37">
        <f t="shared" si="4"/>
        <v>83.342075736325384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112.7</v>
      </c>
      <c r="F15" s="20">
        <v>72.400000000000006</v>
      </c>
      <c r="G15" s="20">
        <v>63</v>
      </c>
      <c r="I15" s="20">
        <f t="shared" si="3"/>
        <v>94.60117939168218</v>
      </c>
      <c r="J15" s="45">
        <f>(I15/'AAU 99-00'!I15)-1</f>
        <v>6.8837111419206121E-2</v>
      </c>
      <c r="K15" s="18"/>
      <c r="M15" s="38">
        <f>779+192</f>
        <v>971</v>
      </c>
      <c r="N15" s="38">
        <f>183+99</f>
        <v>282</v>
      </c>
      <c r="O15" s="38">
        <f>226+132</f>
        <v>358</v>
      </c>
      <c r="P15" s="36">
        <f t="shared" si="0"/>
        <v>109431.7</v>
      </c>
      <c r="Q15" s="36">
        <f t="shared" si="0"/>
        <v>20416.800000000003</v>
      </c>
      <c r="R15" s="36">
        <f t="shared" si="0"/>
        <v>22554</v>
      </c>
      <c r="S15" s="36">
        <f t="shared" si="1"/>
        <v>1611</v>
      </c>
      <c r="T15" s="36">
        <f t="shared" si="2"/>
        <v>152402.5</v>
      </c>
      <c r="U15" s="37">
        <f t="shared" si="4"/>
        <v>94.60117939168218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104.3</v>
      </c>
      <c r="F16" s="20">
        <v>67</v>
      </c>
      <c r="G16" s="20">
        <v>58.2</v>
      </c>
      <c r="I16" s="20">
        <f t="shared" si="3"/>
        <v>90.383620689655174</v>
      </c>
      <c r="J16" s="45">
        <f>(I16/'AAU 99-00'!I16)-1</f>
        <v>5.2127006563161826E-2</v>
      </c>
      <c r="K16" s="18"/>
      <c r="M16" s="38">
        <f>456+79</f>
        <v>535</v>
      </c>
      <c r="N16" s="38">
        <f>121+46</f>
        <v>167</v>
      </c>
      <c r="O16" s="38">
        <f>74+36</f>
        <v>110</v>
      </c>
      <c r="P16" s="36">
        <f t="shared" si="0"/>
        <v>55800.5</v>
      </c>
      <c r="Q16" s="36">
        <f t="shared" si="0"/>
        <v>11189</v>
      </c>
      <c r="R16" s="36">
        <f t="shared" si="0"/>
        <v>6402</v>
      </c>
      <c r="S16" s="36">
        <f t="shared" si="1"/>
        <v>812</v>
      </c>
      <c r="T16" s="36">
        <f t="shared" si="2"/>
        <v>73391.5</v>
      </c>
      <c r="U16" s="37">
        <f t="shared" si="4"/>
        <v>90.383620689655174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102.2</v>
      </c>
      <c r="F17" s="20">
        <v>65.8</v>
      </c>
      <c r="G17" s="20">
        <v>55.6</v>
      </c>
      <c r="I17" s="20">
        <f t="shared" si="3"/>
        <v>86.878147612156297</v>
      </c>
      <c r="J17" s="45">
        <f>(I17/'AAU 99-00'!I17)-1</f>
        <v>6.1607596219009686E-2</v>
      </c>
      <c r="K17" s="18"/>
      <c r="M17" s="38">
        <f>360+69</f>
        <v>429</v>
      </c>
      <c r="N17" s="38">
        <f>101+58</f>
        <v>159</v>
      </c>
      <c r="O17" s="38">
        <f>56+47</f>
        <v>103</v>
      </c>
      <c r="P17" s="36">
        <f t="shared" si="0"/>
        <v>43843.8</v>
      </c>
      <c r="Q17" s="36">
        <f t="shared" si="0"/>
        <v>10462.199999999999</v>
      </c>
      <c r="R17" s="36">
        <f t="shared" si="0"/>
        <v>5726.8</v>
      </c>
      <c r="S17" s="36">
        <f t="shared" si="1"/>
        <v>691</v>
      </c>
      <c r="T17" s="36">
        <f t="shared" si="2"/>
        <v>60032.800000000003</v>
      </c>
      <c r="U17" s="37">
        <f t="shared" si="4"/>
        <v>86.878147612156297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85.7</v>
      </c>
      <c r="F18" s="20">
        <v>62.4</v>
      </c>
      <c r="G18" s="20">
        <v>52</v>
      </c>
      <c r="I18" s="20">
        <f t="shared" si="3"/>
        <v>70.242494929006085</v>
      </c>
      <c r="J18" s="45">
        <f>(I18/'AAU 99-00'!I18)-1</f>
        <v>2.4554992310694468E-2</v>
      </c>
      <c r="K18" s="18"/>
      <c r="M18" s="38">
        <f>370+69</f>
        <v>439</v>
      </c>
      <c r="N18" s="38">
        <f>206+101</f>
        <v>307</v>
      </c>
      <c r="O18" s="38">
        <f>152+88</f>
        <v>240</v>
      </c>
      <c r="P18" s="36">
        <f t="shared" si="0"/>
        <v>37622.300000000003</v>
      </c>
      <c r="Q18" s="36">
        <f t="shared" si="0"/>
        <v>19156.8</v>
      </c>
      <c r="R18" s="36">
        <f t="shared" si="0"/>
        <v>12480</v>
      </c>
      <c r="S18" s="36">
        <f t="shared" si="1"/>
        <v>986</v>
      </c>
      <c r="T18" s="36">
        <f t="shared" si="2"/>
        <v>69259.100000000006</v>
      </c>
      <c r="U18" s="37">
        <f t="shared" si="4"/>
        <v>70.242494929006085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82</v>
      </c>
      <c r="F19" s="20">
        <v>61.4</v>
      </c>
      <c r="G19" s="20">
        <v>53.7</v>
      </c>
      <c r="I19" s="20">
        <f t="shared" si="3"/>
        <v>68.373765786452353</v>
      </c>
      <c r="J19" s="45">
        <f>(I19/'AAU 99-00'!I19)-1</f>
        <v>6.4224778031743091E-2</v>
      </c>
      <c r="K19" s="18"/>
      <c r="M19" s="38">
        <f>687+87</f>
        <v>774</v>
      </c>
      <c r="N19" s="38">
        <f>340+135</f>
        <v>475</v>
      </c>
      <c r="O19" s="38">
        <f>286+207</f>
        <v>493</v>
      </c>
      <c r="P19" s="36">
        <f t="shared" si="0"/>
        <v>63468</v>
      </c>
      <c r="Q19" s="36">
        <f t="shared" si="0"/>
        <v>29165</v>
      </c>
      <c r="R19" s="36">
        <f t="shared" si="0"/>
        <v>26474.100000000002</v>
      </c>
      <c r="S19" s="36">
        <f t="shared" si="1"/>
        <v>1742</v>
      </c>
      <c r="T19" s="36">
        <f t="shared" si="2"/>
        <v>119107.1</v>
      </c>
      <c r="U19" s="37">
        <f t="shared" si="4"/>
        <v>68.373765786452353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95.6</v>
      </c>
      <c r="F20" s="20">
        <v>66.3</v>
      </c>
      <c r="G20" s="20">
        <v>56.8</v>
      </c>
      <c r="I20" s="20">
        <f t="shared" si="3"/>
        <v>78.429865575686733</v>
      </c>
      <c r="J20" s="45">
        <f>(I20/'AAU 99-00'!I20)-1</f>
        <v>4.294630842580216E-2</v>
      </c>
      <c r="K20" s="18"/>
      <c r="M20" s="38">
        <f>740+99</f>
        <v>839</v>
      </c>
      <c r="N20" s="38">
        <f>331+138</f>
        <v>469</v>
      </c>
      <c r="O20" s="38">
        <f>262+141</f>
        <v>403</v>
      </c>
      <c r="P20" s="36">
        <f t="shared" si="0"/>
        <v>80208.399999999994</v>
      </c>
      <c r="Q20" s="36">
        <f t="shared" si="0"/>
        <v>31094.699999999997</v>
      </c>
      <c r="R20" s="36">
        <f t="shared" si="0"/>
        <v>22890.399999999998</v>
      </c>
      <c r="S20" s="36">
        <f t="shared" si="1"/>
        <v>1711</v>
      </c>
      <c r="T20" s="36">
        <f t="shared" si="2"/>
        <v>134193.5</v>
      </c>
      <c r="U20" s="37">
        <f t="shared" si="4"/>
        <v>78.429865575686733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88.2</v>
      </c>
      <c r="F21" s="20">
        <v>61.1</v>
      </c>
      <c r="G21" s="20">
        <v>49.8</v>
      </c>
      <c r="I21" s="20">
        <f t="shared" si="3"/>
        <v>71.753081664098616</v>
      </c>
      <c r="J21" s="45">
        <f>(I21/'AAU 99-00'!I21)-1</f>
        <v>3.9362633800888558E-2</v>
      </c>
      <c r="K21" s="18"/>
      <c r="M21" s="38">
        <f>499+128</f>
        <v>627</v>
      </c>
      <c r="N21" s="38">
        <f>270+121</f>
        <v>391</v>
      </c>
      <c r="O21" s="38">
        <f>172+108</f>
        <v>280</v>
      </c>
      <c r="P21" s="36">
        <f t="shared" si="0"/>
        <v>55301.4</v>
      </c>
      <c r="Q21" s="36">
        <f t="shared" si="0"/>
        <v>23890.100000000002</v>
      </c>
      <c r="R21" s="36">
        <f t="shared" si="0"/>
        <v>13944</v>
      </c>
      <c r="S21" s="36">
        <f t="shared" si="1"/>
        <v>1298</v>
      </c>
      <c r="T21" s="36">
        <f t="shared" si="2"/>
        <v>93135.5</v>
      </c>
      <c r="U21" s="37">
        <f t="shared" si="4"/>
        <v>71.753081664098616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94.3</v>
      </c>
      <c r="F22" s="20">
        <v>62.5</v>
      </c>
      <c r="G22" s="20">
        <v>54.6</v>
      </c>
      <c r="I22" s="20">
        <f t="shared" si="3"/>
        <v>74.393461203138614</v>
      </c>
      <c r="J22" s="45">
        <f>(I22/'AAU 99-00'!I22)-1</f>
        <v>4.1348532179687369E-2</v>
      </c>
      <c r="K22" s="18"/>
      <c r="M22" s="38">
        <f>429+77</f>
        <v>506</v>
      </c>
      <c r="N22" s="38">
        <f>193+138</f>
        <v>331</v>
      </c>
      <c r="O22" s="38">
        <f>166+144</f>
        <v>310</v>
      </c>
      <c r="P22" s="36">
        <f t="shared" si="0"/>
        <v>47715.799999999996</v>
      </c>
      <c r="Q22" s="36">
        <f t="shared" si="0"/>
        <v>20687.5</v>
      </c>
      <c r="R22" s="36">
        <f t="shared" si="0"/>
        <v>16926</v>
      </c>
      <c r="S22" s="36">
        <f t="shared" si="1"/>
        <v>1147</v>
      </c>
      <c r="T22" s="36">
        <f t="shared" si="2"/>
        <v>85329.299999999988</v>
      </c>
      <c r="U22" s="37">
        <f t="shared" si="4"/>
        <v>74.393461203138614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85.2</v>
      </c>
      <c r="F23" s="20">
        <v>63.1</v>
      </c>
      <c r="G23" s="20">
        <v>52.7</v>
      </c>
      <c r="I23" s="20">
        <f t="shared" si="3"/>
        <v>69.483641975308629</v>
      </c>
      <c r="J23" s="45">
        <f>(I23/'AAU 99-00'!I23)-1</f>
        <v>2.202405651704975E-2</v>
      </c>
      <c r="K23" s="18"/>
      <c r="M23" s="38">
        <f>473+67</f>
        <v>540</v>
      </c>
      <c r="N23" s="38">
        <f>289+115</f>
        <v>404</v>
      </c>
      <c r="O23" s="38">
        <f>216+136</f>
        <v>352</v>
      </c>
      <c r="P23" s="36">
        <f t="shared" si="0"/>
        <v>46008</v>
      </c>
      <c r="Q23" s="36">
        <f t="shared" si="0"/>
        <v>25492.400000000001</v>
      </c>
      <c r="R23" s="36">
        <f t="shared" si="0"/>
        <v>18550.400000000001</v>
      </c>
      <c r="S23" s="36">
        <f t="shared" si="1"/>
        <v>1296</v>
      </c>
      <c r="T23" s="36">
        <f t="shared" si="2"/>
        <v>90050.799999999988</v>
      </c>
      <c r="U23" s="37">
        <f t="shared" si="4"/>
        <v>69.483641975308629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79.599999999999994</v>
      </c>
      <c r="F24" s="20">
        <v>56.1</v>
      </c>
      <c r="G24" s="20">
        <v>48.8</v>
      </c>
      <c r="I24" s="20">
        <f t="shared" si="3"/>
        <v>67.229292929292924</v>
      </c>
      <c r="J24" s="45">
        <f>(I24/'AAU 99-00'!I24)-1</f>
        <v>9.3731948058314085E-2</v>
      </c>
      <c r="K24" s="18"/>
      <c r="M24" s="38">
        <f>357+219</f>
        <v>576</v>
      </c>
      <c r="N24" s="38">
        <f>219+100</f>
        <v>319</v>
      </c>
      <c r="O24" s="38">
        <f>111+83</f>
        <v>194</v>
      </c>
      <c r="P24" s="36">
        <f t="shared" si="0"/>
        <v>45849.599999999999</v>
      </c>
      <c r="Q24" s="36">
        <f t="shared" si="0"/>
        <v>17895.900000000001</v>
      </c>
      <c r="R24" s="36">
        <f t="shared" si="0"/>
        <v>9467.1999999999989</v>
      </c>
      <c r="S24" s="36">
        <f t="shared" si="1"/>
        <v>1089</v>
      </c>
      <c r="T24" s="36">
        <f t="shared" si="2"/>
        <v>73212.7</v>
      </c>
      <c r="U24" s="37">
        <f t="shared" si="4"/>
        <v>67.229292929292924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98.1</v>
      </c>
      <c r="F25" s="20">
        <v>69.2</v>
      </c>
      <c r="G25" s="20">
        <v>64.2</v>
      </c>
      <c r="I25" s="20">
        <f t="shared" si="3"/>
        <v>82.187865497076018</v>
      </c>
      <c r="J25" s="45">
        <f>(I25/'AAU 99-00'!I25)-1</f>
        <v>0.10512862932021294</v>
      </c>
      <c r="K25" s="18"/>
      <c r="M25" s="38">
        <f>552+114</f>
        <v>666</v>
      </c>
      <c r="N25" s="38">
        <f>293+113</f>
        <v>406</v>
      </c>
      <c r="O25" s="38">
        <f>192+104</f>
        <v>296</v>
      </c>
      <c r="P25" s="36">
        <f t="shared" si="0"/>
        <v>65334.6</v>
      </c>
      <c r="Q25" s="36">
        <f t="shared" si="0"/>
        <v>28095.200000000001</v>
      </c>
      <c r="R25" s="36">
        <f t="shared" si="0"/>
        <v>19003.2</v>
      </c>
      <c r="S25" s="36">
        <f t="shared" si="1"/>
        <v>1368</v>
      </c>
      <c r="T25" s="36">
        <f t="shared" si="2"/>
        <v>112433</v>
      </c>
      <c r="U25" s="37">
        <f t="shared" si="4"/>
        <v>82.187865497076018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105.2</v>
      </c>
      <c r="F26" s="20">
        <v>73.3</v>
      </c>
      <c r="G26" s="20">
        <v>59.7</v>
      </c>
      <c r="I26" s="20">
        <f t="shared" si="3"/>
        <v>83.700109649122808</v>
      </c>
      <c r="J26" s="45">
        <f>(I26/'AAU 99-00'!I26)-1</f>
        <v>3.083878790518102E-2</v>
      </c>
      <c r="K26" s="18"/>
      <c r="M26" s="38">
        <f>694+136</f>
        <v>830</v>
      </c>
      <c r="N26" s="38">
        <f>266+176</f>
        <v>442</v>
      </c>
      <c r="O26" s="38">
        <f>336+216</f>
        <v>552</v>
      </c>
      <c r="P26" s="36">
        <f t="shared" si="0"/>
        <v>87316</v>
      </c>
      <c r="Q26" s="36">
        <f t="shared" si="0"/>
        <v>32398.6</v>
      </c>
      <c r="R26" s="36">
        <f t="shared" si="0"/>
        <v>32954.400000000001</v>
      </c>
      <c r="S26" s="36">
        <f t="shared" si="1"/>
        <v>1824</v>
      </c>
      <c r="T26" s="36">
        <f t="shared" si="2"/>
        <v>152669</v>
      </c>
      <c r="U26" s="37">
        <f t="shared" si="4"/>
        <v>83.700109649122808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85.2</v>
      </c>
      <c r="F27" s="20">
        <v>63.9</v>
      </c>
      <c r="G27" s="20">
        <v>51.2</v>
      </c>
      <c r="I27" s="20">
        <f t="shared" si="3"/>
        <v>71.449133594186691</v>
      </c>
      <c r="J27" s="45">
        <f>(I27/'AAU 99-00'!I27)-1</f>
        <v>4.1085046376846179E-2</v>
      </c>
      <c r="K27" s="18"/>
      <c r="M27" s="38">
        <f>735+162</f>
        <v>897</v>
      </c>
      <c r="N27" s="38">
        <f>300+151</f>
        <v>451</v>
      </c>
      <c r="O27" s="38">
        <f>262+179</f>
        <v>441</v>
      </c>
      <c r="P27" s="36">
        <f t="shared" si="0"/>
        <v>76424.400000000009</v>
      </c>
      <c r="Q27" s="36">
        <f t="shared" si="0"/>
        <v>28818.899999999998</v>
      </c>
      <c r="R27" s="36">
        <f t="shared" si="0"/>
        <v>22579.200000000001</v>
      </c>
      <c r="S27" s="36">
        <f t="shared" si="1"/>
        <v>1789</v>
      </c>
      <c r="T27" s="36">
        <f t="shared" si="2"/>
        <v>127822.5</v>
      </c>
      <c r="U27" s="37">
        <f t="shared" si="4"/>
        <v>71.449133594186691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93.6</v>
      </c>
      <c r="F28" s="20">
        <v>66.099999999999994</v>
      </c>
      <c r="G28" s="20">
        <v>55.4</v>
      </c>
      <c r="I28" s="20">
        <f t="shared" si="3"/>
        <v>77.555533199195168</v>
      </c>
      <c r="J28" s="45">
        <f>(I28/'AAU 99-00'!I28)-1</f>
        <v>3.1271454386885056E-2</v>
      </c>
      <c r="K28" s="18"/>
      <c r="M28" s="38">
        <f>617+136</f>
        <v>753</v>
      </c>
      <c r="N28" s="38">
        <f>260+139</f>
        <v>399</v>
      </c>
      <c r="O28" s="38">
        <f>197+142</f>
        <v>339</v>
      </c>
      <c r="P28" s="36">
        <f t="shared" si="0"/>
        <v>70480.800000000003</v>
      </c>
      <c r="Q28" s="36">
        <f t="shared" si="0"/>
        <v>26373.899999999998</v>
      </c>
      <c r="R28" s="36">
        <f t="shared" si="0"/>
        <v>18780.599999999999</v>
      </c>
      <c r="S28" s="36">
        <f t="shared" si="1"/>
        <v>1491</v>
      </c>
      <c r="T28" s="36">
        <f t="shared" si="2"/>
        <v>115635.29999999999</v>
      </c>
      <c r="U28" s="37">
        <f t="shared" si="4"/>
        <v>77.555533199195168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84.4</v>
      </c>
      <c r="F29" s="25">
        <v>61.8</v>
      </c>
      <c r="G29" s="25">
        <v>50.8</v>
      </c>
      <c r="H29" s="24"/>
      <c r="I29" s="25">
        <f t="shared" si="3"/>
        <v>66.337023370233709</v>
      </c>
      <c r="J29" s="47">
        <f>(I29/'AAU 99-00'!I29)-1</f>
        <v>3.6991129279846824E-2</v>
      </c>
      <c r="K29" s="18"/>
      <c r="M29" s="38">
        <f>229+52</f>
        <v>281</v>
      </c>
      <c r="N29" s="38">
        <f>207+83</f>
        <v>290</v>
      </c>
      <c r="O29" s="38">
        <f>138+104</f>
        <v>242</v>
      </c>
      <c r="P29" s="36">
        <f t="shared" si="0"/>
        <v>23716.400000000001</v>
      </c>
      <c r="Q29" s="36">
        <f t="shared" si="0"/>
        <v>17922</v>
      </c>
      <c r="R29" s="36">
        <f t="shared" si="0"/>
        <v>12293.599999999999</v>
      </c>
      <c r="S29" s="36">
        <f t="shared" si="1"/>
        <v>813</v>
      </c>
      <c r="T29" s="36">
        <f t="shared" si="2"/>
        <v>53932</v>
      </c>
      <c r="U29" s="37">
        <f t="shared" si="4"/>
        <v>66.337023370233709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81.5</v>
      </c>
      <c r="F30" s="20">
        <v>58.4</v>
      </c>
      <c r="G30" s="20">
        <v>49.7</v>
      </c>
      <c r="I30" s="20">
        <f>U30</f>
        <v>67.068541468064822</v>
      </c>
      <c r="J30" s="45">
        <f>(I30/'AAU 99-00'!I30)-1</f>
        <v>3.2462836175598309E-2</v>
      </c>
      <c r="K30" s="18"/>
      <c r="M30" s="38">
        <f>409+66</f>
        <v>475</v>
      </c>
      <c r="N30" s="38">
        <f>263+95</f>
        <v>358</v>
      </c>
      <c r="O30" s="38">
        <f>128+88</f>
        <v>216</v>
      </c>
      <c r="P30" s="36">
        <f t="shared" si="0"/>
        <v>38712.5</v>
      </c>
      <c r="Q30" s="36">
        <f t="shared" si="0"/>
        <v>20907.2</v>
      </c>
      <c r="R30" s="36">
        <f t="shared" si="0"/>
        <v>10735.2</v>
      </c>
      <c r="S30" s="36">
        <f t="shared" si="1"/>
        <v>1049</v>
      </c>
      <c r="T30" s="36">
        <f t="shared" si="2"/>
        <v>70354.899999999994</v>
      </c>
      <c r="U30" s="37">
        <f>T30/S30</f>
        <v>67.068541468064822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100.9</v>
      </c>
      <c r="F31" s="20">
        <v>71.400000000000006</v>
      </c>
      <c r="G31" s="20">
        <v>58.5</v>
      </c>
      <c r="I31" s="20">
        <f t="shared" si="3"/>
        <v>84.761733203505358</v>
      </c>
      <c r="J31" s="45">
        <f>(I31/'AAU 99-00'!I31)-1</f>
        <v>6.5675320440687246E-2</v>
      </c>
      <c r="K31" s="18"/>
      <c r="M31" s="38">
        <f>431+126</f>
        <v>557</v>
      </c>
      <c r="N31" s="38">
        <f>167+93</f>
        <v>260</v>
      </c>
      <c r="O31" s="38">
        <f>122+88</f>
        <v>210</v>
      </c>
      <c r="P31" s="36">
        <f t="shared" si="0"/>
        <v>56201.3</v>
      </c>
      <c r="Q31" s="36">
        <f t="shared" si="0"/>
        <v>18564</v>
      </c>
      <c r="R31" s="36">
        <f t="shared" si="0"/>
        <v>12285</v>
      </c>
      <c r="S31" s="36">
        <f t="shared" si="1"/>
        <v>1027</v>
      </c>
      <c r="T31" s="36">
        <f t="shared" si="2"/>
        <v>87050.3</v>
      </c>
      <c r="U31" s="37">
        <f t="shared" si="4"/>
        <v>84.761733203505358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92.2</v>
      </c>
      <c r="F32" s="20">
        <v>63.8</v>
      </c>
      <c r="G32" s="20">
        <v>54.4</v>
      </c>
      <c r="I32" s="20">
        <f t="shared" si="3"/>
        <v>73.928643216080403</v>
      </c>
      <c r="J32" s="45">
        <f>(I32/'AAU 99-00'!I32)-1</f>
        <v>5.0802557245186453E-2</v>
      </c>
      <c r="K32" s="18"/>
      <c r="M32" s="38">
        <f>734+124</f>
        <v>858</v>
      </c>
      <c r="N32" s="38">
        <f>469+215</f>
        <v>684</v>
      </c>
      <c r="O32" s="38">
        <f>270+178</f>
        <v>448</v>
      </c>
      <c r="P32" s="36">
        <f t="shared" si="0"/>
        <v>79107.600000000006</v>
      </c>
      <c r="Q32" s="36">
        <f t="shared" si="0"/>
        <v>43639.199999999997</v>
      </c>
      <c r="R32" s="36">
        <f t="shared" si="0"/>
        <v>24371.200000000001</v>
      </c>
      <c r="S32" s="36">
        <f t="shared" si="1"/>
        <v>1990</v>
      </c>
      <c r="T32" s="36">
        <f t="shared" si="2"/>
        <v>147118</v>
      </c>
      <c r="U32" s="37">
        <f t="shared" si="4"/>
        <v>73.928643216080403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75.599999999999994</v>
      </c>
      <c r="F33" s="20">
        <v>55.4</v>
      </c>
      <c r="G33" s="20">
        <v>47</v>
      </c>
      <c r="I33" s="20">
        <f t="shared" si="3"/>
        <v>60.358131487889274</v>
      </c>
      <c r="J33" s="45">
        <f>(I33/'AAU 99-00'!I33)-1</f>
        <v>5.1308169737393161E-2</v>
      </c>
      <c r="K33" s="18"/>
      <c r="M33" s="38">
        <f>160+43</f>
        <v>203</v>
      </c>
      <c r="N33" s="38">
        <f>142+86</f>
        <v>228</v>
      </c>
      <c r="O33" s="38">
        <f>84+63</f>
        <v>147</v>
      </c>
      <c r="P33" s="36">
        <f t="shared" si="0"/>
        <v>15346.8</v>
      </c>
      <c r="Q33" s="36">
        <f t="shared" si="0"/>
        <v>12631.199999999999</v>
      </c>
      <c r="R33" s="36">
        <f t="shared" si="0"/>
        <v>6909</v>
      </c>
      <c r="S33" s="36">
        <f t="shared" si="1"/>
        <v>578</v>
      </c>
      <c r="T33" s="36">
        <f t="shared" si="2"/>
        <v>34887</v>
      </c>
      <c r="U33" s="37">
        <f t="shared" si="4"/>
        <v>60.358131487889274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93.8</v>
      </c>
      <c r="F34" s="20">
        <v>63.4</v>
      </c>
      <c r="G34" s="20">
        <v>52.7</v>
      </c>
      <c r="I34" s="20">
        <f t="shared" si="3"/>
        <v>73.595395146235219</v>
      </c>
      <c r="J34" s="45">
        <f>(I34/'AAU 99-00'!I34)-1</f>
        <v>4.4992241817707779E-2</v>
      </c>
      <c r="K34" s="18"/>
      <c r="M34" s="38">
        <f>610+81</f>
        <v>691</v>
      </c>
      <c r="N34" s="38">
        <f>350+134</f>
        <v>484</v>
      </c>
      <c r="O34" s="38">
        <f>243+189</f>
        <v>432</v>
      </c>
      <c r="P34" s="36">
        <f t="shared" si="0"/>
        <v>64815.799999999996</v>
      </c>
      <c r="Q34" s="36">
        <f t="shared" si="0"/>
        <v>30685.599999999999</v>
      </c>
      <c r="R34" s="36">
        <f t="shared" si="0"/>
        <v>22766.400000000001</v>
      </c>
      <c r="S34" s="36">
        <f t="shared" si="1"/>
        <v>1607</v>
      </c>
      <c r="T34" s="36">
        <f t="shared" si="2"/>
        <v>118267.79999999999</v>
      </c>
      <c r="U34" s="37">
        <f t="shared" si="4"/>
        <v>73.595395146235219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90.6</v>
      </c>
      <c r="F35" s="20">
        <v>63.6</v>
      </c>
      <c r="G35" s="20">
        <v>53.1</v>
      </c>
      <c r="I35" s="20">
        <f t="shared" si="3"/>
        <v>69.92936870997255</v>
      </c>
      <c r="J35" s="45">
        <f>(I35/'AAU 99-00'!I35)-1</f>
        <v>4.3357702281304089E-2</v>
      </c>
      <c r="K35" s="18"/>
      <c r="M35" s="38">
        <f>323+67</f>
        <v>390</v>
      </c>
      <c r="N35" s="38">
        <f>247+112</f>
        <v>359</v>
      </c>
      <c r="O35" s="38">
        <f>182+162</f>
        <v>344</v>
      </c>
      <c r="P35" s="36">
        <f t="shared" si="0"/>
        <v>35334</v>
      </c>
      <c r="Q35" s="36">
        <f t="shared" si="0"/>
        <v>22832.400000000001</v>
      </c>
      <c r="R35" s="36">
        <f t="shared" si="0"/>
        <v>18266.400000000001</v>
      </c>
      <c r="S35" s="36">
        <f t="shared" si="1"/>
        <v>1093</v>
      </c>
      <c r="T35" s="36">
        <f t="shared" si="2"/>
        <v>76432.800000000003</v>
      </c>
      <c r="U35" s="37">
        <f t="shared" si="4"/>
        <v>69.92936870997255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87.4</v>
      </c>
      <c r="F36" s="20">
        <v>60.6</v>
      </c>
      <c r="G36" s="20">
        <v>53</v>
      </c>
      <c r="I36" s="20">
        <f t="shared" si="3"/>
        <v>70.635817446562683</v>
      </c>
      <c r="J36" s="45">
        <f>(I36/'AAU 99-00'!I36)-1</f>
        <v>1.0294392076123815E-2</v>
      </c>
      <c r="K36" s="18"/>
      <c r="M36" s="38">
        <f>691+80</f>
        <v>771</v>
      </c>
      <c r="N36" s="38">
        <f>381+146</f>
        <v>527</v>
      </c>
      <c r="O36" s="38">
        <f>277+156</f>
        <v>433</v>
      </c>
      <c r="P36" s="36">
        <f t="shared" si="0"/>
        <v>67385.400000000009</v>
      </c>
      <c r="Q36" s="36">
        <f t="shared" si="0"/>
        <v>31936.2</v>
      </c>
      <c r="R36" s="36">
        <f t="shared" si="0"/>
        <v>22949</v>
      </c>
      <c r="S36" s="36">
        <f t="shared" si="1"/>
        <v>1731</v>
      </c>
      <c r="T36" s="36">
        <f t="shared" si="2"/>
        <v>122270.6</v>
      </c>
      <c r="U36" s="37">
        <f t="shared" si="4"/>
        <v>70.635817446562683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102.4</v>
      </c>
      <c r="F37" s="20">
        <v>72.8</v>
      </c>
      <c r="G37" s="20">
        <v>55.3</v>
      </c>
      <c r="I37" s="20">
        <f t="shared" si="3"/>
        <v>83.283815480844424</v>
      </c>
      <c r="J37" s="45">
        <f>(I37/'AAU 99-00'!I37)-1</f>
        <v>3.2168542309026771E-2</v>
      </c>
      <c r="K37" s="18"/>
      <c r="M37" s="38">
        <f>517+111</f>
        <v>628</v>
      </c>
      <c r="N37" s="38">
        <f>234+121</f>
        <v>355</v>
      </c>
      <c r="O37" s="38">
        <f>174+122</f>
        <v>296</v>
      </c>
      <c r="P37" s="36">
        <f t="shared" si="0"/>
        <v>64307.200000000004</v>
      </c>
      <c r="Q37" s="36">
        <f t="shared" si="0"/>
        <v>25844</v>
      </c>
      <c r="R37" s="36">
        <f t="shared" si="0"/>
        <v>16368.8</v>
      </c>
      <c r="S37" s="36">
        <f t="shared" si="1"/>
        <v>1279</v>
      </c>
      <c r="T37" s="36">
        <f t="shared" si="2"/>
        <v>106520.00000000001</v>
      </c>
      <c r="U37" s="37">
        <f t="shared" si="4"/>
        <v>83.283815480844424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94.5</v>
      </c>
      <c r="F38" s="20">
        <v>67.400000000000006</v>
      </c>
      <c r="G38" s="20">
        <v>54.5</v>
      </c>
      <c r="I38" s="20">
        <f t="shared" si="3"/>
        <v>75.971967654986514</v>
      </c>
      <c r="J38" s="45">
        <f>(I38/'AAU 99-00'!I38)-1</f>
        <v>8.5212296504737717E-2</v>
      </c>
      <c r="K38" s="18"/>
      <c r="M38" s="38">
        <f>289+39</f>
        <v>328</v>
      </c>
      <c r="N38" s="38">
        <f>151+67</f>
        <v>218</v>
      </c>
      <c r="O38" s="38">
        <f>119+77</f>
        <v>196</v>
      </c>
      <c r="P38" s="36">
        <f t="shared" si="0"/>
        <v>30996</v>
      </c>
      <c r="Q38" s="36">
        <f t="shared" si="0"/>
        <v>14693.2</v>
      </c>
      <c r="R38" s="36">
        <f t="shared" si="0"/>
        <v>10682</v>
      </c>
      <c r="S38" s="36">
        <f t="shared" si="1"/>
        <v>742</v>
      </c>
      <c r="T38" s="36">
        <f t="shared" si="2"/>
        <v>56371.199999999997</v>
      </c>
      <c r="U38" s="37">
        <f t="shared" si="4"/>
        <v>75.971967654986514</v>
      </c>
    </row>
    <row r="39" spans="1:21" ht="13.5" hidden="1" customHeight="1" x14ac:dyDescent="0.3">
      <c r="A39" s="19"/>
      <c r="B39" s="49"/>
      <c r="C39" s="31">
        <v>29</v>
      </c>
      <c r="D39" s="1" t="s">
        <v>47</v>
      </c>
      <c r="E39" s="20">
        <v>93.8</v>
      </c>
      <c r="F39" s="20">
        <v>67.3</v>
      </c>
      <c r="G39" s="20">
        <v>55.6</v>
      </c>
      <c r="I39" s="20">
        <f t="shared" si="3"/>
        <v>77.898646362098134</v>
      </c>
      <c r="K39" s="18"/>
      <c r="M39" s="38">
        <f>254+38</f>
        <v>292</v>
      </c>
      <c r="N39" s="38">
        <f>123+50</f>
        <v>173</v>
      </c>
      <c r="O39" s="38">
        <f>103+23</f>
        <v>126</v>
      </c>
      <c r="P39" s="36">
        <f t="shared" si="0"/>
        <v>27389.599999999999</v>
      </c>
      <c r="Q39" s="36">
        <f t="shared" si="0"/>
        <v>11642.9</v>
      </c>
      <c r="R39" s="36">
        <f t="shared" si="0"/>
        <v>7005.6</v>
      </c>
      <c r="S39" s="36">
        <f t="shared" si="1"/>
        <v>591</v>
      </c>
      <c r="T39" s="36">
        <f t="shared" si="2"/>
        <v>46038.1</v>
      </c>
      <c r="U39" s="37">
        <f t="shared" si="4"/>
        <v>77.898646362098134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94.1</v>
      </c>
      <c r="F40" s="20">
        <v>60.8</v>
      </c>
      <c r="G40" s="20">
        <v>57.3</v>
      </c>
      <c r="I40" s="20">
        <f t="shared" si="3"/>
        <v>78.630705394190869</v>
      </c>
      <c r="J40" s="45">
        <f>(I40/'AAU 99-00'!I39)-1</f>
        <v>5.5703957836819251E-2</v>
      </c>
      <c r="K40" s="18"/>
      <c r="M40" s="38">
        <f>815+123</f>
        <v>938</v>
      </c>
      <c r="N40" s="38">
        <f>266+153</f>
        <v>419</v>
      </c>
      <c r="O40" s="38">
        <f>193+137</f>
        <v>330</v>
      </c>
      <c r="P40" s="36">
        <f t="shared" si="0"/>
        <v>88265.799999999988</v>
      </c>
      <c r="Q40" s="36">
        <f t="shared" si="0"/>
        <v>25475.199999999997</v>
      </c>
      <c r="R40" s="36">
        <f t="shared" si="0"/>
        <v>18909</v>
      </c>
      <c r="S40" s="36">
        <f t="shared" si="1"/>
        <v>1687</v>
      </c>
      <c r="T40" s="36">
        <f t="shared" si="2"/>
        <v>132650</v>
      </c>
      <c r="U40" s="37">
        <f t="shared" si="4"/>
        <v>78.630705394190869</v>
      </c>
    </row>
    <row r="41" spans="1:21" ht="13.5" hidden="1" customHeight="1" x14ac:dyDescent="0.3">
      <c r="A41" s="19"/>
      <c r="B41" s="49"/>
      <c r="C41" s="31">
        <v>31</v>
      </c>
      <c r="D41" s="1" t="s">
        <v>37</v>
      </c>
      <c r="E41" s="20">
        <v>85</v>
      </c>
      <c r="F41" s="20">
        <v>61.1</v>
      </c>
      <c r="G41" s="20">
        <v>56.7</v>
      </c>
      <c r="I41" s="20">
        <f t="shared" si="3"/>
        <v>72.15293265749456</v>
      </c>
      <c r="K41" s="18"/>
      <c r="M41" s="38">
        <f>650+45</f>
        <v>695</v>
      </c>
      <c r="N41" s="38">
        <f>281+99</f>
        <v>380</v>
      </c>
      <c r="O41" s="38">
        <f>204+102</f>
        <v>306</v>
      </c>
      <c r="P41" s="36">
        <f t="shared" si="0"/>
        <v>59075</v>
      </c>
      <c r="Q41" s="36">
        <f t="shared" si="0"/>
        <v>23218</v>
      </c>
      <c r="R41" s="36">
        <f t="shared" si="0"/>
        <v>17350.2</v>
      </c>
      <c r="S41" s="36">
        <f t="shared" si="1"/>
        <v>1381</v>
      </c>
      <c r="T41" s="36">
        <f t="shared" si="2"/>
        <v>99643.199999999997</v>
      </c>
      <c r="U41" s="37">
        <f t="shared" si="4"/>
        <v>72.15293265749456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106.2</v>
      </c>
      <c r="F42" s="20">
        <v>71.400000000000006</v>
      </c>
      <c r="G42" s="20">
        <v>56.6</v>
      </c>
      <c r="I42" s="20">
        <f t="shared" si="3"/>
        <v>85.682056663168936</v>
      </c>
      <c r="J42" s="45">
        <f>(I42/'AAU 99-00'!I40)-1</f>
        <v>5.1573291224166651E-2</v>
      </c>
      <c r="K42" s="18"/>
      <c r="M42" s="38">
        <f>423+57</f>
        <v>480</v>
      </c>
      <c r="N42" s="38">
        <f>182+82</f>
        <v>264</v>
      </c>
      <c r="O42" s="38">
        <f>114+95</f>
        <v>209</v>
      </c>
      <c r="P42" s="36">
        <f t="shared" si="0"/>
        <v>50976</v>
      </c>
      <c r="Q42" s="36">
        <f t="shared" si="0"/>
        <v>18849.600000000002</v>
      </c>
      <c r="R42" s="36">
        <f t="shared" si="0"/>
        <v>11829.4</v>
      </c>
      <c r="S42" s="36">
        <f t="shared" si="1"/>
        <v>953</v>
      </c>
      <c r="T42" s="36">
        <f t="shared" si="2"/>
        <v>81655</v>
      </c>
      <c r="U42" s="37">
        <f t="shared" si="4"/>
        <v>85.682056663168936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85.5</v>
      </c>
      <c r="F43" s="20">
        <v>62.6</v>
      </c>
      <c r="G43" s="20">
        <v>53.6</v>
      </c>
      <c r="I43" s="20">
        <f t="shared" si="3"/>
        <v>73.223325062034746</v>
      </c>
      <c r="J43" s="45">
        <f>(I43/'AAU 99-00'!I41)-1</f>
        <v>6.9793167596898353E-2</v>
      </c>
      <c r="K43" s="18"/>
      <c r="M43" s="38">
        <f>714+158</f>
        <v>872</v>
      </c>
      <c r="N43" s="38">
        <f>268+156</f>
        <v>424</v>
      </c>
      <c r="O43" s="38">
        <f>178+138</f>
        <v>316</v>
      </c>
      <c r="P43" s="36">
        <f t="shared" si="0"/>
        <v>74556</v>
      </c>
      <c r="Q43" s="36">
        <f t="shared" si="0"/>
        <v>26542.400000000001</v>
      </c>
      <c r="R43" s="36">
        <f t="shared" si="0"/>
        <v>16937.600000000002</v>
      </c>
      <c r="S43" s="36">
        <f t="shared" si="1"/>
        <v>1612</v>
      </c>
      <c r="T43" s="36">
        <f t="shared" si="2"/>
        <v>118036</v>
      </c>
      <c r="U43" s="37">
        <f t="shared" si="4"/>
        <v>73.223325062034746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90.4</v>
      </c>
      <c r="F44" s="20">
        <v>68</v>
      </c>
      <c r="G44" s="20">
        <v>59.8</v>
      </c>
      <c r="I44" s="20">
        <f t="shared" si="3"/>
        <v>80.341902687000726</v>
      </c>
      <c r="J44" s="45">
        <f>(I44/'AAU 99-00'!I42)-1</f>
        <v>6.8480589681128246E-2</v>
      </c>
      <c r="K44" s="18"/>
      <c r="M44" s="38">
        <f>681+178</f>
        <v>859</v>
      </c>
      <c r="N44" s="38">
        <f>151+93</f>
        <v>244</v>
      </c>
      <c r="O44" s="38">
        <f>165+109</f>
        <v>274</v>
      </c>
      <c r="P44" s="36">
        <f t="shared" si="0"/>
        <v>77653.600000000006</v>
      </c>
      <c r="Q44" s="36">
        <f t="shared" si="0"/>
        <v>16592</v>
      </c>
      <c r="R44" s="36">
        <f t="shared" si="0"/>
        <v>16385.2</v>
      </c>
      <c r="S44" s="36">
        <f t="shared" si="1"/>
        <v>1377</v>
      </c>
      <c r="T44" s="36">
        <f t="shared" si="2"/>
        <v>110630.8</v>
      </c>
      <c r="U44" s="37">
        <f t="shared" si="4"/>
        <v>80.341902687000726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93.788363177334162</v>
      </c>
      <c r="F46" s="41">
        <f t="shared" ref="F46" si="5">Q46/N46</f>
        <v>64.55613554680815</v>
      </c>
      <c r="G46" s="41">
        <f>R46/O46</f>
        <v>55.208236010967809</v>
      </c>
      <c r="H46" s="40"/>
      <c r="I46" s="41">
        <f t="shared" si="3"/>
        <v>76.97865430315457</v>
      </c>
      <c r="J46" s="46">
        <f>(I46/'AAU 99-00'!I44)-1</f>
        <v>4.5784193259561956E-2</v>
      </c>
      <c r="K46" s="18"/>
      <c r="M46" s="39">
        <f t="shared" ref="M46:R46" si="6">SUM(M11:M44)</f>
        <v>21389</v>
      </c>
      <c r="N46" s="39">
        <f t="shared" si="6"/>
        <v>11686</v>
      </c>
      <c r="O46" s="39">
        <f t="shared" si="6"/>
        <v>9847</v>
      </c>
      <c r="P46" s="39">
        <f t="shared" si="6"/>
        <v>2006039.3000000003</v>
      </c>
      <c r="Q46" s="39">
        <f t="shared" si="6"/>
        <v>754403</v>
      </c>
      <c r="R46" s="39">
        <f t="shared" si="6"/>
        <v>543635.5</v>
      </c>
      <c r="S46" s="36">
        <f>M46+N46+O46</f>
        <v>42922</v>
      </c>
      <c r="T46" s="36">
        <f>P46+Q46+R46</f>
        <v>3304077.8000000003</v>
      </c>
      <c r="U46" s="37">
        <f>T46/S46</f>
        <v>76.97865430315457</v>
      </c>
    </row>
    <row r="47" spans="1:21" ht="13.5" customHeight="1" x14ac:dyDescent="0.3">
      <c r="A47" s="19"/>
      <c r="D47" s="44" t="s">
        <v>55</v>
      </c>
      <c r="E47" s="41">
        <f>MEDIAN(E11:E44)</f>
        <v>93.699999999999989</v>
      </c>
      <c r="F47" s="41">
        <f t="shared" ref="F47" si="7">MEDIAN(F11:F44)</f>
        <v>63.849999999999994</v>
      </c>
      <c r="G47" s="41">
        <f>MEDIAN(G11:G44)</f>
        <v>54.95</v>
      </c>
      <c r="H47" s="40"/>
      <c r="I47" s="41">
        <f>MEDIAN(I11:I44)</f>
        <v>75.182714429062571</v>
      </c>
      <c r="J47" s="46">
        <f>(I47/'AAU 99-00'!I45)-1</f>
        <v>5.9909582106445924E-2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58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87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U5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89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81.900000000000006</v>
      </c>
      <c r="F11" s="20">
        <v>57.2</v>
      </c>
      <c r="G11" s="20">
        <v>49.8</v>
      </c>
      <c r="I11" s="20">
        <f>U11</f>
        <v>68.347519379844968</v>
      </c>
      <c r="J11" s="45">
        <f>(I11/'AAU 98-99'!I11)-1</f>
        <v>4.7159611657942024E-2</v>
      </c>
      <c r="K11" s="18"/>
      <c r="M11" s="38">
        <f>546+109</f>
        <v>655</v>
      </c>
      <c r="N11" s="38">
        <f>249+143</f>
        <v>392</v>
      </c>
      <c r="O11" s="38">
        <f>147+96</f>
        <v>243</v>
      </c>
      <c r="P11" s="36">
        <f t="shared" ref="P11:R42" si="0">E11*M11</f>
        <v>53644.500000000007</v>
      </c>
      <c r="Q11" s="36">
        <f t="shared" si="0"/>
        <v>22422.400000000001</v>
      </c>
      <c r="R11" s="36">
        <f t="shared" si="0"/>
        <v>12101.4</v>
      </c>
      <c r="S11" s="36">
        <f t="shared" ref="S11:S42" si="1">M11+N11+O11</f>
        <v>1290</v>
      </c>
      <c r="T11" s="36">
        <f t="shared" ref="T11:T42" si="2">P11+Q11+R11</f>
        <v>88168.3</v>
      </c>
      <c r="U11" s="37">
        <f>T11/S11</f>
        <v>68.347519379844968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108.7</v>
      </c>
      <c r="F12" s="20">
        <v>69.599999999999994</v>
      </c>
      <c r="G12" s="20">
        <v>60.1</v>
      </c>
      <c r="I12" s="20">
        <f t="shared" ref="I12:I44" si="3">U12</f>
        <v>93.775862068965523</v>
      </c>
      <c r="J12" s="45">
        <f>(I12/'AAU 98-99'!I12)-1</f>
        <v>4.4469221366955969E-2</v>
      </c>
      <c r="K12" s="18"/>
      <c r="M12" s="38">
        <f>722+133</f>
        <v>855</v>
      </c>
      <c r="N12" s="38">
        <f>150+102</f>
        <v>252</v>
      </c>
      <c r="O12" s="38">
        <f>131+67</f>
        <v>198</v>
      </c>
      <c r="P12" s="36">
        <f t="shared" si="0"/>
        <v>92938.5</v>
      </c>
      <c r="Q12" s="36">
        <f t="shared" si="0"/>
        <v>17539.199999999997</v>
      </c>
      <c r="R12" s="36">
        <f t="shared" si="0"/>
        <v>11899.800000000001</v>
      </c>
      <c r="S12" s="36">
        <f t="shared" si="1"/>
        <v>1305</v>
      </c>
      <c r="T12" s="36">
        <f t="shared" si="2"/>
        <v>122377.5</v>
      </c>
      <c r="U12" s="37">
        <f t="shared" ref="U12:U42" si="4">T12/S12</f>
        <v>93.775862068965523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91.3</v>
      </c>
      <c r="F13" s="20">
        <v>64.2</v>
      </c>
      <c r="G13" s="20">
        <v>53.9</v>
      </c>
      <c r="I13" s="20">
        <f t="shared" si="3"/>
        <v>80.154110738255028</v>
      </c>
      <c r="J13" s="45">
        <f>(I13/'AAU 98-99'!I13)-1</f>
        <v>4.4092347473108529E-2</v>
      </c>
      <c r="K13" s="18"/>
      <c r="M13" s="38">
        <f>638+139</f>
        <v>777</v>
      </c>
      <c r="N13" s="38">
        <f>136+81</f>
        <v>217</v>
      </c>
      <c r="O13" s="38">
        <f>132+66</f>
        <v>198</v>
      </c>
      <c r="P13" s="36">
        <f t="shared" si="0"/>
        <v>70940.099999999991</v>
      </c>
      <c r="Q13" s="36">
        <f t="shared" si="0"/>
        <v>13931.400000000001</v>
      </c>
      <c r="R13" s="36">
        <f t="shared" si="0"/>
        <v>10672.199999999999</v>
      </c>
      <c r="S13" s="36">
        <f t="shared" si="1"/>
        <v>1192</v>
      </c>
      <c r="T13" s="36">
        <f t="shared" si="2"/>
        <v>95543.7</v>
      </c>
      <c r="U13" s="37">
        <f t="shared" si="4"/>
        <v>80.154110738255028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96.8</v>
      </c>
      <c r="F14" s="20">
        <v>66.599999999999994</v>
      </c>
      <c r="G14" s="20">
        <v>56.8</v>
      </c>
      <c r="I14" s="20">
        <f t="shared" si="3"/>
        <v>80.614684287812025</v>
      </c>
      <c r="J14" s="45">
        <f>(I14/'AAU 98-99'!I14)-1</f>
        <v>4.4580060370776664E-2</v>
      </c>
      <c r="K14" s="18"/>
      <c r="M14" s="38">
        <f>308+58</f>
        <v>366</v>
      </c>
      <c r="N14" s="38">
        <f>97+64</f>
        <v>161</v>
      </c>
      <c r="O14" s="38">
        <f>107+47</f>
        <v>154</v>
      </c>
      <c r="P14" s="36">
        <f t="shared" si="0"/>
        <v>35428.799999999996</v>
      </c>
      <c r="Q14" s="36">
        <f t="shared" si="0"/>
        <v>10722.599999999999</v>
      </c>
      <c r="R14" s="36">
        <f t="shared" si="0"/>
        <v>8747.1999999999989</v>
      </c>
      <c r="S14" s="36">
        <f t="shared" si="1"/>
        <v>681</v>
      </c>
      <c r="T14" s="36">
        <f t="shared" si="2"/>
        <v>54898.599999999991</v>
      </c>
      <c r="U14" s="37">
        <f t="shared" si="4"/>
        <v>80.614684287812025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106.1</v>
      </c>
      <c r="F15" s="20">
        <v>67.400000000000006</v>
      </c>
      <c r="G15" s="20">
        <v>58.3</v>
      </c>
      <c r="I15" s="20">
        <f t="shared" si="3"/>
        <v>88.508509277031337</v>
      </c>
      <c r="J15" s="45">
        <f>(I15/'AAU 98-99'!I15)-1</f>
        <v>5.2806119717600852E-2</v>
      </c>
      <c r="K15" s="18"/>
      <c r="M15" s="38">
        <f>749+183</f>
        <v>932</v>
      </c>
      <c r="N15" s="38">
        <f>189+104</f>
        <v>293</v>
      </c>
      <c r="O15" s="38">
        <f>217+121</f>
        <v>338</v>
      </c>
      <c r="P15" s="36">
        <f t="shared" si="0"/>
        <v>98885.2</v>
      </c>
      <c r="Q15" s="36">
        <f t="shared" si="0"/>
        <v>19748.2</v>
      </c>
      <c r="R15" s="36">
        <f t="shared" si="0"/>
        <v>19705.399999999998</v>
      </c>
      <c r="S15" s="36">
        <f t="shared" si="1"/>
        <v>1563</v>
      </c>
      <c r="T15" s="36">
        <f t="shared" si="2"/>
        <v>138338.79999999999</v>
      </c>
      <c r="U15" s="37">
        <f t="shared" si="4"/>
        <v>88.508509277031337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99.7</v>
      </c>
      <c r="F16" s="20">
        <v>65</v>
      </c>
      <c r="G16" s="20">
        <v>55.6</v>
      </c>
      <c r="I16" s="20">
        <f t="shared" si="3"/>
        <v>85.905617977528095</v>
      </c>
      <c r="J16" s="45">
        <f>(I16/'AAU 98-99'!I16)-1</f>
        <v>3.3443482018164383E-2</v>
      </c>
      <c r="K16" s="18"/>
      <c r="M16" s="38">
        <f>440+74</f>
        <v>514</v>
      </c>
      <c r="N16" s="38">
        <f>124+47</f>
        <v>171</v>
      </c>
      <c r="O16" s="38">
        <f>80+36</f>
        <v>116</v>
      </c>
      <c r="P16" s="36">
        <f t="shared" si="0"/>
        <v>51245.8</v>
      </c>
      <c r="Q16" s="36">
        <f t="shared" si="0"/>
        <v>11115</v>
      </c>
      <c r="R16" s="36">
        <f t="shared" si="0"/>
        <v>6449.6</v>
      </c>
      <c r="S16" s="36">
        <f t="shared" si="1"/>
        <v>801</v>
      </c>
      <c r="T16" s="36">
        <f t="shared" si="2"/>
        <v>68810.400000000009</v>
      </c>
      <c r="U16" s="37">
        <f t="shared" si="4"/>
        <v>85.905617977528095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96.7</v>
      </c>
      <c r="F17" s="20">
        <v>63.4</v>
      </c>
      <c r="G17" s="20">
        <v>53.2</v>
      </c>
      <c r="I17" s="20">
        <f t="shared" si="3"/>
        <v>81.836403508771923</v>
      </c>
      <c r="J17" s="45">
        <f>(I17/'AAU 98-99'!I17)-1</f>
        <v>3.4598009172409405E-2</v>
      </c>
      <c r="K17" s="18"/>
      <c r="M17" s="38">
        <f>344+69</f>
        <v>413</v>
      </c>
      <c r="N17" s="38">
        <f>106+53</f>
        <v>159</v>
      </c>
      <c r="O17" s="38">
        <f>65+47</f>
        <v>112</v>
      </c>
      <c r="P17" s="36">
        <f t="shared" si="0"/>
        <v>39937.1</v>
      </c>
      <c r="Q17" s="36">
        <f t="shared" si="0"/>
        <v>10080.6</v>
      </c>
      <c r="R17" s="36">
        <f t="shared" si="0"/>
        <v>5958.4000000000005</v>
      </c>
      <c r="S17" s="36">
        <f t="shared" si="1"/>
        <v>684</v>
      </c>
      <c r="T17" s="36">
        <f t="shared" si="2"/>
        <v>55976.1</v>
      </c>
      <c r="U17" s="37">
        <f t="shared" si="4"/>
        <v>81.836403508771923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82.6</v>
      </c>
      <c r="F18" s="20">
        <v>59.4</v>
      </c>
      <c r="G18" s="20">
        <v>50.2</v>
      </c>
      <c r="I18" s="20">
        <f t="shared" si="3"/>
        <v>68.559028511087647</v>
      </c>
      <c r="J18" s="45">
        <f>(I18/'AAU 98-99'!I18)-1</f>
        <v>4.2469282345101389E-2</v>
      </c>
      <c r="K18" s="18"/>
      <c r="M18" s="38">
        <f>387+63</f>
        <v>450</v>
      </c>
      <c r="N18" s="38">
        <f>205+100</f>
        <v>305</v>
      </c>
      <c r="O18" s="38">
        <f>115+77</f>
        <v>192</v>
      </c>
      <c r="P18" s="36">
        <f t="shared" si="0"/>
        <v>37170</v>
      </c>
      <c r="Q18" s="36">
        <f t="shared" si="0"/>
        <v>18117</v>
      </c>
      <c r="R18" s="36">
        <f t="shared" si="0"/>
        <v>9638.4000000000015</v>
      </c>
      <c r="S18" s="36">
        <f t="shared" si="1"/>
        <v>947</v>
      </c>
      <c r="T18" s="36">
        <f t="shared" si="2"/>
        <v>64925.4</v>
      </c>
      <c r="U18" s="37">
        <f t="shared" si="4"/>
        <v>68.559028511087647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76.900000000000006</v>
      </c>
      <c r="F19" s="20">
        <v>56.9</v>
      </c>
      <c r="G19" s="20">
        <v>49.9</v>
      </c>
      <c r="I19" s="20">
        <f t="shared" si="3"/>
        <v>64.247485303723067</v>
      </c>
      <c r="J19" s="45">
        <f>(I19/'AAU 98-99'!I19)-1</f>
        <v>2.8148389720504596E-2</v>
      </c>
      <c r="K19" s="18"/>
      <c r="M19" s="38">
        <f>621+79</f>
        <v>700</v>
      </c>
      <c r="N19" s="38">
        <f>323+115</f>
        <v>438</v>
      </c>
      <c r="O19" s="38">
        <f>226+167</f>
        <v>393</v>
      </c>
      <c r="P19" s="36">
        <f t="shared" si="0"/>
        <v>53830.000000000007</v>
      </c>
      <c r="Q19" s="36">
        <f t="shared" si="0"/>
        <v>24922.2</v>
      </c>
      <c r="R19" s="36">
        <f t="shared" si="0"/>
        <v>19610.7</v>
      </c>
      <c r="S19" s="36">
        <f t="shared" si="1"/>
        <v>1531</v>
      </c>
      <c r="T19" s="36">
        <f t="shared" si="2"/>
        <v>98362.900000000009</v>
      </c>
      <c r="U19" s="37">
        <f t="shared" si="4"/>
        <v>64.247485303723067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91.6</v>
      </c>
      <c r="F20" s="20">
        <v>63.4</v>
      </c>
      <c r="G20" s="20">
        <v>54.1</v>
      </c>
      <c r="I20" s="20">
        <f t="shared" si="3"/>
        <v>75.200290697674419</v>
      </c>
      <c r="J20" s="45">
        <f>(I20/'AAU 98-99'!I20)-1</f>
        <v>4.3230391687347991E-2</v>
      </c>
      <c r="K20" s="18"/>
      <c r="M20" s="38">
        <f>752+98</f>
        <v>850</v>
      </c>
      <c r="N20" s="38">
        <f>342+133</f>
        <v>475</v>
      </c>
      <c r="O20" s="38">
        <f>254+141</f>
        <v>395</v>
      </c>
      <c r="P20" s="36">
        <f t="shared" si="0"/>
        <v>77860</v>
      </c>
      <c r="Q20" s="36">
        <f t="shared" si="0"/>
        <v>30115</v>
      </c>
      <c r="R20" s="36">
        <f t="shared" si="0"/>
        <v>21369.5</v>
      </c>
      <c r="S20" s="36">
        <f t="shared" si="1"/>
        <v>1720</v>
      </c>
      <c r="T20" s="36">
        <f t="shared" si="2"/>
        <v>129344.5</v>
      </c>
      <c r="U20" s="37">
        <f t="shared" si="4"/>
        <v>75.200290697674419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85</v>
      </c>
      <c r="F21" s="20">
        <v>58.8</v>
      </c>
      <c r="G21" s="20">
        <v>48.4</v>
      </c>
      <c r="I21" s="20">
        <f t="shared" si="3"/>
        <v>69.035656401944891</v>
      </c>
      <c r="J21" s="45">
        <f>(I21/'AAU 98-99'!I21)-1</f>
        <v>5.5629386107603152E-2</v>
      </c>
      <c r="K21" s="18"/>
      <c r="M21" s="38">
        <f>481+117</f>
        <v>598</v>
      </c>
      <c r="N21" s="38">
        <f>237+107</f>
        <v>344</v>
      </c>
      <c r="O21" s="38">
        <f>180+112</f>
        <v>292</v>
      </c>
      <c r="P21" s="36">
        <f t="shared" si="0"/>
        <v>50830</v>
      </c>
      <c r="Q21" s="36">
        <f t="shared" si="0"/>
        <v>20227.2</v>
      </c>
      <c r="R21" s="36">
        <f t="shared" si="0"/>
        <v>14132.8</v>
      </c>
      <c r="S21" s="36">
        <f t="shared" si="1"/>
        <v>1234</v>
      </c>
      <c r="T21" s="36">
        <f t="shared" si="2"/>
        <v>85190</v>
      </c>
      <c r="U21" s="37">
        <f t="shared" si="4"/>
        <v>69.035656401944891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89.6</v>
      </c>
      <c r="F22" s="20">
        <v>60.8</v>
      </c>
      <c r="G22" s="20">
        <v>52.7</v>
      </c>
      <c r="I22" s="20">
        <f t="shared" si="3"/>
        <v>71.439541041482769</v>
      </c>
      <c r="J22" s="45">
        <f>(I22/'AAU 98-99'!I22)-1</f>
        <v>4.509467903750175E-2</v>
      </c>
      <c r="K22" s="18"/>
      <c r="M22" s="38">
        <f>426+73</f>
        <v>499</v>
      </c>
      <c r="N22" s="38">
        <f>203+145</f>
        <v>348</v>
      </c>
      <c r="O22" s="38">
        <f>158+128</f>
        <v>286</v>
      </c>
      <c r="P22" s="36">
        <f t="shared" si="0"/>
        <v>44710.399999999994</v>
      </c>
      <c r="Q22" s="36">
        <f t="shared" si="0"/>
        <v>21158.399999999998</v>
      </c>
      <c r="R22" s="36">
        <f t="shared" si="0"/>
        <v>15072.2</v>
      </c>
      <c r="S22" s="36">
        <f t="shared" si="1"/>
        <v>1133</v>
      </c>
      <c r="T22" s="36">
        <f t="shared" si="2"/>
        <v>80940.999999999985</v>
      </c>
      <c r="U22" s="37">
        <f t="shared" si="4"/>
        <v>71.439541041482769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83.2</v>
      </c>
      <c r="F23" s="20">
        <v>61.9</v>
      </c>
      <c r="G23" s="20">
        <v>49.9</v>
      </c>
      <c r="I23" s="20">
        <f t="shared" si="3"/>
        <v>67.986307692307705</v>
      </c>
      <c r="J23" s="45">
        <f>(I23/'AAU 98-99'!I23)-1</f>
        <v>3.5516062034045115E-2</v>
      </c>
      <c r="K23" s="18"/>
      <c r="M23" s="38">
        <f>488+66</f>
        <v>554</v>
      </c>
      <c r="N23" s="38">
        <f>307+115</f>
        <v>422</v>
      </c>
      <c r="O23" s="38">
        <f>199+125</f>
        <v>324</v>
      </c>
      <c r="P23" s="36">
        <f t="shared" si="0"/>
        <v>46092.800000000003</v>
      </c>
      <c r="Q23" s="36">
        <f t="shared" si="0"/>
        <v>26121.8</v>
      </c>
      <c r="R23" s="36">
        <f t="shared" si="0"/>
        <v>16167.6</v>
      </c>
      <c r="S23" s="36">
        <f t="shared" si="1"/>
        <v>1300</v>
      </c>
      <c r="T23" s="36">
        <f t="shared" si="2"/>
        <v>88382.200000000012</v>
      </c>
      <c r="U23" s="37">
        <f t="shared" si="4"/>
        <v>67.986307692307705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74.2</v>
      </c>
      <c r="F24" s="20">
        <v>53.6</v>
      </c>
      <c r="G24" s="20">
        <v>46.2</v>
      </c>
      <c r="I24" s="20">
        <f t="shared" si="3"/>
        <v>61.467796610169501</v>
      </c>
      <c r="J24" s="45">
        <f>(I24/'AAU 98-99'!I24)-1</f>
        <v>5.7156400849668998E-2</v>
      </c>
      <c r="K24" s="18"/>
      <c r="M24" s="38">
        <f>370+57</f>
        <v>427</v>
      </c>
      <c r="N24" s="38">
        <f>228+104</f>
        <v>332</v>
      </c>
      <c r="O24" s="38">
        <f>112+73</f>
        <v>185</v>
      </c>
      <c r="P24" s="36">
        <f t="shared" si="0"/>
        <v>31683.4</v>
      </c>
      <c r="Q24" s="36">
        <f t="shared" si="0"/>
        <v>17795.2</v>
      </c>
      <c r="R24" s="36">
        <f t="shared" si="0"/>
        <v>8547</v>
      </c>
      <c r="S24" s="36">
        <f t="shared" si="1"/>
        <v>944</v>
      </c>
      <c r="T24" s="36">
        <f t="shared" si="2"/>
        <v>58025.600000000006</v>
      </c>
      <c r="U24" s="37">
        <f t="shared" si="4"/>
        <v>61.467796610169501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88.8</v>
      </c>
      <c r="F25" s="20">
        <v>63.5</v>
      </c>
      <c r="G25" s="20">
        <v>57.5</v>
      </c>
      <c r="I25" s="20">
        <f t="shared" si="3"/>
        <v>74.369501718213058</v>
      </c>
      <c r="J25" s="45">
        <f>(I25/'AAU 98-99'!I25)-1</f>
        <v>6.5175028676393909E-2</v>
      </c>
      <c r="K25" s="18"/>
      <c r="M25" s="38">
        <f>456+101</f>
        <v>557</v>
      </c>
      <c r="N25" s="38">
        <f>251+116</f>
        <v>367</v>
      </c>
      <c r="O25" s="38">
        <f>149+91</f>
        <v>240</v>
      </c>
      <c r="P25" s="36">
        <f t="shared" si="0"/>
        <v>49461.599999999999</v>
      </c>
      <c r="Q25" s="36">
        <f t="shared" si="0"/>
        <v>23304.5</v>
      </c>
      <c r="R25" s="36">
        <f t="shared" si="0"/>
        <v>13800</v>
      </c>
      <c r="S25" s="36">
        <f t="shared" si="1"/>
        <v>1164</v>
      </c>
      <c r="T25" s="36">
        <f t="shared" si="2"/>
        <v>86566.1</v>
      </c>
      <c r="U25" s="37">
        <f t="shared" si="4"/>
        <v>74.369501718213058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100.9</v>
      </c>
      <c r="F26" s="20">
        <v>71.8</v>
      </c>
      <c r="G26" s="20">
        <v>57.7</v>
      </c>
      <c r="I26" s="20">
        <f t="shared" si="3"/>
        <v>81.196119733924618</v>
      </c>
      <c r="J26" s="45">
        <f>(I26/'AAU 98-99'!I26)-1</f>
        <v>4.4158537368808704E-2</v>
      </c>
      <c r="K26" s="18"/>
      <c r="M26" s="38">
        <f>700+133</f>
        <v>833</v>
      </c>
      <c r="N26" s="38">
        <f>284+170</f>
        <v>454</v>
      </c>
      <c r="O26" s="38">
        <f>304+213</f>
        <v>517</v>
      </c>
      <c r="P26" s="36">
        <f t="shared" si="0"/>
        <v>84049.700000000012</v>
      </c>
      <c r="Q26" s="36">
        <f t="shared" si="0"/>
        <v>32597.199999999997</v>
      </c>
      <c r="R26" s="36">
        <f t="shared" si="0"/>
        <v>29830.9</v>
      </c>
      <c r="S26" s="36">
        <f t="shared" si="1"/>
        <v>1804</v>
      </c>
      <c r="T26" s="36">
        <f t="shared" si="2"/>
        <v>146477.80000000002</v>
      </c>
      <c r="U26" s="37">
        <f t="shared" si="4"/>
        <v>81.196119733924618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81.5</v>
      </c>
      <c r="F27" s="20">
        <v>60.4</v>
      </c>
      <c r="G27" s="20">
        <v>49.1</v>
      </c>
      <c r="I27" s="20">
        <f t="shared" si="3"/>
        <v>68.629487900956676</v>
      </c>
      <c r="J27" s="45">
        <f>(I27/'AAU 98-99'!I27)-1</f>
        <v>4.2204962524708511E-2</v>
      </c>
      <c r="K27" s="18"/>
      <c r="M27" s="38">
        <f>766+152</f>
        <v>918</v>
      </c>
      <c r="N27" s="38">
        <f>285+154</f>
        <v>439</v>
      </c>
      <c r="O27" s="38">
        <f>252+168</f>
        <v>420</v>
      </c>
      <c r="P27" s="36">
        <f t="shared" si="0"/>
        <v>74817</v>
      </c>
      <c r="Q27" s="36">
        <f t="shared" si="0"/>
        <v>26515.599999999999</v>
      </c>
      <c r="R27" s="36">
        <f t="shared" si="0"/>
        <v>20622</v>
      </c>
      <c r="S27" s="36">
        <f t="shared" si="1"/>
        <v>1777</v>
      </c>
      <c r="T27" s="36">
        <f t="shared" si="2"/>
        <v>121954.6</v>
      </c>
      <c r="U27" s="37">
        <f t="shared" si="4"/>
        <v>68.629487900956676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89.5</v>
      </c>
      <c r="F28" s="20">
        <v>63.9</v>
      </c>
      <c r="G28" s="20">
        <v>53.6</v>
      </c>
      <c r="I28" s="20">
        <f t="shared" si="3"/>
        <v>75.203800967519015</v>
      </c>
      <c r="J28" s="45">
        <f>(I28/'AAU 98-99'!I28)-1</f>
        <v>3.6903294805050724E-2</v>
      </c>
      <c r="K28" s="18"/>
      <c r="M28" s="38">
        <f>619+135</f>
        <v>754</v>
      </c>
      <c r="N28" s="38">
        <f>273+134</f>
        <v>407</v>
      </c>
      <c r="O28" s="38">
        <f>156+130</f>
        <v>286</v>
      </c>
      <c r="P28" s="36">
        <f t="shared" si="0"/>
        <v>67483</v>
      </c>
      <c r="Q28" s="36">
        <f t="shared" si="0"/>
        <v>26007.3</v>
      </c>
      <c r="R28" s="36">
        <f t="shared" si="0"/>
        <v>15329.6</v>
      </c>
      <c r="S28" s="36">
        <f t="shared" si="1"/>
        <v>1447</v>
      </c>
      <c r="T28" s="36">
        <f t="shared" si="2"/>
        <v>108819.90000000001</v>
      </c>
      <c r="U28" s="37">
        <f t="shared" si="4"/>
        <v>75.203800967519015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79</v>
      </c>
      <c r="F29" s="25">
        <v>59.3</v>
      </c>
      <c r="G29" s="25">
        <v>47.7</v>
      </c>
      <c r="H29" s="24"/>
      <c r="I29" s="25">
        <f t="shared" si="3"/>
        <v>63.970675830469638</v>
      </c>
      <c r="J29" s="47">
        <f>(I29/'AAU 98-99'!I29)-1</f>
        <v>1.6719985951312299E-3</v>
      </c>
      <c r="K29" s="18"/>
      <c r="M29" s="38">
        <f>289+54</f>
        <v>343</v>
      </c>
      <c r="N29" s="38">
        <f>219+80</f>
        <v>299</v>
      </c>
      <c r="O29" s="38">
        <f>137+94</f>
        <v>231</v>
      </c>
      <c r="P29" s="36">
        <f t="shared" si="0"/>
        <v>27097</v>
      </c>
      <c r="Q29" s="36">
        <f t="shared" si="0"/>
        <v>17730.7</v>
      </c>
      <c r="R29" s="36">
        <f t="shared" si="0"/>
        <v>11018.7</v>
      </c>
      <c r="S29" s="36">
        <f t="shared" si="1"/>
        <v>873</v>
      </c>
      <c r="T29" s="36">
        <f t="shared" si="2"/>
        <v>55846.399999999994</v>
      </c>
      <c r="U29" s="37">
        <f t="shared" si="4"/>
        <v>63.970675830469638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78.2</v>
      </c>
      <c r="F30" s="20">
        <v>56.6</v>
      </c>
      <c r="G30" s="20">
        <v>48.6</v>
      </c>
      <c r="I30" s="20">
        <f>U30</f>
        <v>64.959763313609471</v>
      </c>
      <c r="J30" s="45">
        <f>(I30/'AAU 98-99'!I30)-1</f>
        <v>5.3457568307959225E-2</v>
      </c>
      <c r="K30" s="18"/>
      <c r="M30" s="38">
        <f>408+60</f>
        <v>468</v>
      </c>
      <c r="N30" s="38">
        <f>260+82</f>
        <v>342</v>
      </c>
      <c r="O30" s="38">
        <f>125+79</f>
        <v>204</v>
      </c>
      <c r="P30" s="36">
        <f t="shared" si="0"/>
        <v>36597.599999999999</v>
      </c>
      <c r="Q30" s="36">
        <f t="shared" si="0"/>
        <v>19357.2</v>
      </c>
      <c r="R30" s="36">
        <f t="shared" si="0"/>
        <v>9914.4</v>
      </c>
      <c r="S30" s="36">
        <f t="shared" si="1"/>
        <v>1014</v>
      </c>
      <c r="T30" s="36">
        <f t="shared" si="2"/>
        <v>65869.2</v>
      </c>
      <c r="U30" s="37">
        <f>T30/S30</f>
        <v>64.959763313609471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93.8</v>
      </c>
      <c r="F31" s="20">
        <v>67.400000000000006</v>
      </c>
      <c r="G31" s="20">
        <v>55.2</v>
      </c>
      <c r="I31" s="20">
        <f t="shared" si="3"/>
        <v>79.538046511627911</v>
      </c>
      <c r="J31" s="45">
        <f>(I31/'AAU 98-99'!I31)-1</f>
        <v>7.3298627750825185E-2</v>
      </c>
      <c r="K31" s="18"/>
      <c r="M31" s="38">
        <f>473+122</f>
        <v>595</v>
      </c>
      <c r="N31" s="38">
        <f>170+92</f>
        <v>262</v>
      </c>
      <c r="O31" s="38">
        <f>118+100</f>
        <v>218</v>
      </c>
      <c r="P31" s="36">
        <f t="shared" si="0"/>
        <v>55811</v>
      </c>
      <c r="Q31" s="36">
        <f t="shared" si="0"/>
        <v>17658.800000000003</v>
      </c>
      <c r="R31" s="36">
        <f t="shared" si="0"/>
        <v>12033.6</v>
      </c>
      <c r="S31" s="36">
        <f t="shared" si="1"/>
        <v>1075</v>
      </c>
      <c r="T31" s="36">
        <f t="shared" si="2"/>
        <v>85503.400000000009</v>
      </c>
      <c r="U31" s="37">
        <f t="shared" si="4"/>
        <v>79.538046511627911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88.8</v>
      </c>
      <c r="F32" s="20">
        <v>61.1</v>
      </c>
      <c r="G32" s="20">
        <v>51</v>
      </c>
      <c r="I32" s="20">
        <f t="shared" si="3"/>
        <v>70.354456892352658</v>
      </c>
      <c r="J32" s="45">
        <f>(I32/'AAU 98-99'!I32)-1</f>
        <v>5.2071742174350399E-2</v>
      </c>
      <c r="K32" s="18"/>
      <c r="M32" s="38">
        <f>745+113</f>
        <v>858</v>
      </c>
      <c r="N32" s="38">
        <f>497+226</f>
        <v>723</v>
      </c>
      <c r="O32" s="38">
        <f>287+185</f>
        <v>472</v>
      </c>
      <c r="P32" s="36">
        <f t="shared" si="0"/>
        <v>76190.399999999994</v>
      </c>
      <c r="Q32" s="36">
        <f t="shared" si="0"/>
        <v>44175.3</v>
      </c>
      <c r="R32" s="36">
        <f t="shared" si="0"/>
        <v>24072</v>
      </c>
      <c r="S32" s="36">
        <f t="shared" si="1"/>
        <v>2053</v>
      </c>
      <c r="T32" s="36">
        <f t="shared" si="2"/>
        <v>144437.70000000001</v>
      </c>
      <c r="U32" s="37">
        <f t="shared" si="4"/>
        <v>70.354456892352658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71.5</v>
      </c>
      <c r="F33" s="20">
        <v>51.8</v>
      </c>
      <c r="G33" s="20">
        <v>44.6</v>
      </c>
      <c r="I33" s="20">
        <f t="shared" si="3"/>
        <v>57.41240601503759</v>
      </c>
      <c r="J33" s="45">
        <f>(I33/'AAU 98-99'!I33)-1</f>
        <v>3.722710293726661E-2</v>
      </c>
      <c r="K33" s="18"/>
      <c r="M33" s="38">
        <f>161+41</f>
        <v>202</v>
      </c>
      <c r="N33" s="38">
        <f>126+66</f>
        <v>192</v>
      </c>
      <c r="O33" s="38">
        <f>78+60</f>
        <v>138</v>
      </c>
      <c r="P33" s="36">
        <f t="shared" si="0"/>
        <v>14443</v>
      </c>
      <c r="Q33" s="36">
        <f t="shared" si="0"/>
        <v>9945.5999999999985</v>
      </c>
      <c r="R33" s="36">
        <f t="shared" si="0"/>
        <v>6154.8</v>
      </c>
      <c r="S33" s="36">
        <f t="shared" si="1"/>
        <v>532</v>
      </c>
      <c r="T33" s="36">
        <f t="shared" si="2"/>
        <v>30543.399999999998</v>
      </c>
      <c r="U33" s="37">
        <f t="shared" si="4"/>
        <v>57.41240601503759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89.9</v>
      </c>
      <c r="F34" s="20">
        <v>60.4</v>
      </c>
      <c r="G34" s="20">
        <v>50.2</v>
      </c>
      <c r="I34" s="20">
        <f t="shared" si="3"/>
        <v>70.426738305941853</v>
      </c>
      <c r="J34" s="45">
        <f>(I34/'AAU 98-99'!I34)-1</f>
        <v>4.8678469555175408E-2</v>
      </c>
      <c r="K34" s="18"/>
      <c r="M34" s="38">
        <f>608+77</f>
        <v>685</v>
      </c>
      <c r="N34" s="38">
        <f>340+131</f>
        <v>471</v>
      </c>
      <c r="O34" s="38">
        <f>255+171</f>
        <v>426</v>
      </c>
      <c r="P34" s="36">
        <f t="shared" si="0"/>
        <v>61581.500000000007</v>
      </c>
      <c r="Q34" s="36">
        <f t="shared" si="0"/>
        <v>28448.399999999998</v>
      </c>
      <c r="R34" s="36">
        <f t="shared" si="0"/>
        <v>21385.200000000001</v>
      </c>
      <c r="S34" s="36">
        <f t="shared" si="1"/>
        <v>1582</v>
      </c>
      <c r="T34" s="36">
        <f t="shared" si="2"/>
        <v>111415.1</v>
      </c>
      <c r="U34" s="37">
        <f t="shared" si="4"/>
        <v>70.426738305941853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85.9</v>
      </c>
      <c r="F35" s="20">
        <v>60.6</v>
      </c>
      <c r="G35" s="20">
        <v>50.8</v>
      </c>
      <c r="I35" s="20">
        <f t="shared" si="3"/>
        <v>67.023388581952119</v>
      </c>
      <c r="J35" s="45">
        <f>(I35/'AAU 98-99'!I35)-1</f>
        <v>3.3025697653449315E-2</v>
      </c>
      <c r="K35" s="18"/>
      <c r="M35" s="38">
        <f>331+71</f>
        <v>402</v>
      </c>
      <c r="N35" s="38">
        <f>252+106</f>
        <v>358</v>
      </c>
      <c r="O35" s="38">
        <f>166+160</f>
        <v>326</v>
      </c>
      <c r="P35" s="36">
        <f t="shared" si="0"/>
        <v>34531.800000000003</v>
      </c>
      <c r="Q35" s="36">
        <f t="shared" si="0"/>
        <v>21694.799999999999</v>
      </c>
      <c r="R35" s="36">
        <f t="shared" si="0"/>
        <v>16560.8</v>
      </c>
      <c r="S35" s="36">
        <f t="shared" si="1"/>
        <v>1086</v>
      </c>
      <c r="T35" s="36">
        <f t="shared" si="2"/>
        <v>72787.400000000009</v>
      </c>
      <c r="U35" s="37">
        <f t="shared" si="4"/>
        <v>67.023388581952119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86.9</v>
      </c>
      <c r="F36" s="20">
        <v>60.1</v>
      </c>
      <c r="G36" s="20">
        <v>51.4</v>
      </c>
      <c r="I36" s="20">
        <f t="shared" si="3"/>
        <v>69.916073968705547</v>
      </c>
      <c r="J36" s="45">
        <f>(I36/'AAU 98-99'!I36)-1</f>
        <v>4.4943507148310635E-2</v>
      </c>
      <c r="K36" s="18"/>
      <c r="M36" s="38">
        <f>570+56</f>
        <v>626</v>
      </c>
      <c r="N36" s="38">
        <f>322+116</f>
        <v>438</v>
      </c>
      <c r="O36" s="38">
        <f>208+134</f>
        <v>342</v>
      </c>
      <c r="P36" s="36">
        <f t="shared" si="0"/>
        <v>54399.4</v>
      </c>
      <c r="Q36" s="36">
        <f t="shared" si="0"/>
        <v>26323.8</v>
      </c>
      <c r="R36" s="36">
        <f t="shared" si="0"/>
        <v>17578.8</v>
      </c>
      <c r="S36" s="36">
        <f t="shared" si="1"/>
        <v>1406</v>
      </c>
      <c r="T36" s="36">
        <f t="shared" si="2"/>
        <v>98302</v>
      </c>
      <c r="U36" s="37">
        <f t="shared" si="4"/>
        <v>69.916073968705547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98.8</v>
      </c>
      <c r="F37" s="20">
        <v>70.8</v>
      </c>
      <c r="G37" s="20">
        <v>53.1</v>
      </c>
      <c r="I37" s="20">
        <f t="shared" si="3"/>
        <v>80.688193901485533</v>
      </c>
      <c r="J37" s="45">
        <f>(I37/'AAU 98-99'!I37)-1</f>
        <v>3.4284332036604415E-2</v>
      </c>
      <c r="K37" s="18"/>
      <c r="M37" s="38">
        <f>528+107</f>
        <v>635</v>
      </c>
      <c r="N37" s="38">
        <f>236+118</f>
        <v>354</v>
      </c>
      <c r="O37" s="38">
        <f>171+119</f>
        <v>290</v>
      </c>
      <c r="P37" s="36">
        <f t="shared" si="0"/>
        <v>62738</v>
      </c>
      <c r="Q37" s="36">
        <f t="shared" si="0"/>
        <v>25063.200000000001</v>
      </c>
      <c r="R37" s="36">
        <f t="shared" si="0"/>
        <v>15399</v>
      </c>
      <c r="S37" s="36">
        <f t="shared" si="1"/>
        <v>1279</v>
      </c>
      <c r="T37" s="36">
        <f t="shared" si="2"/>
        <v>103200.2</v>
      </c>
      <c r="U37" s="37">
        <f t="shared" si="4"/>
        <v>80.688193901485533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88.8</v>
      </c>
      <c r="F38" s="20">
        <v>63.8</v>
      </c>
      <c r="G38" s="20">
        <v>50.5</v>
      </c>
      <c r="I38" s="20">
        <f t="shared" si="3"/>
        <v>70.006548856548861</v>
      </c>
      <c r="J38" s="45">
        <f>(I38/'AAU 98-99'!I38)-1</f>
        <v>2.0131364625848525E-2</v>
      </c>
      <c r="K38" s="18"/>
      <c r="M38" s="38">
        <f>335+48</f>
        <v>383</v>
      </c>
      <c r="N38" s="38">
        <f>211+97</f>
        <v>308</v>
      </c>
      <c r="O38" s="38">
        <f>151+120</f>
        <v>271</v>
      </c>
      <c r="P38" s="36">
        <f t="shared" si="0"/>
        <v>34010.400000000001</v>
      </c>
      <c r="Q38" s="36">
        <f t="shared" si="0"/>
        <v>19650.399999999998</v>
      </c>
      <c r="R38" s="36">
        <f t="shared" si="0"/>
        <v>13685.5</v>
      </c>
      <c r="S38" s="36">
        <f t="shared" si="1"/>
        <v>962</v>
      </c>
      <c r="T38" s="36">
        <f t="shared" si="2"/>
        <v>67346.3</v>
      </c>
      <c r="U38" s="37">
        <f t="shared" si="4"/>
        <v>70.006548856548861</v>
      </c>
    </row>
    <row r="39" spans="1:21" ht="13.5" customHeight="1" x14ac:dyDescent="0.3">
      <c r="A39" s="19"/>
      <c r="C39" s="31">
        <v>30</v>
      </c>
      <c r="D39" s="1" t="s">
        <v>48</v>
      </c>
      <c r="E39" s="20">
        <v>89.4</v>
      </c>
      <c r="F39" s="20">
        <v>58.2</v>
      </c>
      <c r="G39" s="20">
        <v>54.2</v>
      </c>
      <c r="I39" s="20">
        <f t="shared" si="3"/>
        <v>74.481775700934577</v>
      </c>
      <c r="J39" s="45">
        <f>(I39/'AAU 98-99'!I39)-1</f>
        <v>5.978163939255543E-2</v>
      </c>
      <c r="K39" s="18"/>
      <c r="M39" s="38">
        <f>812+125</f>
        <v>937</v>
      </c>
      <c r="N39" s="38">
        <f>288+147</f>
        <v>435</v>
      </c>
      <c r="O39" s="38">
        <f>195+145</f>
        <v>340</v>
      </c>
      <c r="P39" s="36">
        <f t="shared" si="0"/>
        <v>83767.8</v>
      </c>
      <c r="Q39" s="36">
        <f t="shared" si="0"/>
        <v>25317</v>
      </c>
      <c r="R39" s="36">
        <f t="shared" si="0"/>
        <v>18428</v>
      </c>
      <c r="S39" s="36">
        <f t="shared" si="1"/>
        <v>1712</v>
      </c>
      <c r="T39" s="36">
        <f t="shared" si="2"/>
        <v>127512.8</v>
      </c>
      <c r="U39" s="37">
        <f t="shared" si="4"/>
        <v>74.481775700934577</v>
      </c>
    </row>
    <row r="40" spans="1:21" ht="13.5" customHeight="1" x14ac:dyDescent="0.3">
      <c r="A40" s="19"/>
      <c r="C40" s="31">
        <v>32</v>
      </c>
      <c r="D40" s="1" t="s">
        <v>38</v>
      </c>
      <c r="E40" s="20">
        <v>101.2</v>
      </c>
      <c r="F40" s="20">
        <v>68.900000000000006</v>
      </c>
      <c r="G40" s="20">
        <v>53.7</v>
      </c>
      <c r="I40" s="20">
        <f t="shared" si="3"/>
        <v>81.479871520342627</v>
      </c>
      <c r="J40" s="45">
        <f>(I40/'AAU 98-99'!I40)-1</f>
        <v>5.1977318472387068E-2</v>
      </c>
      <c r="K40" s="18"/>
      <c r="M40" s="38">
        <f>408+56</f>
        <v>464</v>
      </c>
      <c r="N40" s="38">
        <f>175+82</f>
        <v>257</v>
      </c>
      <c r="O40" s="38">
        <f>105+108</f>
        <v>213</v>
      </c>
      <c r="P40" s="36">
        <f t="shared" si="0"/>
        <v>46956.800000000003</v>
      </c>
      <c r="Q40" s="36">
        <f t="shared" si="0"/>
        <v>17707.300000000003</v>
      </c>
      <c r="R40" s="36">
        <f t="shared" si="0"/>
        <v>11438.1</v>
      </c>
      <c r="S40" s="36">
        <f t="shared" si="1"/>
        <v>934</v>
      </c>
      <c r="T40" s="36">
        <f t="shared" si="2"/>
        <v>76102.200000000012</v>
      </c>
      <c r="U40" s="37">
        <f t="shared" si="4"/>
        <v>81.479871520342627</v>
      </c>
    </row>
    <row r="41" spans="1:21" ht="13.5" customHeight="1" x14ac:dyDescent="0.3">
      <c r="A41" s="19"/>
      <c r="C41" s="31">
        <v>33</v>
      </c>
      <c r="D41" s="1" t="s">
        <v>39</v>
      </c>
      <c r="E41" s="20">
        <v>80.599999999999994</v>
      </c>
      <c r="F41" s="20">
        <v>58.4</v>
      </c>
      <c r="G41" s="20">
        <v>51.4</v>
      </c>
      <c r="I41" s="20">
        <f t="shared" si="3"/>
        <v>68.446244825547012</v>
      </c>
      <c r="J41" s="45">
        <f>(I41/'AAU 98-99'!I41)-1</f>
        <v>5.6516035916938989E-2</v>
      </c>
      <c r="K41" s="18"/>
      <c r="M41" s="38">
        <f>732+154</f>
        <v>886</v>
      </c>
      <c r="N41" s="38">
        <f>269+153</f>
        <v>422</v>
      </c>
      <c r="O41" s="38">
        <f>216+167</f>
        <v>383</v>
      </c>
      <c r="P41" s="36">
        <f t="shared" si="0"/>
        <v>71411.599999999991</v>
      </c>
      <c r="Q41" s="36">
        <f t="shared" si="0"/>
        <v>24644.799999999999</v>
      </c>
      <c r="R41" s="36">
        <f t="shared" si="0"/>
        <v>19686.2</v>
      </c>
      <c r="S41" s="36">
        <f t="shared" si="1"/>
        <v>1691</v>
      </c>
      <c r="T41" s="36">
        <f t="shared" si="2"/>
        <v>115742.59999999999</v>
      </c>
      <c r="U41" s="37">
        <f t="shared" si="4"/>
        <v>68.446244825547012</v>
      </c>
    </row>
    <row r="42" spans="1:21" ht="13.5" customHeight="1" x14ac:dyDescent="0.3">
      <c r="A42" s="19"/>
      <c r="C42" s="31">
        <v>34</v>
      </c>
      <c r="D42" s="1" t="s">
        <v>40</v>
      </c>
      <c r="E42" s="20">
        <v>84.5</v>
      </c>
      <c r="F42" s="20">
        <v>64.8</v>
      </c>
      <c r="G42" s="20">
        <v>55.4</v>
      </c>
      <c r="I42" s="20">
        <f t="shared" si="3"/>
        <v>75.192664670658687</v>
      </c>
      <c r="J42" s="45">
        <f>(I42/'AAU 98-99'!I42)-1</f>
        <v>8.2008290321711863E-2</v>
      </c>
      <c r="K42" s="18"/>
      <c r="M42" s="38">
        <f>674+152</f>
        <v>826</v>
      </c>
      <c r="N42" s="38">
        <f>160+96</f>
        <v>256</v>
      </c>
      <c r="O42" s="38">
        <f>156+98</f>
        <v>254</v>
      </c>
      <c r="P42" s="36">
        <f t="shared" si="0"/>
        <v>69797</v>
      </c>
      <c r="Q42" s="36">
        <f t="shared" si="0"/>
        <v>16588.8</v>
      </c>
      <c r="R42" s="36">
        <f t="shared" si="0"/>
        <v>14071.6</v>
      </c>
      <c r="S42" s="36">
        <f t="shared" si="1"/>
        <v>1336</v>
      </c>
      <c r="T42" s="36">
        <f t="shared" si="2"/>
        <v>100457.40000000001</v>
      </c>
      <c r="U42" s="37">
        <f t="shared" si="4"/>
        <v>75.192664670658687</v>
      </c>
    </row>
    <row r="43" spans="1:21" ht="13.5" customHeight="1" x14ac:dyDescent="0.3">
      <c r="A43" s="19"/>
      <c r="K43" s="18"/>
    </row>
    <row r="44" spans="1:21" ht="13.5" customHeight="1" x14ac:dyDescent="0.3">
      <c r="A44" s="19"/>
      <c r="D44" s="44" t="s">
        <v>54</v>
      </c>
      <c r="E44" s="41">
        <f>P44/M44</f>
        <v>89.687466185752939</v>
      </c>
      <c r="F44" s="41">
        <f t="shared" ref="F44" si="5">Q44/N44</f>
        <v>61.908131253943942</v>
      </c>
      <c r="G44" s="41">
        <f>R44/O44</f>
        <v>52.359831054796039</v>
      </c>
      <c r="H44" s="40"/>
      <c r="I44" s="41">
        <f t="shared" si="3"/>
        <v>73.608546389693416</v>
      </c>
      <c r="J44" s="46">
        <f>(I44/'AAU 98-99'!I44)-1</f>
        <v>4.5821013958503354E-2</v>
      </c>
      <c r="K44" s="18"/>
      <c r="M44" s="39">
        <f t="shared" ref="M44:R44" si="6">SUM(M11:M42)</f>
        <v>19962</v>
      </c>
      <c r="N44" s="39">
        <f t="shared" si="6"/>
        <v>11093</v>
      </c>
      <c r="O44" s="39">
        <f t="shared" si="6"/>
        <v>8997</v>
      </c>
      <c r="P44" s="39">
        <f t="shared" si="6"/>
        <v>1790341.2000000002</v>
      </c>
      <c r="Q44" s="39">
        <f t="shared" si="6"/>
        <v>686746.90000000014</v>
      </c>
      <c r="R44" s="39">
        <f t="shared" si="6"/>
        <v>471081.39999999997</v>
      </c>
      <c r="S44" s="36">
        <f>M44+N44+O44</f>
        <v>40052</v>
      </c>
      <c r="T44" s="36">
        <f>P44+Q44+R44</f>
        <v>2948169.5000000005</v>
      </c>
      <c r="U44" s="37">
        <f>T44/S44</f>
        <v>73.608546389693416</v>
      </c>
    </row>
    <row r="45" spans="1:21" ht="13.5" customHeight="1" x14ac:dyDescent="0.3">
      <c r="A45" s="19"/>
      <c r="D45" s="44" t="s">
        <v>55</v>
      </c>
      <c r="E45" s="41">
        <f>MEDIAN(E11:E42)</f>
        <v>88.8</v>
      </c>
      <c r="F45" s="41">
        <f t="shared" ref="F45" si="7">MEDIAN(F11:F42)</f>
        <v>61.5</v>
      </c>
      <c r="G45" s="41">
        <f>MEDIAN(G11:G42)</f>
        <v>52.05</v>
      </c>
      <c r="H45" s="40"/>
      <c r="I45" s="41">
        <f>MEDIAN(I11:I42)</f>
        <v>70.933139673712304</v>
      </c>
      <c r="J45" s="46">
        <f>(I45/'AAU 98-99'!I45)-1</f>
        <v>3.5656077745492398E-2</v>
      </c>
      <c r="K45" s="18"/>
    </row>
    <row r="46" spans="1:21" ht="13.5" customHeight="1" x14ac:dyDescent="0.3">
      <c r="A46" s="19"/>
      <c r="B46" s="22"/>
      <c r="C46" s="33"/>
      <c r="D46" s="22"/>
      <c r="E46" s="22"/>
      <c r="F46" s="22"/>
      <c r="G46" s="22"/>
      <c r="H46" s="22"/>
      <c r="I46" s="22"/>
      <c r="J46" s="22"/>
      <c r="K46" s="18"/>
    </row>
    <row r="47" spans="1:21" ht="13.5" customHeight="1" x14ac:dyDescent="0.3">
      <c r="A47" s="19"/>
      <c r="K47" s="18"/>
    </row>
    <row r="48" spans="1:21" ht="13.5" customHeight="1" x14ac:dyDescent="0.3">
      <c r="A48" s="19"/>
      <c r="B48" s="16" t="s">
        <v>58</v>
      </c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21"/>
      <c r="B50" s="42" t="s">
        <v>56</v>
      </c>
      <c r="C50" s="33"/>
      <c r="D50" s="22"/>
      <c r="E50" s="22"/>
      <c r="F50" s="22"/>
      <c r="G50" s="22"/>
      <c r="H50" s="22"/>
      <c r="I50" s="22"/>
      <c r="J50" s="43" t="s">
        <v>90</v>
      </c>
      <c r="K50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5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91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78.099999999999994</v>
      </c>
      <c r="F11" s="20">
        <v>54</v>
      </c>
      <c r="G11" s="20">
        <v>48.1</v>
      </c>
      <c r="I11" s="20">
        <f>U11</f>
        <v>65.269438029253266</v>
      </c>
      <c r="J11" s="45">
        <f>(I11/'AAU 97-98'!I11)-1</f>
        <v>4.4063103073715082E-2</v>
      </c>
      <c r="K11" s="18"/>
      <c r="M11" s="38">
        <f>562+101</f>
        <v>663</v>
      </c>
      <c r="N11" s="38">
        <f>254+155</f>
        <v>409</v>
      </c>
      <c r="O11" s="38">
        <f>126+101</f>
        <v>227</v>
      </c>
      <c r="P11" s="36">
        <f t="shared" ref="P11:R42" si="0">E11*M11</f>
        <v>51780.299999999996</v>
      </c>
      <c r="Q11" s="36">
        <f t="shared" si="0"/>
        <v>22086</v>
      </c>
      <c r="R11" s="36">
        <f t="shared" si="0"/>
        <v>10918.7</v>
      </c>
      <c r="S11" s="36">
        <f t="shared" ref="S11:S42" si="1">M11+N11+O11</f>
        <v>1299</v>
      </c>
      <c r="T11" s="36">
        <f t="shared" ref="T11:T42" si="2">P11+Q11+R11</f>
        <v>84784.999999999985</v>
      </c>
      <c r="U11" s="37">
        <f>T11/S11</f>
        <v>65.269438029253266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103.6</v>
      </c>
      <c r="F12" s="20">
        <v>68.3</v>
      </c>
      <c r="G12" s="20">
        <v>57</v>
      </c>
      <c r="I12" s="20">
        <f t="shared" ref="I12:I44" si="3">U12</f>
        <v>89.783269961977183</v>
      </c>
      <c r="J12" s="45">
        <f>(I12/'AAU 97-98'!I12)-1</f>
        <v>0.1279592353091239</v>
      </c>
      <c r="K12" s="18"/>
      <c r="M12" s="38">
        <f>723+141</f>
        <v>864</v>
      </c>
      <c r="N12" s="38">
        <f>155+97</f>
        <v>252</v>
      </c>
      <c r="O12" s="38">
        <f>125+74</f>
        <v>199</v>
      </c>
      <c r="P12" s="36">
        <f t="shared" si="0"/>
        <v>89510.399999999994</v>
      </c>
      <c r="Q12" s="36">
        <f t="shared" si="0"/>
        <v>17211.599999999999</v>
      </c>
      <c r="R12" s="36">
        <f t="shared" si="0"/>
        <v>11343</v>
      </c>
      <c r="S12" s="36">
        <f t="shared" si="1"/>
        <v>1315</v>
      </c>
      <c r="T12" s="36">
        <f t="shared" si="2"/>
        <v>118065</v>
      </c>
      <c r="U12" s="37">
        <f t="shared" ref="U12:U42" si="4">T12/S12</f>
        <v>89.783269961977183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87.4</v>
      </c>
      <c r="F13" s="20">
        <v>62.5</v>
      </c>
      <c r="G13" s="20">
        <v>52.1</v>
      </c>
      <c r="I13" s="20">
        <f t="shared" si="3"/>
        <v>76.76917748917748</v>
      </c>
      <c r="J13" s="45">
        <f>(I13/'AAU 97-98'!I13)-1</f>
        <v>0.10232665112665096</v>
      </c>
      <c r="K13" s="18"/>
      <c r="M13" s="38">
        <f>613+132</f>
        <v>745</v>
      </c>
      <c r="N13" s="38">
        <f>139+72</f>
        <v>211</v>
      </c>
      <c r="O13" s="38">
        <f>127+72</f>
        <v>199</v>
      </c>
      <c r="P13" s="36">
        <f t="shared" si="0"/>
        <v>65113.000000000007</v>
      </c>
      <c r="Q13" s="36">
        <f t="shared" si="0"/>
        <v>13187.5</v>
      </c>
      <c r="R13" s="36">
        <f t="shared" si="0"/>
        <v>10367.9</v>
      </c>
      <c r="S13" s="36">
        <f t="shared" si="1"/>
        <v>1155</v>
      </c>
      <c r="T13" s="36">
        <f t="shared" si="2"/>
        <v>88668.4</v>
      </c>
      <c r="U13" s="37">
        <f t="shared" si="4"/>
        <v>76.76917748917748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92.7</v>
      </c>
      <c r="F14" s="20">
        <v>65.5</v>
      </c>
      <c r="G14" s="20">
        <v>53.1</v>
      </c>
      <c r="I14" s="20">
        <f t="shared" si="3"/>
        <v>77.174251497005997</v>
      </c>
      <c r="J14" s="45">
        <f>(I14/'AAU 97-98'!I14)-1</f>
        <v>8.5893479485396496E-2</v>
      </c>
      <c r="K14" s="18"/>
      <c r="M14" s="38">
        <f>300+56</f>
        <v>356</v>
      </c>
      <c r="N14" s="38">
        <f>102+58</f>
        <v>160</v>
      </c>
      <c r="O14" s="38">
        <f>101+51</f>
        <v>152</v>
      </c>
      <c r="P14" s="36">
        <f t="shared" si="0"/>
        <v>33001.200000000004</v>
      </c>
      <c r="Q14" s="36">
        <f t="shared" si="0"/>
        <v>10480</v>
      </c>
      <c r="R14" s="36">
        <f t="shared" si="0"/>
        <v>8071.2</v>
      </c>
      <c r="S14" s="36">
        <f t="shared" si="1"/>
        <v>668</v>
      </c>
      <c r="T14" s="36">
        <f t="shared" si="2"/>
        <v>51552.4</v>
      </c>
      <c r="U14" s="37">
        <f t="shared" si="4"/>
        <v>77.174251497005997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101.4</v>
      </c>
      <c r="F15" s="20">
        <v>65.400000000000006</v>
      </c>
      <c r="G15" s="20">
        <v>54.7</v>
      </c>
      <c r="I15" s="20">
        <f t="shared" si="3"/>
        <v>84.069143994691444</v>
      </c>
      <c r="J15" s="45">
        <f>(I15/'AAU 97-98'!I15)-1</f>
        <v>7.9951252676392137E-2</v>
      </c>
      <c r="K15" s="18"/>
      <c r="M15" s="38">
        <f>706+173</f>
        <v>879</v>
      </c>
      <c r="N15" s="38">
        <f>203+97</f>
        <v>300</v>
      </c>
      <c r="O15" s="38">
        <f>211+117</f>
        <v>328</v>
      </c>
      <c r="P15" s="36">
        <f t="shared" si="0"/>
        <v>89130.6</v>
      </c>
      <c r="Q15" s="36">
        <f t="shared" si="0"/>
        <v>19620</v>
      </c>
      <c r="R15" s="36">
        <f t="shared" si="0"/>
        <v>17941.600000000002</v>
      </c>
      <c r="S15" s="36">
        <f t="shared" si="1"/>
        <v>1507</v>
      </c>
      <c r="T15" s="36">
        <f t="shared" si="2"/>
        <v>126692.20000000001</v>
      </c>
      <c r="U15" s="37">
        <f t="shared" si="4"/>
        <v>84.069143994691444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96.6</v>
      </c>
      <c r="F16" s="20">
        <v>64.099999999999994</v>
      </c>
      <c r="G16" s="20">
        <v>53.7</v>
      </c>
      <c r="I16" s="20">
        <f t="shared" si="3"/>
        <v>83.125608194622274</v>
      </c>
      <c r="J16" s="45">
        <f>(I16/'AAU 97-98'!I16)-1</f>
        <v>9.9617915099622589E-2</v>
      </c>
      <c r="K16" s="18"/>
      <c r="M16" s="38">
        <f>424+70</f>
        <v>494</v>
      </c>
      <c r="N16" s="38">
        <f>126+46</f>
        <v>172</v>
      </c>
      <c r="O16" s="38">
        <f>80+35</f>
        <v>115</v>
      </c>
      <c r="P16" s="36">
        <f t="shared" si="0"/>
        <v>47720.399999999994</v>
      </c>
      <c r="Q16" s="36">
        <f t="shared" si="0"/>
        <v>11025.199999999999</v>
      </c>
      <c r="R16" s="36">
        <f t="shared" si="0"/>
        <v>6175.5</v>
      </c>
      <c r="S16" s="36">
        <f t="shared" si="1"/>
        <v>781</v>
      </c>
      <c r="T16" s="36">
        <f t="shared" si="2"/>
        <v>64921.099999999991</v>
      </c>
      <c r="U16" s="37">
        <f t="shared" si="4"/>
        <v>83.125608194622274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94.2</v>
      </c>
      <c r="F17" s="20">
        <v>61.7</v>
      </c>
      <c r="G17" s="20">
        <v>51</v>
      </c>
      <c r="I17" s="20">
        <f t="shared" si="3"/>
        <v>79.099710982658962</v>
      </c>
      <c r="J17" s="45">
        <f>(I17/'AAU 97-98'!I17)-1</f>
        <v>0.10558681170171358</v>
      </c>
      <c r="K17" s="18"/>
      <c r="M17" s="38">
        <f>343+66</f>
        <v>409</v>
      </c>
      <c r="N17" s="38">
        <f>114+52</f>
        <v>166</v>
      </c>
      <c r="O17" s="38">
        <f>70+47</f>
        <v>117</v>
      </c>
      <c r="P17" s="36">
        <f t="shared" si="0"/>
        <v>38527.800000000003</v>
      </c>
      <c r="Q17" s="36">
        <f t="shared" si="0"/>
        <v>10242.200000000001</v>
      </c>
      <c r="R17" s="36">
        <f t="shared" si="0"/>
        <v>5967</v>
      </c>
      <c r="S17" s="36">
        <f t="shared" si="1"/>
        <v>692</v>
      </c>
      <c r="T17" s="36">
        <f t="shared" si="2"/>
        <v>54737</v>
      </c>
      <c r="U17" s="37">
        <f t="shared" si="4"/>
        <v>79.099710982658962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79.5</v>
      </c>
      <c r="F18" s="20">
        <v>57.3</v>
      </c>
      <c r="G18" s="20">
        <v>48.2</v>
      </c>
      <c r="I18" s="20">
        <f t="shared" si="3"/>
        <v>65.765993945509578</v>
      </c>
      <c r="J18" s="45">
        <f>(I18/'AAU 97-98'!I18)-1</f>
        <v>3.9353700179766138E-2</v>
      </c>
      <c r="K18" s="18"/>
      <c r="M18" s="38">
        <f>403+61</f>
        <v>464</v>
      </c>
      <c r="N18" s="38">
        <f>215+102</f>
        <v>317</v>
      </c>
      <c r="O18" s="38">
        <f>122+88</f>
        <v>210</v>
      </c>
      <c r="P18" s="36">
        <f t="shared" si="0"/>
        <v>36888</v>
      </c>
      <c r="Q18" s="36">
        <f t="shared" si="0"/>
        <v>18164.099999999999</v>
      </c>
      <c r="R18" s="36">
        <f t="shared" si="0"/>
        <v>10122</v>
      </c>
      <c r="S18" s="36">
        <f t="shared" si="1"/>
        <v>991</v>
      </c>
      <c r="T18" s="36">
        <f t="shared" si="2"/>
        <v>65174.1</v>
      </c>
      <c r="U18" s="37">
        <f t="shared" si="4"/>
        <v>65.765993945509578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75</v>
      </c>
      <c r="F19" s="20">
        <v>54.4</v>
      </c>
      <c r="G19" s="20">
        <v>47</v>
      </c>
      <c r="I19" s="20">
        <f t="shared" si="3"/>
        <v>62.488533703961082</v>
      </c>
      <c r="J19" s="45">
        <f>(I19/'AAU 97-98'!I19)-1</f>
        <v>4.3263313420000671E-2</v>
      </c>
      <c r="K19" s="18"/>
      <c r="M19" s="38">
        <f>612+73</f>
        <v>685</v>
      </c>
      <c r="N19" s="38">
        <f>321+99</f>
        <v>420</v>
      </c>
      <c r="O19" s="38">
        <f>187+147</f>
        <v>334</v>
      </c>
      <c r="P19" s="36">
        <f t="shared" si="0"/>
        <v>51375</v>
      </c>
      <c r="Q19" s="36">
        <f t="shared" si="0"/>
        <v>22848</v>
      </c>
      <c r="R19" s="36">
        <f t="shared" si="0"/>
        <v>15698</v>
      </c>
      <c r="S19" s="36">
        <f t="shared" si="1"/>
        <v>1439</v>
      </c>
      <c r="T19" s="36">
        <f t="shared" si="2"/>
        <v>89921</v>
      </c>
      <c r="U19" s="37">
        <f t="shared" si="4"/>
        <v>62.488533703961082</v>
      </c>
    </row>
    <row r="20" spans="1:21" ht="13.5" customHeight="1" x14ac:dyDescent="0.3">
      <c r="A20" s="19"/>
      <c r="C20" s="1">
        <v>10</v>
      </c>
      <c r="D20" s="1" t="s">
        <v>21</v>
      </c>
      <c r="E20" s="20">
        <v>86.8</v>
      </c>
      <c r="F20" s="20">
        <v>60.6</v>
      </c>
      <c r="G20" s="20">
        <v>52.3</v>
      </c>
      <c r="I20" s="20">
        <f t="shared" si="3"/>
        <v>72.084068195179313</v>
      </c>
      <c r="J20" s="45">
        <f>(I20/'AAU 97-98'!I20)-1</f>
        <v>3.8241529765421056E-2</v>
      </c>
      <c r="K20" s="18"/>
      <c r="M20" s="38">
        <f>767+92</f>
        <v>859</v>
      </c>
      <c r="N20" s="38">
        <f>355+129</f>
        <v>484</v>
      </c>
      <c r="O20" s="38">
        <f>229+129</f>
        <v>358</v>
      </c>
      <c r="P20" s="36">
        <f t="shared" si="0"/>
        <v>74561.2</v>
      </c>
      <c r="Q20" s="36">
        <f t="shared" si="0"/>
        <v>29330.400000000001</v>
      </c>
      <c r="R20" s="36">
        <f t="shared" si="0"/>
        <v>18723.399999999998</v>
      </c>
      <c r="S20" s="36">
        <f t="shared" si="1"/>
        <v>1701</v>
      </c>
      <c r="T20" s="36">
        <f t="shared" si="2"/>
        <v>122615</v>
      </c>
      <c r="U20" s="37">
        <f t="shared" si="4"/>
        <v>72.084068195179313</v>
      </c>
    </row>
    <row r="21" spans="1:21" ht="13.5" customHeight="1" x14ac:dyDescent="0.3">
      <c r="A21" s="19"/>
      <c r="C21" s="31">
        <v>11</v>
      </c>
      <c r="D21" s="1" t="s">
        <v>22</v>
      </c>
      <c r="E21" s="20">
        <v>80.8</v>
      </c>
      <c r="F21" s="20">
        <v>56.6</v>
      </c>
      <c r="G21" s="20">
        <v>45.9</v>
      </c>
      <c r="I21" s="20">
        <f t="shared" si="3"/>
        <v>65.397626582278477</v>
      </c>
      <c r="J21" s="45">
        <f>(I21/'AAU 97-98'!I21)-1</f>
        <v>4.7857274945154904E-2</v>
      </c>
      <c r="K21" s="18"/>
      <c r="M21" s="38">
        <f>493+108</f>
        <v>601</v>
      </c>
      <c r="N21" s="38">
        <f>236+107</f>
        <v>343</v>
      </c>
      <c r="O21" s="38">
        <f>192+128</f>
        <v>320</v>
      </c>
      <c r="P21" s="36">
        <f t="shared" si="0"/>
        <v>48560.799999999996</v>
      </c>
      <c r="Q21" s="36">
        <f t="shared" si="0"/>
        <v>19413.8</v>
      </c>
      <c r="R21" s="36">
        <f t="shared" si="0"/>
        <v>14688</v>
      </c>
      <c r="S21" s="36">
        <f t="shared" si="1"/>
        <v>1264</v>
      </c>
      <c r="T21" s="36">
        <f t="shared" si="2"/>
        <v>82662.599999999991</v>
      </c>
      <c r="U21" s="37">
        <f t="shared" si="4"/>
        <v>65.397626582278477</v>
      </c>
    </row>
    <row r="22" spans="1:21" ht="13.5" customHeight="1" x14ac:dyDescent="0.3">
      <c r="A22" s="19"/>
      <c r="C22" s="31">
        <v>12</v>
      </c>
      <c r="D22" s="1" t="s">
        <v>23</v>
      </c>
      <c r="E22" s="20">
        <v>84.5</v>
      </c>
      <c r="F22" s="20">
        <v>58</v>
      </c>
      <c r="G22" s="20">
        <v>49.3</v>
      </c>
      <c r="I22" s="20">
        <f t="shared" si="3"/>
        <v>68.357003891050582</v>
      </c>
      <c r="J22" s="45">
        <f>(I22/'AAU 97-98'!I22)-1</f>
        <v>3.0576749164567429E-2</v>
      </c>
      <c r="K22" s="18"/>
      <c r="M22" s="38">
        <f>407+67</f>
        <v>474</v>
      </c>
      <c r="N22" s="38">
        <f>204+130</f>
        <v>334</v>
      </c>
      <c r="O22" s="38">
        <f>116+104</f>
        <v>220</v>
      </c>
      <c r="P22" s="36">
        <f t="shared" si="0"/>
        <v>40053</v>
      </c>
      <c r="Q22" s="36">
        <f t="shared" si="0"/>
        <v>19372</v>
      </c>
      <c r="R22" s="36">
        <f t="shared" si="0"/>
        <v>10846</v>
      </c>
      <c r="S22" s="36">
        <f t="shared" si="1"/>
        <v>1028</v>
      </c>
      <c r="T22" s="36">
        <f t="shared" si="2"/>
        <v>70271</v>
      </c>
      <c r="U22" s="37">
        <f t="shared" si="4"/>
        <v>68.357003891050582</v>
      </c>
    </row>
    <row r="23" spans="1:21" ht="13.5" customHeight="1" x14ac:dyDescent="0.3">
      <c r="A23" s="19"/>
      <c r="C23" s="31">
        <v>13</v>
      </c>
      <c r="D23" s="1" t="s">
        <v>24</v>
      </c>
      <c r="E23" s="20">
        <v>80</v>
      </c>
      <c r="F23" s="20">
        <v>60.1</v>
      </c>
      <c r="G23" s="20">
        <v>48</v>
      </c>
      <c r="I23" s="20">
        <f t="shared" si="3"/>
        <v>65.654517766497463</v>
      </c>
      <c r="J23" s="45">
        <f>(I23/'AAU 97-98'!I23)-1</f>
        <v>3.0483789877226775E-2</v>
      </c>
      <c r="K23" s="18"/>
      <c r="M23" s="38">
        <f>370+46</f>
        <v>416</v>
      </c>
      <c r="N23" s="38">
        <f>235+102</f>
        <v>337</v>
      </c>
      <c r="O23" s="38">
        <f>133+99</f>
        <v>232</v>
      </c>
      <c r="P23" s="36">
        <f t="shared" si="0"/>
        <v>33280</v>
      </c>
      <c r="Q23" s="36">
        <f t="shared" si="0"/>
        <v>20253.7</v>
      </c>
      <c r="R23" s="36">
        <f t="shared" si="0"/>
        <v>11136</v>
      </c>
      <c r="S23" s="36">
        <f t="shared" si="1"/>
        <v>985</v>
      </c>
      <c r="T23" s="36">
        <f t="shared" si="2"/>
        <v>64669.7</v>
      </c>
      <c r="U23" s="37">
        <f t="shared" si="4"/>
        <v>65.654517766497463</v>
      </c>
    </row>
    <row r="24" spans="1:21" ht="13.5" customHeight="1" x14ac:dyDescent="0.3">
      <c r="A24" s="19"/>
      <c r="C24" s="31">
        <v>14</v>
      </c>
      <c r="D24" s="1" t="s">
        <v>25</v>
      </c>
      <c r="E24" s="20">
        <v>69.8</v>
      </c>
      <c r="F24" s="20">
        <v>50.8</v>
      </c>
      <c r="G24" s="20">
        <v>44.4</v>
      </c>
      <c r="I24" s="20">
        <f t="shared" si="3"/>
        <v>58.144468085106375</v>
      </c>
      <c r="J24" s="45">
        <f>(I24/'AAU 97-98'!I24)-1</f>
        <v>4.0124209225218532E-2</v>
      </c>
      <c r="K24" s="18"/>
      <c r="M24" s="38">
        <f>372+53</f>
        <v>425</v>
      </c>
      <c r="N24" s="38">
        <f>222+110</f>
        <v>332</v>
      </c>
      <c r="O24" s="38">
        <f>118+65</f>
        <v>183</v>
      </c>
      <c r="P24" s="36">
        <f t="shared" si="0"/>
        <v>29665</v>
      </c>
      <c r="Q24" s="36">
        <f t="shared" si="0"/>
        <v>16865.599999999999</v>
      </c>
      <c r="R24" s="36">
        <f t="shared" si="0"/>
        <v>8125.2</v>
      </c>
      <c r="S24" s="36">
        <f t="shared" si="1"/>
        <v>940</v>
      </c>
      <c r="T24" s="36">
        <f t="shared" si="2"/>
        <v>54655.799999999996</v>
      </c>
      <c r="U24" s="37">
        <f t="shared" si="4"/>
        <v>58.144468085106375</v>
      </c>
    </row>
    <row r="25" spans="1:21" ht="13.5" customHeight="1" x14ac:dyDescent="0.3">
      <c r="A25" s="19"/>
      <c r="C25" s="31">
        <v>15</v>
      </c>
      <c r="D25" s="1" t="s">
        <v>26</v>
      </c>
      <c r="E25" s="20">
        <v>83.4</v>
      </c>
      <c r="F25" s="20">
        <v>58.9</v>
      </c>
      <c r="G25" s="20">
        <v>53.2</v>
      </c>
      <c r="I25" s="20">
        <f t="shared" si="3"/>
        <v>69.819043552519219</v>
      </c>
      <c r="J25" s="45">
        <f>(I25/'AAU 97-98'!I25)-1</f>
        <v>3.2038503499068227E-2</v>
      </c>
      <c r="K25" s="18"/>
      <c r="M25" s="38">
        <f>474+100</f>
        <v>574</v>
      </c>
      <c r="N25" s="38">
        <f>253+120</f>
        <v>373</v>
      </c>
      <c r="O25" s="38">
        <f>144+80</f>
        <v>224</v>
      </c>
      <c r="P25" s="36">
        <f t="shared" si="0"/>
        <v>47871.600000000006</v>
      </c>
      <c r="Q25" s="36">
        <f t="shared" si="0"/>
        <v>21969.7</v>
      </c>
      <c r="R25" s="36">
        <f t="shared" si="0"/>
        <v>11916.800000000001</v>
      </c>
      <c r="S25" s="36">
        <f t="shared" si="1"/>
        <v>1171</v>
      </c>
      <c r="T25" s="36">
        <f t="shared" si="2"/>
        <v>81758.100000000006</v>
      </c>
      <c r="U25" s="37">
        <f t="shared" si="4"/>
        <v>69.819043552519219</v>
      </c>
    </row>
    <row r="26" spans="1:21" ht="13.5" customHeight="1" x14ac:dyDescent="0.3">
      <c r="A26" s="19"/>
      <c r="C26" s="31">
        <v>16</v>
      </c>
      <c r="D26" s="1" t="s">
        <v>27</v>
      </c>
      <c r="E26" s="20">
        <v>96.7</v>
      </c>
      <c r="F26" s="20">
        <v>68.2</v>
      </c>
      <c r="G26" s="20">
        <v>54.5</v>
      </c>
      <c r="I26" s="20">
        <f t="shared" si="3"/>
        <v>77.762252405206567</v>
      </c>
      <c r="J26" s="45">
        <f>(I26/'AAU 97-98'!I26)-1</f>
        <v>3.64960104455887E-2</v>
      </c>
      <c r="K26" s="18"/>
      <c r="M26" s="38">
        <f>702+124</f>
        <v>826</v>
      </c>
      <c r="N26" s="38">
        <f>297+159</f>
        <v>456</v>
      </c>
      <c r="O26" s="38">
        <f>287+198</f>
        <v>485</v>
      </c>
      <c r="P26" s="36">
        <f t="shared" si="0"/>
        <v>79874.2</v>
      </c>
      <c r="Q26" s="36">
        <f t="shared" si="0"/>
        <v>31099.200000000001</v>
      </c>
      <c r="R26" s="36">
        <f t="shared" si="0"/>
        <v>26432.5</v>
      </c>
      <c r="S26" s="36">
        <f t="shared" si="1"/>
        <v>1767</v>
      </c>
      <c r="T26" s="36">
        <f t="shared" si="2"/>
        <v>137405.9</v>
      </c>
      <c r="U26" s="37">
        <f t="shared" si="4"/>
        <v>77.762252405206567</v>
      </c>
    </row>
    <row r="27" spans="1:21" ht="13.5" customHeight="1" x14ac:dyDescent="0.3">
      <c r="A27" s="19"/>
      <c r="C27" s="31">
        <v>17</v>
      </c>
      <c r="D27" s="1" t="s">
        <v>28</v>
      </c>
      <c r="E27" s="20">
        <v>77.5</v>
      </c>
      <c r="F27" s="20">
        <v>58</v>
      </c>
      <c r="G27" s="20">
        <v>47.5</v>
      </c>
      <c r="I27" s="20">
        <f t="shared" si="3"/>
        <v>65.850279329608938</v>
      </c>
      <c r="J27" s="45">
        <f>(I27/'AAU 97-98'!I27)-1</f>
        <v>3.5123336850684028E-2</v>
      </c>
      <c r="K27" s="18"/>
      <c r="M27" s="38">
        <f>786+150</f>
        <v>936</v>
      </c>
      <c r="N27" s="38">
        <f>303+151</f>
        <v>454</v>
      </c>
      <c r="O27" s="38">
        <f>237+163</f>
        <v>400</v>
      </c>
      <c r="P27" s="36">
        <f t="shared" si="0"/>
        <v>72540</v>
      </c>
      <c r="Q27" s="36">
        <f t="shared" si="0"/>
        <v>26332</v>
      </c>
      <c r="R27" s="36">
        <f t="shared" si="0"/>
        <v>19000</v>
      </c>
      <c r="S27" s="36">
        <f t="shared" si="1"/>
        <v>1790</v>
      </c>
      <c r="T27" s="36">
        <f t="shared" si="2"/>
        <v>117872</v>
      </c>
      <c r="U27" s="37">
        <f t="shared" si="4"/>
        <v>65.850279329608938</v>
      </c>
    </row>
    <row r="28" spans="1:21" ht="13.5" customHeight="1" x14ac:dyDescent="0.3">
      <c r="A28" s="19"/>
      <c r="C28" s="31">
        <v>18</v>
      </c>
      <c r="D28" s="1" t="s">
        <v>29</v>
      </c>
      <c r="E28" s="20">
        <v>85.6</v>
      </c>
      <c r="F28" s="20">
        <v>61.7</v>
      </c>
      <c r="G28" s="20">
        <v>51.3</v>
      </c>
      <c r="I28" s="20">
        <f t="shared" si="3"/>
        <v>72.52730446927373</v>
      </c>
      <c r="J28" s="45">
        <f>(I28/'AAU 97-98'!I28)-1</f>
        <v>5.4476920983764776E-2</v>
      </c>
      <c r="K28" s="18"/>
      <c r="M28" s="38">
        <f>630+131</f>
        <v>761</v>
      </c>
      <c r="N28" s="38">
        <f>276+137</f>
        <v>413</v>
      </c>
      <c r="O28" s="38">
        <f>129+129</f>
        <v>258</v>
      </c>
      <c r="P28" s="36">
        <f t="shared" si="0"/>
        <v>65141.599999999999</v>
      </c>
      <c r="Q28" s="36">
        <f t="shared" si="0"/>
        <v>25482.100000000002</v>
      </c>
      <c r="R28" s="36">
        <f t="shared" si="0"/>
        <v>13235.4</v>
      </c>
      <c r="S28" s="36">
        <f t="shared" si="1"/>
        <v>1432</v>
      </c>
      <c r="T28" s="36">
        <f t="shared" si="2"/>
        <v>103859.09999999999</v>
      </c>
      <c r="U28" s="37">
        <f t="shared" si="4"/>
        <v>72.52730446927373</v>
      </c>
    </row>
    <row r="29" spans="1:21" ht="13.5" customHeight="1" x14ac:dyDescent="0.3">
      <c r="A29" s="19"/>
      <c r="C29" s="31">
        <v>19</v>
      </c>
      <c r="D29" s="24" t="s">
        <v>30</v>
      </c>
      <c r="E29" s="25">
        <v>78.400000000000006</v>
      </c>
      <c r="F29" s="25">
        <v>58.8</v>
      </c>
      <c r="G29" s="25">
        <v>48.5</v>
      </c>
      <c r="H29" s="24"/>
      <c r="I29" s="25">
        <f t="shared" si="3"/>
        <v>63.863895486935867</v>
      </c>
      <c r="J29" s="47">
        <f>(I29/'AAU 97-98'!I29)-1</f>
        <v>3.1847362303987881E-2</v>
      </c>
      <c r="K29" s="18"/>
      <c r="M29" s="38">
        <f>286+44</f>
        <v>330</v>
      </c>
      <c r="N29" s="38">
        <f>219+79</f>
        <v>298</v>
      </c>
      <c r="O29" s="38">
        <f>129+85</f>
        <v>214</v>
      </c>
      <c r="P29" s="36">
        <f t="shared" si="0"/>
        <v>25872.000000000004</v>
      </c>
      <c r="Q29" s="36">
        <f t="shared" si="0"/>
        <v>17522.399999999998</v>
      </c>
      <c r="R29" s="36">
        <f t="shared" si="0"/>
        <v>10379</v>
      </c>
      <c r="S29" s="36">
        <f t="shared" si="1"/>
        <v>842</v>
      </c>
      <c r="T29" s="36">
        <f t="shared" si="2"/>
        <v>53773.4</v>
      </c>
      <c r="U29" s="37">
        <f t="shared" si="4"/>
        <v>63.863895486935867</v>
      </c>
    </row>
    <row r="30" spans="1:21" ht="13.5" customHeight="1" x14ac:dyDescent="0.3">
      <c r="A30" s="19"/>
      <c r="C30" s="31">
        <v>20</v>
      </c>
      <c r="D30" s="1" t="s">
        <v>64</v>
      </c>
      <c r="E30" s="20">
        <v>74.900000000000006</v>
      </c>
      <c r="F30" s="20">
        <v>53.6</v>
      </c>
      <c r="G30" s="20">
        <v>46</v>
      </c>
      <c r="I30" s="20">
        <f>U30</f>
        <v>61.663388510223953</v>
      </c>
      <c r="J30" s="45">
        <f>(I30/'AAU 97-98'!I30)-1</f>
        <v>4.0770195349119076E-2</v>
      </c>
      <c r="K30" s="18"/>
      <c r="M30" s="38">
        <f>408+55</f>
        <v>463</v>
      </c>
      <c r="N30" s="38">
        <f>268+88</f>
        <v>356</v>
      </c>
      <c r="O30" s="38">
        <f>123+85</f>
        <v>208</v>
      </c>
      <c r="P30" s="36">
        <f t="shared" si="0"/>
        <v>34678.700000000004</v>
      </c>
      <c r="Q30" s="36">
        <f t="shared" si="0"/>
        <v>19081.600000000002</v>
      </c>
      <c r="R30" s="36">
        <f t="shared" si="0"/>
        <v>9568</v>
      </c>
      <c r="S30" s="36">
        <f t="shared" si="1"/>
        <v>1027</v>
      </c>
      <c r="T30" s="36">
        <f t="shared" si="2"/>
        <v>63328.3</v>
      </c>
      <c r="U30" s="37">
        <f>T30/S30</f>
        <v>61.663388510223953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88.7</v>
      </c>
      <c r="F31" s="20">
        <v>65.2</v>
      </c>
      <c r="G31" s="20">
        <v>51.2</v>
      </c>
      <c r="I31" s="20">
        <f t="shared" si="3"/>
        <v>74.106166219839139</v>
      </c>
      <c r="J31" s="45">
        <f>(I31/'AAU 97-98'!I31)-1</f>
        <v>3.1015530878848008E-2</v>
      </c>
      <c r="K31" s="18"/>
      <c r="M31" s="38">
        <f>470+106</f>
        <v>576</v>
      </c>
      <c r="N31" s="38">
        <f>191+97</f>
        <v>288</v>
      </c>
      <c r="O31" s="38">
        <f>139+116</f>
        <v>255</v>
      </c>
      <c r="P31" s="36">
        <f t="shared" si="0"/>
        <v>51091.200000000004</v>
      </c>
      <c r="Q31" s="36">
        <f t="shared" si="0"/>
        <v>18777.600000000002</v>
      </c>
      <c r="R31" s="36">
        <f t="shared" si="0"/>
        <v>13056</v>
      </c>
      <c r="S31" s="36">
        <f t="shared" si="1"/>
        <v>1119</v>
      </c>
      <c r="T31" s="36">
        <f t="shared" si="2"/>
        <v>82924.800000000003</v>
      </c>
      <c r="U31" s="37">
        <f t="shared" si="4"/>
        <v>74.106166219839139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84.9</v>
      </c>
      <c r="F32" s="20">
        <v>58.1</v>
      </c>
      <c r="G32" s="20">
        <v>48.7</v>
      </c>
      <c r="I32" s="20">
        <f t="shared" si="3"/>
        <v>66.872299741602077</v>
      </c>
      <c r="J32" s="45">
        <f>(I32/'AAU 97-98'!I32)-1</f>
        <v>3.673653175152003E-2</v>
      </c>
      <c r="K32" s="18"/>
      <c r="M32" s="38">
        <f>685+102</f>
        <v>787</v>
      </c>
      <c r="N32" s="38">
        <f>494+216</f>
        <v>710</v>
      </c>
      <c r="O32" s="38">
        <f>255+183</f>
        <v>438</v>
      </c>
      <c r="P32" s="36">
        <f t="shared" si="0"/>
        <v>66816.3</v>
      </c>
      <c r="Q32" s="36">
        <f t="shared" si="0"/>
        <v>41251</v>
      </c>
      <c r="R32" s="36">
        <f t="shared" si="0"/>
        <v>21330.600000000002</v>
      </c>
      <c r="S32" s="36">
        <f t="shared" si="1"/>
        <v>1935</v>
      </c>
      <c r="T32" s="36">
        <f t="shared" si="2"/>
        <v>129397.90000000001</v>
      </c>
      <c r="U32" s="37">
        <f t="shared" si="4"/>
        <v>66.872299741602077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67.400000000000006</v>
      </c>
      <c r="F33" s="20">
        <v>50</v>
      </c>
      <c r="G33" s="20">
        <v>44.5</v>
      </c>
      <c r="I33" s="20">
        <f t="shared" si="3"/>
        <v>55.351818181818182</v>
      </c>
      <c r="J33" s="45">
        <f>(I33/'AAU 97-98'!I33)-1</f>
        <v>4.5169654607492227E-2</v>
      </c>
      <c r="K33" s="18"/>
      <c r="M33" s="38">
        <f>170+45</f>
        <v>215</v>
      </c>
      <c r="N33" s="38">
        <f>119+71</f>
        <v>190</v>
      </c>
      <c r="O33" s="38">
        <f>81+64</f>
        <v>145</v>
      </c>
      <c r="P33" s="36">
        <f t="shared" si="0"/>
        <v>14491.000000000002</v>
      </c>
      <c r="Q33" s="36">
        <f t="shared" si="0"/>
        <v>9500</v>
      </c>
      <c r="R33" s="36">
        <f t="shared" si="0"/>
        <v>6452.5</v>
      </c>
      <c r="S33" s="36">
        <f t="shared" si="1"/>
        <v>550</v>
      </c>
      <c r="T33" s="36">
        <f t="shared" si="2"/>
        <v>30443.5</v>
      </c>
      <c r="U33" s="37">
        <f t="shared" si="4"/>
        <v>55.351818181818182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86.1</v>
      </c>
      <c r="F34" s="20">
        <v>58</v>
      </c>
      <c r="G34" s="20">
        <v>47.4</v>
      </c>
      <c r="I34" s="20">
        <f t="shared" si="3"/>
        <v>67.157608695652172</v>
      </c>
      <c r="J34" s="45">
        <f>(I34/'AAU 97-98'!I34)-1</f>
        <v>3.6787514629130991E-2</v>
      </c>
      <c r="K34" s="18"/>
      <c r="M34" s="38">
        <f>594+73</f>
        <v>667</v>
      </c>
      <c r="N34" s="38">
        <f>355+125</f>
        <v>480</v>
      </c>
      <c r="O34" s="38">
        <f>247+170</f>
        <v>417</v>
      </c>
      <c r="P34" s="36">
        <f t="shared" si="0"/>
        <v>57428.7</v>
      </c>
      <c r="Q34" s="36">
        <f t="shared" si="0"/>
        <v>27840</v>
      </c>
      <c r="R34" s="36">
        <f t="shared" si="0"/>
        <v>19765.8</v>
      </c>
      <c r="S34" s="36">
        <f t="shared" si="1"/>
        <v>1564</v>
      </c>
      <c r="T34" s="36">
        <f t="shared" si="2"/>
        <v>105034.5</v>
      </c>
      <c r="U34" s="37">
        <f t="shared" si="4"/>
        <v>67.157608695652172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82.8</v>
      </c>
      <c r="F35" s="20">
        <v>58.6</v>
      </c>
      <c r="G35" s="20">
        <v>48.1</v>
      </c>
      <c r="I35" s="20">
        <f t="shared" si="3"/>
        <v>64.880659536541899</v>
      </c>
      <c r="J35" s="45">
        <f>(I35/'AAU 97-98'!I35)-1</f>
        <v>4.0755452941726666E-2</v>
      </c>
      <c r="K35" s="18"/>
      <c r="M35" s="38">
        <f>359+68</f>
        <v>427</v>
      </c>
      <c r="N35" s="38">
        <f>274+108</f>
        <v>382</v>
      </c>
      <c r="O35" s="38">
        <f>149+164</f>
        <v>313</v>
      </c>
      <c r="P35" s="36">
        <f t="shared" si="0"/>
        <v>35355.599999999999</v>
      </c>
      <c r="Q35" s="36">
        <f t="shared" si="0"/>
        <v>22385.200000000001</v>
      </c>
      <c r="R35" s="36">
        <f t="shared" si="0"/>
        <v>15055.300000000001</v>
      </c>
      <c r="S35" s="36">
        <f t="shared" si="1"/>
        <v>1122</v>
      </c>
      <c r="T35" s="36">
        <f t="shared" si="2"/>
        <v>72796.100000000006</v>
      </c>
      <c r="U35" s="37">
        <f t="shared" si="4"/>
        <v>64.880659536541899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84.6</v>
      </c>
      <c r="F36" s="20">
        <v>57.7</v>
      </c>
      <c r="G36" s="20">
        <v>48.8</v>
      </c>
      <c r="I36" s="20">
        <f t="shared" si="3"/>
        <v>66.908951048951053</v>
      </c>
      <c r="J36" s="45">
        <f>(I36/'AAU 97-98'!I36)-1</f>
        <v>3.8488921035417345E-2</v>
      </c>
      <c r="K36" s="18"/>
      <c r="M36" s="38">
        <f>555+52</f>
        <v>607</v>
      </c>
      <c r="N36" s="38">
        <f>346+122</f>
        <v>468</v>
      </c>
      <c r="O36" s="38">
        <f>220+135</f>
        <v>355</v>
      </c>
      <c r="P36" s="36">
        <f t="shared" si="0"/>
        <v>51352.2</v>
      </c>
      <c r="Q36" s="36">
        <f t="shared" si="0"/>
        <v>27003.600000000002</v>
      </c>
      <c r="R36" s="36">
        <f t="shared" si="0"/>
        <v>17324</v>
      </c>
      <c r="S36" s="36">
        <f t="shared" si="1"/>
        <v>1430</v>
      </c>
      <c r="T36" s="36">
        <f t="shared" si="2"/>
        <v>95679.8</v>
      </c>
      <c r="U36" s="37">
        <f t="shared" si="4"/>
        <v>66.908951048951053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94.8</v>
      </c>
      <c r="F37" s="20">
        <v>68.3</v>
      </c>
      <c r="G37" s="20">
        <v>50.6</v>
      </c>
      <c r="I37" s="20">
        <f t="shared" si="3"/>
        <v>78.013551401869151</v>
      </c>
      <c r="J37" s="45">
        <f>(I37/'AAU 97-98'!I37)-1</f>
        <v>5.5922199626687208E-2</v>
      </c>
      <c r="K37" s="18"/>
      <c r="M37" s="38">
        <f>545+112</f>
        <v>657</v>
      </c>
      <c r="N37" s="38">
        <f>234+114</f>
        <v>348</v>
      </c>
      <c r="O37" s="38">
        <f>157+122</f>
        <v>279</v>
      </c>
      <c r="P37" s="36">
        <f t="shared" si="0"/>
        <v>62283.6</v>
      </c>
      <c r="Q37" s="36">
        <f t="shared" si="0"/>
        <v>23768.399999999998</v>
      </c>
      <c r="R37" s="36">
        <f t="shared" si="0"/>
        <v>14117.4</v>
      </c>
      <c r="S37" s="36">
        <f t="shared" si="1"/>
        <v>1284</v>
      </c>
      <c r="T37" s="36">
        <f t="shared" si="2"/>
        <v>100169.4</v>
      </c>
      <c r="U37" s="37">
        <f t="shared" si="4"/>
        <v>78.013551401869151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85</v>
      </c>
      <c r="F38" s="20">
        <v>61.1</v>
      </c>
      <c r="G38" s="20">
        <v>48.3</v>
      </c>
      <c r="I38" s="20">
        <f t="shared" si="3"/>
        <v>68.62503328894806</v>
      </c>
      <c r="J38" s="45">
        <f>(I38/'AAU 97-98'!I38)-1</f>
        <v>6.300500605886783E-2</v>
      </c>
      <c r="K38" s="18"/>
      <c r="M38" s="38">
        <f>300+35</f>
        <v>335</v>
      </c>
      <c r="N38" s="38">
        <f>160+72</f>
        <v>232</v>
      </c>
      <c r="O38" s="38">
        <f>115+69</f>
        <v>184</v>
      </c>
      <c r="P38" s="36">
        <f t="shared" si="0"/>
        <v>28475</v>
      </c>
      <c r="Q38" s="36">
        <f t="shared" si="0"/>
        <v>14175.2</v>
      </c>
      <c r="R38" s="36">
        <f t="shared" si="0"/>
        <v>8887.1999999999989</v>
      </c>
      <c r="S38" s="36">
        <f t="shared" si="1"/>
        <v>751</v>
      </c>
      <c r="T38" s="36">
        <f t="shared" si="2"/>
        <v>51537.399999999994</v>
      </c>
      <c r="U38" s="37">
        <f t="shared" si="4"/>
        <v>68.62503328894806</v>
      </c>
    </row>
    <row r="39" spans="1:21" ht="13.5" customHeight="1" x14ac:dyDescent="0.3">
      <c r="A39" s="19"/>
      <c r="C39" s="31">
        <v>30</v>
      </c>
      <c r="D39" s="1" t="s">
        <v>48</v>
      </c>
      <c r="E39" s="20">
        <v>84.4</v>
      </c>
      <c r="F39" s="20">
        <v>54.6</v>
      </c>
      <c r="G39" s="20">
        <v>50.6</v>
      </c>
      <c r="I39" s="20">
        <f t="shared" si="3"/>
        <v>70.280303915838701</v>
      </c>
      <c r="J39" s="45">
        <f>(I39/'AAU 97-98'!I39)-1</f>
        <v>2.5497129597025658E-2</v>
      </c>
      <c r="K39" s="18"/>
      <c r="M39" s="38">
        <f>828+117</f>
        <v>945</v>
      </c>
      <c r="N39" s="38">
        <f>290+143</f>
        <v>433</v>
      </c>
      <c r="O39" s="38">
        <f>188+145</f>
        <v>333</v>
      </c>
      <c r="P39" s="36">
        <f t="shared" si="0"/>
        <v>79758</v>
      </c>
      <c r="Q39" s="36">
        <f t="shared" si="0"/>
        <v>23641.8</v>
      </c>
      <c r="R39" s="36">
        <f t="shared" si="0"/>
        <v>16849.8</v>
      </c>
      <c r="S39" s="36">
        <f t="shared" si="1"/>
        <v>1711</v>
      </c>
      <c r="T39" s="36">
        <f t="shared" si="2"/>
        <v>120249.60000000001</v>
      </c>
      <c r="U39" s="37">
        <f t="shared" si="4"/>
        <v>70.280303915838701</v>
      </c>
    </row>
    <row r="40" spans="1:21" ht="13.5" customHeight="1" x14ac:dyDescent="0.3">
      <c r="A40" s="19"/>
      <c r="C40" s="31">
        <v>32</v>
      </c>
      <c r="D40" s="1" t="s">
        <v>38</v>
      </c>
      <c r="E40" s="20">
        <v>96.5</v>
      </c>
      <c r="F40" s="20">
        <v>65</v>
      </c>
      <c r="G40" s="20">
        <v>51.2</v>
      </c>
      <c r="I40" s="20">
        <f t="shared" si="3"/>
        <v>77.454019292604514</v>
      </c>
      <c r="J40" s="45">
        <f>(I40/'AAU 97-98'!I40)-1</f>
        <v>6.112719061549865E-2</v>
      </c>
      <c r="K40" s="18"/>
      <c r="M40" s="38">
        <f>407+53</f>
        <v>460</v>
      </c>
      <c r="N40" s="38">
        <f>193+72</f>
        <v>265</v>
      </c>
      <c r="O40" s="38">
        <f>101+107</f>
        <v>208</v>
      </c>
      <c r="P40" s="36">
        <f t="shared" si="0"/>
        <v>44390</v>
      </c>
      <c r="Q40" s="36">
        <f t="shared" si="0"/>
        <v>17225</v>
      </c>
      <c r="R40" s="36">
        <f t="shared" si="0"/>
        <v>10649.6</v>
      </c>
      <c r="S40" s="36">
        <f t="shared" si="1"/>
        <v>933</v>
      </c>
      <c r="T40" s="36">
        <f t="shared" si="2"/>
        <v>72264.600000000006</v>
      </c>
      <c r="U40" s="37">
        <f t="shared" si="4"/>
        <v>77.454019292604514</v>
      </c>
    </row>
    <row r="41" spans="1:21" ht="13.5" customHeight="1" x14ac:dyDescent="0.3">
      <c r="A41" s="19"/>
      <c r="C41" s="31">
        <v>33</v>
      </c>
      <c r="D41" s="1" t="s">
        <v>39</v>
      </c>
      <c r="E41" s="20">
        <v>75.599999999999994</v>
      </c>
      <c r="F41" s="20">
        <v>55.1</v>
      </c>
      <c r="G41" s="20">
        <v>48.1</v>
      </c>
      <c r="I41" s="20">
        <f t="shared" si="3"/>
        <v>64.784861278648975</v>
      </c>
      <c r="J41" s="45">
        <f>(I41/'AAU 97-98'!I41)-1</f>
        <v>2.6304527447291948E-2</v>
      </c>
      <c r="K41" s="18"/>
      <c r="M41" s="38">
        <f>754+143</f>
        <v>897</v>
      </c>
      <c r="N41" s="38">
        <f>280+148</f>
        <v>428</v>
      </c>
      <c r="O41" s="38">
        <f>188+145</f>
        <v>333</v>
      </c>
      <c r="P41" s="36">
        <f t="shared" si="0"/>
        <v>67813.2</v>
      </c>
      <c r="Q41" s="36">
        <f t="shared" si="0"/>
        <v>23582.799999999999</v>
      </c>
      <c r="R41" s="36">
        <f t="shared" si="0"/>
        <v>16017.300000000001</v>
      </c>
      <c r="S41" s="36">
        <f t="shared" si="1"/>
        <v>1658</v>
      </c>
      <c r="T41" s="36">
        <f t="shared" si="2"/>
        <v>107413.3</v>
      </c>
      <c r="U41" s="37">
        <f t="shared" si="4"/>
        <v>64.784861278648975</v>
      </c>
    </row>
    <row r="42" spans="1:21" ht="13.5" customHeight="1" x14ac:dyDescent="0.3">
      <c r="A42" s="19"/>
      <c r="C42" s="31">
        <v>34</v>
      </c>
      <c r="D42" s="1" t="s">
        <v>40</v>
      </c>
      <c r="E42" s="20">
        <v>77.599999999999994</v>
      </c>
      <c r="F42" s="20">
        <v>58.7</v>
      </c>
      <c r="G42" s="20">
        <v>52.1</v>
      </c>
      <c r="I42" s="20">
        <f t="shared" si="3"/>
        <v>69.493612334801767</v>
      </c>
      <c r="J42" s="45">
        <f>(I42/'AAU 97-98'!I42)-1</f>
        <v>5.2618063162113815E-2</v>
      </c>
      <c r="K42" s="18"/>
      <c r="M42" s="38">
        <f>712+143</f>
        <v>855</v>
      </c>
      <c r="N42" s="38">
        <f>176+110</f>
        <v>286</v>
      </c>
      <c r="O42" s="38">
        <f>131+90</f>
        <v>221</v>
      </c>
      <c r="P42" s="36">
        <f t="shared" si="0"/>
        <v>66348</v>
      </c>
      <c r="Q42" s="36">
        <f t="shared" si="0"/>
        <v>16788.2</v>
      </c>
      <c r="R42" s="36">
        <f t="shared" si="0"/>
        <v>11514.1</v>
      </c>
      <c r="S42" s="36">
        <f t="shared" si="1"/>
        <v>1362</v>
      </c>
      <c r="T42" s="36">
        <f t="shared" si="2"/>
        <v>94650.3</v>
      </c>
      <c r="U42" s="37">
        <f t="shared" si="4"/>
        <v>69.493612334801767</v>
      </c>
    </row>
    <row r="43" spans="1:21" ht="13.5" customHeight="1" x14ac:dyDescent="0.3">
      <c r="A43" s="19"/>
      <c r="K43" s="18"/>
    </row>
    <row r="44" spans="1:21" ht="13.5" customHeight="1" x14ac:dyDescent="0.3">
      <c r="A44" s="19"/>
      <c r="D44" s="44" t="s">
        <v>54</v>
      </c>
      <c r="E44" s="41">
        <f>P44/M44</f>
        <v>85.525524119682473</v>
      </c>
      <c r="F44" s="41">
        <f t="shared" ref="F44" si="5">Q44/N44</f>
        <v>59.252581778859152</v>
      </c>
      <c r="G44" s="41">
        <f>R44/O44</f>
        <v>49.81980151228732</v>
      </c>
      <c r="H44" s="40"/>
      <c r="I44" s="41">
        <f t="shared" si="3"/>
        <v>70.383502919950018</v>
      </c>
      <c r="J44" s="46">
        <f>(I44/'AAU 97-98'!I44)-1</f>
        <v>5.3343311443029728E-2</v>
      </c>
      <c r="K44" s="18"/>
      <c r="M44" s="39">
        <f t="shared" ref="M44:R44" si="6">SUM(M11:M42)</f>
        <v>19652</v>
      </c>
      <c r="N44" s="39">
        <f t="shared" si="6"/>
        <v>11097</v>
      </c>
      <c r="O44" s="39">
        <f t="shared" si="6"/>
        <v>8464</v>
      </c>
      <c r="P44" s="39">
        <f t="shared" si="6"/>
        <v>1680747.6</v>
      </c>
      <c r="Q44" s="39">
        <f t="shared" si="6"/>
        <v>657525.9</v>
      </c>
      <c r="R44" s="39">
        <f t="shared" si="6"/>
        <v>421674.79999999987</v>
      </c>
      <c r="S44" s="36">
        <f>M44+N44+O44</f>
        <v>39213</v>
      </c>
      <c r="T44" s="36">
        <f>P44+Q44+R44</f>
        <v>2759948.3</v>
      </c>
      <c r="U44" s="37">
        <f>T44/S44</f>
        <v>70.383502919950018</v>
      </c>
    </row>
    <row r="45" spans="1:21" ht="13.5" customHeight="1" x14ac:dyDescent="0.3">
      <c r="A45" s="19"/>
      <c r="D45" s="44" t="s">
        <v>55</v>
      </c>
      <c r="E45" s="41">
        <f>MEDIAN(E11:E42)</f>
        <v>84.55</v>
      </c>
      <c r="F45" s="41">
        <f t="shared" ref="F45" si="7">MEDIAN(F11:F42)</f>
        <v>58.75</v>
      </c>
      <c r="G45" s="41">
        <f>MEDIAN(G11:G42)</f>
        <v>49.05</v>
      </c>
      <c r="H45" s="40"/>
      <c r="I45" s="41">
        <f>MEDIAN(I11:I42)</f>
        <v>68.491018589999328</v>
      </c>
      <c r="J45" s="46">
        <f>(I45/'AAU 97-98'!I45)-1</f>
        <v>4.730741877101341E-2</v>
      </c>
      <c r="K45" s="18"/>
    </row>
    <row r="46" spans="1:21" ht="13.5" customHeight="1" x14ac:dyDescent="0.3">
      <c r="A46" s="19"/>
      <c r="B46" s="22"/>
      <c r="C46" s="33"/>
      <c r="D46" s="22"/>
      <c r="E46" s="22"/>
      <c r="F46" s="22"/>
      <c r="G46" s="22"/>
      <c r="H46" s="22"/>
      <c r="I46" s="22"/>
      <c r="J46" s="22"/>
      <c r="K46" s="18"/>
    </row>
    <row r="47" spans="1:21" ht="13.5" customHeight="1" x14ac:dyDescent="0.3">
      <c r="A47" s="19"/>
      <c r="K47" s="18"/>
    </row>
    <row r="48" spans="1:21" ht="13.5" customHeight="1" x14ac:dyDescent="0.3">
      <c r="A48" s="19"/>
      <c r="B48" s="16" t="s">
        <v>58</v>
      </c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21"/>
      <c r="B50" s="42" t="s">
        <v>56</v>
      </c>
      <c r="C50" s="33"/>
      <c r="D50" s="22"/>
      <c r="E50" s="22"/>
      <c r="F50" s="22"/>
      <c r="G50" s="22"/>
      <c r="H50" s="22"/>
      <c r="I50" s="22"/>
      <c r="J50" s="43" t="s">
        <v>92</v>
      </c>
      <c r="K50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  <ignoredErrors>
    <ignoredError sqref="O40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I50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22" width="9.109375" style="1"/>
    <col min="23" max="23" width="9.109375" style="1" customWidth="1"/>
    <col min="24" max="16384" width="9.109375" style="1"/>
  </cols>
  <sheetData>
    <row r="1" spans="1:35" s="2" customFormat="1" ht="13.5" customHeight="1" x14ac:dyDescent="0.3">
      <c r="C1" s="26"/>
    </row>
    <row r="2" spans="1:35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35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35" s="2" customFormat="1" ht="15" customHeight="1" x14ac:dyDescent="0.3">
      <c r="A4" s="3"/>
      <c r="B4" s="6" t="s">
        <v>93</v>
      </c>
      <c r="C4" s="28"/>
      <c r="D4" s="7"/>
      <c r="K4" s="5"/>
    </row>
    <row r="5" spans="1:35" s="2" customFormat="1" ht="15" customHeight="1" x14ac:dyDescent="0.3">
      <c r="A5" s="3"/>
      <c r="B5" s="6" t="s">
        <v>0</v>
      </c>
      <c r="C5" s="28"/>
      <c r="D5" s="7"/>
      <c r="K5" s="5"/>
    </row>
    <row r="6" spans="1:35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  <c r="W6" s="1" t="s">
        <v>96</v>
      </c>
    </row>
    <row r="7" spans="1:35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  <c r="AB7" s="17" t="s">
        <v>41</v>
      </c>
      <c r="AD7" s="34"/>
      <c r="AE7" s="17" t="s">
        <v>51</v>
      </c>
      <c r="AF7" s="34"/>
      <c r="AG7" s="35" t="s">
        <v>49</v>
      </c>
      <c r="AH7" s="35" t="s">
        <v>49</v>
      </c>
      <c r="AI7" s="35" t="s">
        <v>53</v>
      </c>
    </row>
    <row r="8" spans="1:35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  <c r="X8" s="13" t="s">
        <v>6</v>
      </c>
      <c r="Y8" s="13" t="s">
        <v>7</v>
      </c>
      <c r="Z8" s="13" t="s">
        <v>8</v>
      </c>
      <c r="AA8" s="13" t="s">
        <v>42</v>
      </c>
      <c r="AB8" s="13" t="s">
        <v>43</v>
      </c>
      <c r="AC8" s="13" t="s">
        <v>44</v>
      </c>
      <c r="AD8" s="13" t="s">
        <v>42</v>
      </c>
      <c r="AE8" s="13" t="s">
        <v>43</v>
      </c>
      <c r="AF8" s="13" t="s">
        <v>44</v>
      </c>
      <c r="AG8" s="13" t="s">
        <v>50</v>
      </c>
      <c r="AH8" s="13" t="s">
        <v>52</v>
      </c>
      <c r="AI8" s="13" t="s">
        <v>52</v>
      </c>
    </row>
    <row r="9" spans="1:35" ht="13.5" customHeight="1" x14ac:dyDescent="0.3">
      <c r="A9" s="19"/>
      <c r="K9" s="18"/>
    </row>
    <row r="10" spans="1:35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35" ht="13.5" customHeight="1" x14ac:dyDescent="0.3">
      <c r="A11" s="19"/>
      <c r="C11" s="31">
        <v>1</v>
      </c>
      <c r="D11" s="1" t="s">
        <v>11</v>
      </c>
      <c r="E11" s="20">
        <v>75</v>
      </c>
      <c r="F11" s="20">
        <v>52.5</v>
      </c>
      <c r="G11" s="20">
        <v>46.5</v>
      </c>
      <c r="I11" s="20">
        <f>U11</f>
        <v>62.514840182648399</v>
      </c>
      <c r="J11" s="45">
        <f>(I11/AI11)-1</f>
        <v>3.8972334386539575E-2</v>
      </c>
      <c r="K11" s="18"/>
      <c r="M11" s="38">
        <f>559+92</f>
        <v>651</v>
      </c>
      <c r="N11" s="38">
        <f>273+142</f>
        <v>415</v>
      </c>
      <c r="O11" s="38">
        <f>133+115</f>
        <v>248</v>
      </c>
      <c r="P11" s="36">
        <f>E11*M11</f>
        <v>48825</v>
      </c>
      <c r="Q11" s="36">
        <f t="shared" ref="P11:R42" si="0">F11*N11</f>
        <v>21787.5</v>
      </c>
      <c r="R11" s="36">
        <f t="shared" si="0"/>
        <v>11532</v>
      </c>
      <c r="S11" s="36">
        <f t="shared" ref="S11:S42" si="1">M11+N11+O11</f>
        <v>1314</v>
      </c>
      <c r="T11" s="36">
        <f t="shared" ref="T11:T42" si="2">P11+Q11+R11</f>
        <v>82144.5</v>
      </c>
      <c r="U11" s="37">
        <f>T11/S11</f>
        <v>62.514840182648399</v>
      </c>
      <c r="W11" s="1" t="s">
        <v>11</v>
      </c>
      <c r="X11" s="20">
        <v>72.099999999999994</v>
      </c>
      <c r="Y11" s="20">
        <v>50.6</v>
      </c>
      <c r="Z11" s="20">
        <v>44.3</v>
      </c>
      <c r="AA11" s="38">
        <f>576+91</f>
        <v>667</v>
      </c>
      <c r="AB11" s="38">
        <f>270+132</f>
        <v>402</v>
      </c>
      <c r="AC11" s="38">
        <f>140+119</f>
        <v>259</v>
      </c>
      <c r="AD11" s="36">
        <f>X11*AA11</f>
        <v>48090.7</v>
      </c>
      <c r="AE11" s="36">
        <f>Y11*AB11</f>
        <v>20341.2</v>
      </c>
      <c r="AF11" s="36">
        <f>Z11*AC11</f>
        <v>11473.699999999999</v>
      </c>
      <c r="AG11" s="36">
        <f>AA11+AB11+AC11</f>
        <v>1328</v>
      </c>
      <c r="AH11" s="36">
        <f>AD11+AE11+AF11</f>
        <v>79905.599999999991</v>
      </c>
      <c r="AI11" s="37">
        <f>AH11/AG11</f>
        <v>60.169879518072285</v>
      </c>
    </row>
    <row r="12" spans="1:35" ht="13.5" customHeight="1" x14ac:dyDescent="0.3">
      <c r="A12" s="19"/>
      <c r="C12" s="31">
        <v>2</v>
      </c>
      <c r="D12" s="1" t="s">
        <v>12</v>
      </c>
      <c r="E12" s="20">
        <v>92.7</v>
      </c>
      <c r="F12" s="20">
        <v>61.1</v>
      </c>
      <c r="G12" s="20">
        <v>52</v>
      </c>
      <c r="I12" s="20">
        <f t="shared" ref="I12:I44" si="3">U12</f>
        <v>79.597974068071309</v>
      </c>
      <c r="J12" s="45">
        <f t="shared" ref="J12:J42" si="4">(I12/AI12)-1</f>
        <v>6.1591327942078999E-2</v>
      </c>
      <c r="K12" s="18"/>
      <c r="M12" s="38">
        <f>656+130</f>
        <v>786</v>
      </c>
      <c r="N12" s="38">
        <f>140+87</f>
        <v>227</v>
      </c>
      <c r="O12" s="38">
        <f>145+76</f>
        <v>221</v>
      </c>
      <c r="P12" s="36">
        <f t="shared" si="0"/>
        <v>72862.2</v>
      </c>
      <c r="Q12" s="36">
        <f t="shared" si="0"/>
        <v>13869.7</v>
      </c>
      <c r="R12" s="36">
        <f t="shared" si="0"/>
        <v>11492</v>
      </c>
      <c r="S12" s="36">
        <f t="shared" si="1"/>
        <v>1234</v>
      </c>
      <c r="T12" s="36">
        <f t="shared" si="2"/>
        <v>98223.9</v>
      </c>
      <c r="U12" s="37">
        <f t="shared" ref="U12:U42" si="5">T12/S12</f>
        <v>79.597974068071309</v>
      </c>
      <c r="W12" s="1" t="s">
        <v>12</v>
      </c>
      <c r="X12" s="20">
        <v>87</v>
      </c>
      <c r="Y12" s="20">
        <v>57.8</v>
      </c>
      <c r="Z12" s="20">
        <v>49.6</v>
      </c>
      <c r="AA12" s="38">
        <f>634+119</f>
        <v>753</v>
      </c>
      <c r="AB12" s="38">
        <f>145+79</f>
        <v>224</v>
      </c>
      <c r="AC12" s="38">
        <f>131+74</f>
        <v>205</v>
      </c>
      <c r="AD12" s="36">
        <f t="shared" ref="AD12:AD42" si="6">X12*AA12</f>
        <v>65511</v>
      </c>
      <c r="AE12" s="36">
        <f t="shared" ref="AE12:AE42" si="7">Y12*AB12</f>
        <v>12947.199999999999</v>
      </c>
      <c r="AF12" s="36">
        <f t="shared" ref="AF12:AF42" si="8">Z12*AC12</f>
        <v>10168</v>
      </c>
      <c r="AG12" s="36">
        <f t="shared" ref="AG12:AG42" si="9">AA12+AB12+AC12</f>
        <v>1182</v>
      </c>
      <c r="AH12" s="36">
        <f t="shared" ref="AH12:AH42" si="10">AD12+AE12+AF12</f>
        <v>88626.2</v>
      </c>
      <c r="AI12" s="37">
        <f t="shared" ref="AI12:AI42" si="11">AH12/AG12</f>
        <v>74.979864636209811</v>
      </c>
    </row>
    <row r="13" spans="1:35" ht="13.5" customHeight="1" x14ac:dyDescent="0.3">
      <c r="A13" s="19"/>
      <c r="C13" s="31">
        <v>3</v>
      </c>
      <c r="D13" s="1" t="s">
        <v>13</v>
      </c>
      <c r="E13" s="20">
        <v>81.3</v>
      </c>
      <c r="F13" s="20">
        <v>57</v>
      </c>
      <c r="G13" s="20">
        <v>48.5</v>
      </c>
      <c r="I13" s="20">
        <f t="shared" si="3"/>
        <v>69.642857142857139</v>
      </c>
      <c r="J13" s="45">
        <f t="shared" si="4"/>
        <v>6.0089607671724776E-2</v>
      </c>
      <c r="K13" s="18"/>
      <c r="M13" s="38">
        <f>445+105</f>
        <v>550</v>
      </c>
      <c r="N13" s="38">
        <f>113+63</f>
        <v>176</v>
      </c>
      <c r="O13" s="38">
        <f>117+81</f>
        <v>198</v>
      </c>
      <c r="P13" s="36">
        <f t="shared" si="0"/>
        <v>44715</v>
      </c>
      <c r="Q13" s="36">
        <f t="shared" si="0"/>
        <v>10032</v>
      </c>
      <c r="R13" s="36">
        <f t="shared" si="0"/>
        <v>9603</v>
      </c>
      <c r="S13" s="36">
        <f t="shared" si="1"/>
        <v>924</v>
      </c>
      <c r="T13" s="36">
        <f t="shared" si="2"/>
        <v>64350</v>
      </c>
      <c r="U13" s="37">
        <f t="shared" si="5"/>
        <v>69.642857142857139</v>
      </c>
      <c r="W13" s="1" t="s">
        <v>13</v>
      </c>
      <c r="X13" s="20">
        <v>76.900000000000006</v>
      </c>
      <c r="Y13" s="20">
        <v>53.9</v>
      </c>
      <c r="Z13" s="20">
        <v>45.3</v>
      </c>
      <c r="AA13" s="38">
        <f>408+92</f>
        <v>500</v>
      </c>
      <c r="AB13" s="38">
        <f>100+62</f>
        <v>162</v>
      </c>
      <c r="AC13" s="38">
        <f>112+69</f>
        <v>181</v>
      </c>
      <c r="AD13" s="36">
        <f t="shared" si="6"/>
        <v>38450</v>
      </c>
      <c r="AE13" s="36">
        <f t="shared" si="7"/>
        <v>8731.7999999999993</v>
      </c>
      <c r="AF13" s="36">
        <f t="shared" si="8"/>
        <v>8199.2999999999993</v>
      </c>
      <c r="AG13" s="36">
        <f t="shared" si="9"/>
        <v>843</v>
      </c>
      <c r="AH13" s="36">
        <f t="shared" si="10"/>
        <v>55381.100000000006</v>
      </c>
      <c r="AI13" s="37">
        <f t="shared" si="11"/>
        <v>65.695255041518394</v>
      </c>
    </row>
    <row r="14" spans="1:35" ht="13.5" customHeight="1" x14ac:dyDescent="0.3">
      <c r="A14" s="19"/>
      <c r="C14" s="31">
        <v>4</v>
      </c>
      <c r="D14" s="1" t="s">
        <v>14</v>
      </c>
      <c r="E14" s="20">
        <v>85</v>
      </c>
      <c r="F14" s="20">
        <v>59.6</v>
      </c>
      <c r="G14" s="20">
        <v>49.5</v>
      </c>
      <c r="I14" s="20">
        <f t="shared" si="3"/>
        <v>71.069817578772799</v>
      </c>
      <c r="J14" s="45">
        <f t="shared" si="4"/>
        <v>6.1976657800487667E-2</v>
      </c>
      <c r="K14" s="18"/>
      <c r="M14" s="38">
        <f>271+51</f>
        <v>322</v>
      </c>
      <c r="N14" s="38">
        <f>106+50</f>
        <v>156</v>
      </c>
      <c r="O14" s="38">
        <f>82+43</f>
        <v>125</v>
      </c>
      <c r="P14" s="36">
        <f t="shared" si="0"/>
        <v>27370</v>
      </c>
      <c r="Q14" s="36">
        <f t="shared" si="0"/>
        <v>9297.6</v>
      </c>
      <c r="R14" s="36">
        <f t="shared" si="0"/>
        <v>6187.5</v>
      </c>
      <c r="S14" s="36">
        <f t="shared" si="1"/>
        <v>603</v>
      </c>
      <c r="T14" s="36">
        <f t="shared" si="2"/>
        <v>42855.1</v>
      </c>
      <c r="U14" s="37">
        <f t="shared" si="5"/>
        <v>71.069817578772799</v>
      </c>
      <c r="W14" s="1" t="s">
        <v>14</v>
      </c>
      <c r="X14" s="20">
        <v>79.8</v>
      </c>
      <c r="Y14" s="20">
        <v>56.6</v>
      </c>
      <c r="Z14" s="20">
        <v>47.9</v>
      </c>
      <c r="AA14" s="38">
        <f>253+52</f>
        <v>305</v>
      </c>
      <c r="AB14" s="38">
        <f>110+42</f>
        <v>152</v>
      </c>
      <c r="AC14" s="38">
        <f>78+46</f>
        <v>124</v>
      </c>
      <c r="AD14" s="36">
        <f t="shared" si="6"/>
        <v>24339</v>
      </c>
      <c r="AE14" s="36">
        <f t="shared" si="7"/>
        <v>8603.2000000000007</v>
      </c>
      <c r="AF14" s="36">
        <f t="shared" si="8"/>
        <v>5939.5999999999995</v>
      </c>
      <c r="AG14" s="36">
        <f t="shared" si="9"/>
        <v>581</v>
      </c>
      <c r="AH14" s="36">
        <f t="shared" si="10"/>
        <v>38881.799999999996</v>
      </c>
      <c r="AI14" s="37">
        <f t="shared" si="11"/>
        <v>66.922203098106706</v>
      </c>
    </row>
    <row r="15" spans="1:35" ht="13.5" customHeight="1" x14ac:dyDescent="0.3">
      <c r="A15" s="19"/>
      <c r="C15" s="31">
        <v>5</v>
      </c>
      <c r="D15" s="1" t="s">
        <v>15</v>
      </c>
      <c r="E15" s="20">
        <v>92.6</v>
      </c>
      <c r="F15" s="20">
        <v>60.7</v>
      </c>
      <c r="G15" s="20">
        <v>52</v>
      </c>
      <c r="I15" s="20">
        <f t="shared" si="3"/>
        <v>77.845313653136529</v>
      </c>
      <c r="J15" s="45">
        <f t="shared" si="4"/>
        <v>8.0881025030734355E-2</v>
      </c>
      <c r="K15" s="18"/>
      <c r="M15" s="38">
        <f>659+147</f>
        <v>806</v>
      </c>
      <c r="N15" s="38">
        <f>171+93</f>
        <v>264</v>
      </c>
      <c r="O15" s="38">
        <f>191+94</f>
        <v>285</v>
      </c>
      <c r="P15" s="36">
        <f t="shared" si="0"/>
        <v>74635.599999999991</v>
      </c>
      <c r="Q15" s="36">
        <f t="shared" si="0"/>
        <v>16024.800000000001</v>
      </c>
      <c r="R15" s="36">
        <f t="shared" si="0"/>
        <v>14820</v>
      </c>
      <c r="S15" s="36">
        <f t="shared" si="1"/>
        <v>1355</v>
      </c>
      <c r="T15" s="36">
        <f t="shared" si="2"/>
        <v>105480.4</v>
      </c>
      <c r="U15" s="37">
        <f t="shared" si="5"/>
        <v>77.845313653136529</v>
      </c>
      <c r="W15" s="1" t="s">
        <v>15</v>
      </c>
      <c r="X15" s="20">
        <v>86.1</v>
      </c>
      <c r="Y15" s="20">
        <v>56.9</v>
      </c>
      <c r="Z15" s="20">
        <v>49.2</v>
      </c>
      <c r="AA15" s="38">
        <f>624+136</f>
        <v>760</v>
      </c>
      <c r="AB15" s="38">
        <f>174+93</f>
        <v>267</v>
      </c>
      <c r="AC15" s="38">
        <f>190+102</f>
        <v>292</v>
      </c>
      <c r="AD15" s="36">
        <f t="shared" si="6"/>
        <v>65435.999999999993</v>
      </c>
      <c r="AE15" s="36">
        <f t="shared" si="7"/>
        <v>15192.3</v>
      </c>
      <c r="AF15" s="36">
        <f t="shared" si="8"/>
        <v>14366.400000000001</v>
      </c>
      <c r="AG15" s="36">
        <f t="shared" si="9"/>
        <v>1319</v>
      </c>
      <c r="AH15" s="36">
        <f t="shared" si="10"/>
        <v>94994.699999999983</v>
      </c>
      <c r="AI15" s="37">
        <f t="shared" si="11"/>
        <v>72.020242608036384</v>
      </c>
    </row>
    <row r="16" spans="1:35" ht="13.5" customHeight="1" x14ac:dyDescent="0.3">
      <c r="A16" s="19"/>
      <c r="C16" s="31">
        <v>6</v>
      </c>
      <c r="D16" s="1" t="s">
        <v>16</v>
      </c>
      <c r="E16" s="20">
        <v>88.3</v>
      </c>
      <c r="F16" s="20">
        <v>59.4</v>
      </c>
      <c r="G16" s="20">
        <v>49.1</v>
      </c>
      <c r="I16" s="20">
        <f t="shared" si="3"/>
        <v>75.594992636229748</v>
      </c>
      <c r="J16" s="45">
        <f t="shared" si="4"/>
        <v>5.9675363505121481E-2</v>
      </c>
      <c r="K16" s="18"/>
      <c r="M16" s="38">
        <f>361+53</f>
        <v>414</v>
      </c>
      <c r="N16" s="38">
        <f>133+38</f>
        <v>171</v>
      </c>
      <c r="O16" s="38">
        <f>63+31</f>
        <v>94</v>
      </c>
      <c r="P16" s="36">
        <f t="shared" si="0"/>
        <v>36556.199999999997</v>
      </c>
      <c r="Q16" s="36">
        <f t="shared" si="0"/>
        <v>10157.4</v>
      </c>
      <c r="R16" s="36">
        <f t="shared" si="0"/>
        <v>4615.4000000000005</v>
      </c>
      <c r="S16" s="36">
        <f t="shared" si="1"/>
        <v>679</v>
      </c>
      <c r="T16" s="36">
        <f t="shared" si="2"/>
        <v>51329</v>
      </c>
      <c r="U16" s="37">
        <f t="shared" si="5"/>
        <v>75.594992636229748</v>
      </c>
      <c r="W16" s="1" t="s">
        <v>16</v>
      </c>
      <c r="X16" s="20">
        <v>83.6</v>
      </c>
      <c r="Y16" s="20">
        <v>55.3</v>
      </c>
      <c r="Z16" s="20">
        <v>47.8</v>
      </c>
      <c r="AA16" s="38">
        <f>349+51</f>
        <v>400</v>
      </c>
      <c r="AB16" s="38">
        <f>124+38</f>
        <v>162</v>
      </c>
      <c r="AC16" s="38">
        <f>67+31</f>
        <v>98</v>
      </c>
      <c r="AD16" s="36">
        <f t="shared" si="6"/>
        <v>33440</v>
      </c>
      <c r="AE16" s="36">
        <f t="shared" si="7"/>
        <v>8958.6</v>
      </c>
      <c r="AF16" s="36">
        <f t="shared" si="8"/>
        <v>4684.3999999999996</v>
      </c>
      <c r="AG16" s="36">
        <f t="shared" si="9"/>
        <v>660</v>
      </c>
      <c r="AH16" s="36">
        <f t="shared" si="10"/>
        <v>47083</v>
      </c>
      <c r="AI16" s="37">
        <f t="shared" si="11"/>
        <v>71.337878787878793</v>
      </c>
    </row>
    <row r="17" spans="1:35" ht="13.5" customHeight="1" x14ac:dyDescent="0.3">
      <c r="A17" s="19"/>
      <c r="C17" s="31">
        <v>7</v>
      </c>
      <c r="D17" s="1" t="s">
        <v>17</v>
      </c>
      <c r="E17" s="20">
        <v>86.2</v>
      </c>
      <c r="F17" s="20">
        <v>56.2</v>
      </c>
      <c r="G17" s="20">
        <v>47.2</v>
      </c>
      <c r="I17" s="20">
        <f t="shared" si="3"/>
        <v>71.545454545454547</v>
      </c>
      <c r="J17" s="45">
        <f t="shared" si="4"/>
        <v>7.1152087315726309E-2</v>
      </c>
      <c r="K17" s="18"/>
      <c r="M17" s="38">
        <f>315+58</f>
        <v>373</v>
      </c>
      <c r="N17" s="38">
        <f>115+54</f>
        <v>169</v>
      </c>
      <c r="O17" s="38">
        <f>70+48</f>
        <v>118</v>
      </c>
      <c r="P17" s="36">
        <f t="shared" si="0"/>
        <v>32152.600000000002</v>
      </c>
      <c r="Q17" s="36">
        <f t="shared" si="0"/>
        <v>9497.8000000000011</v>
      </c>
      <c r="R17" s="36">
        <f t="shared" si="0"/>
        <v>5569.6</v>
      </c>
      <c r="S17" s="36">
        <f t="shared" si="1"/>
        <v>660</v>
      </c>
      <c r="T17" s="36">
        <f t="shared" si="2"/>
        <v>47220</v>
      </c>
      <c r="U17" s="37">
        <f t="shared" si="5"/>
        <v>71.545454545454547</v>
      </c>
      <c r="W17" s="1" t="s">
        <v>17</v>
      </c>
      <c r="X17" s="20">
        <v>80.2</v>
      </c>
      <c r="Y17" s="20">
        <v>53.6</v>
      </c>
      <c r="Z17" s="20">
        <v>45.4</v>
      </c>
      <c r="AA17" s="38">
        <f>297+49</f>
        <v>346</v>
      </c>
      <c r="AB17" s="38">
        <f>110+60</f>
        <v>170</v>
      </c>
      <c r="AC17" s="38">
        <f>76+36</f>
        <v>112</v>
      </c>
      <c r="AD17" s="36">
        <f t="shared" si="6"/>
        <v>27749.200000000001</v>
      </c>
      <c r="AE17" s="36">
        <f t="shared" si="7"/>
        <v>9112</v>
      </c>
      <c r="AF17" s="36">
        <f t="shared" si="8"/>
        <v>5084.8</v>
      </c>
      <c r="AG17" s="36">
        <f t="shared" si="9"/>
        <v>628</v>
      </c>
      <c r="AH17" s="36">
        <f t="shared" si="10"/>
        <v>41946</v>
      </c>
      <c r="AI17" s="37">
        <f t="shared" si="11"/>
        <v>66.79299363057325</v>
      </c>
    </row>
    <row r="18" spans="1:35" ht="13.5" customHeight="1" x14ac:dyDescent="0.3">
      <c r="A18" s="19"/>
      <c r="C18" s="31">
        <v>8</v>
      </c>
      <c r="D18" s="1" t="s">
        <v>18</v>
      </c>
      <c r="E18" s="20">
        <v>75.900000000000006</v>
      </c>
      <c r="F18" s="20">
        <v>55.1</v>
      </c>
      <c r="G18" s="20">
        <v>46</v>
      </c>
      <c r="I18" s="20">
        <f t="shared" si="3"/>
        <v>63.275854922279798</v>
      </c>
      <c r="J18" s="45">
        <f t="shared" si="4"/>
        <v>3.6027119568858845E-2</v>
      </c>
      <c r="K18" s="18"/>
      <c r="M18" s="38">
        <f>411+58</f>
        <v>469</v>
      </c>
      <c r="N18" s="38">
        <f>195+96</f>
        <v>291</v>
      </c>
      <c r="O18" s="38">
        <f>125+80</f>
        <v>205</v>
      </c>
      <c r="P18" s="36">
        <f t="shared" si="0"/>
        <v>35597.100000000006</v>
      </c>
      <c r="Q18" s="36">
        <f t="shared" si="0"/>
        <v>16034.1</v>
      </c>
      <c r="R18" s="36">
        <f t="shared" si="0"/>
        <v>9430</v>
      </c>
      <c r="S18" s="36">
        <f t="shared" si="1"/>
        <v>965</v>
      </c>
      <c r="T18" s="36">
        <f t="shared" si="2"/>
        <v>61061.200000000004</v>
      </c>
      <c r="U18" s="37">
        <f t="shared" si="5"/>
        <v>63.275854922279798</v>
      </c>
      <c r="W18" s="1" t="s">
        <v>18</v>
      </c>
      <c r="X18" s="20">
        <v>73.3</v>
      </c>
      <c r="Y18" s="20">
        <v>54</v>
      </c>
      <c r="Z18" s="20">
        <v>45.4</v>
      </c>
      <c r="AA18" s="38">
        <f>411+56</f>
        <v>467</v>
      </c>
      <c r="AB18" s="38">
        <f>204+80</f>
        <v>284</v>
      </c>
      <c r="AC18" s="38">
        <f>135+101</f>
        <v>236</v>
      </c>
      <c r="AD18" s="36">
        <f t="shared" si="6"/>
        <v>34231.1</v>
      </c>
      <c r="AE18" s="36">
        <f t="shared" si="7"/>
        <v>15336</v>
      </c>
      <c r="AF18" s="36">
        <f t="shared" si="8"/>
        <v>10714.4</v>
      </c>
      <c r="AG18" s="36">
        <f t="shared" si="9"/>
        <v>987</v>
      </c>
      <c r="AH18" s="36">
        <f t="shared" si="10"/>
        <v>60281.5</v>
      </c>
      <c r="AI18" s="37">
        <f t="shared" si="11"/>
        <v>61.075481256332317</v>
      </c>
    </row>
    <row r="19" spans="1:35" ht="13.5" customHeight="1" x14ac:dyDescent="0.3">
      <c r="A19" s="19"/>
      <c r="C19" s="31">
        <v>9</v>
      </c>
      <c r="D19" s="1" t="s">
        <v>19</v>
      </c>
      <c r="E19" s="20">
        <v>72.3</v>
      </c>
      <c r="F19" s="20">
        <v>51.5</v>
      </c>
      <c r="G19" s="20">
        <v>45.4</v>
      </c>
      <c r="I19" s="20">
        <f t="shared" si="3"/>
        <v>59.897183098591547</v>
      </c>
      <c r="J19" s="45">
        <f t="shared" si="4"/>
        <v>4.203591818705199E-2</v>
      </c>
      <c r="K19" s="18"/>
      <c r="M19" s="38">
        <f>661+74</f>
        <v>735</v>
      </c>
      <c r="N19" s="38">
        <f>353+118</f>
        <v>471</v>
      </c>
      <c r="O19" s="38">
        <f>196+160</f>
        <v>356</v>
      </c>
      <c r="P19" s="36">
        <f t="shared" si="0"/>
        <v>53140.5</v>
      </c>
      <c r="Q19" s="36">
        <f t="shared" si="0"/>
        <v>24256.5</v>
      </c>
      <c r="R19" s="36">
        <f t="shared" si="0"/>
        <v>16162.4</v>
      </c>
      <c r="S19" s="36">
        <f t="shared" si="1"/>
        <v>1562</v>
      </c>
      <c r="T19" s="36">
        <f t="shared" si="2"/>
        <v>93559.4</v>
      </c>
      <c r="U19" s="37">
        <f t="shared" si="5"/>
        <v>59.897183098591547</v>
      </c>
      <c r="W19" s="1" t="s">
        <v>19</v>
      </c>
      <c r="X19" s="20">
        <v>69</v>
      </c>
      <c r="Y19" s="20">
        <v>50.4</v>
      </c>
      <c r="Z19" s="20">
        <v>44.5</v>
      </c>
      <c r="AA19" s="38">
        <f>904+96</f>
        <v>1000</v>
      </c>
      <c r="AB19" s="38">
        <f>537+142</f>
        <v>679</v>
      </c>
      <c r="AC19" s="38">
        <f>293+224</f>
        <v>517</v>
      </c>
      <c r="AD19" s="36">
        <f t="shared" si="6"/>
        <v>69000</v>
      </c>
      <c r="AE19" s="36">
        <f t="shared" si="7"/>
        <v>34221.599999999999</v>
      </c>
      <c r="AF19" s="36">
        <f t="shared" si="8"/>
        <v>23006.5</v>
      </c>
      <c r="AG19" s="36">
        <f t="shared" si="9"/>
        <v>2196</v>
      </c>
      <c r="AH19" s="36">
        <f t="shared" si="10"/>
        <v>126228.1</v>
      </c>
      <c r="AI19" s="37">
        <f t="shared" si="11"/>
        <v>57.480919854280515</v>
      </c>
    </row>
    <row r="20" spans="1:35" ht="13.5" customHeight="1" x14ac:dyDescent="0.3">
      <c r="A20" s="19"/>
      <c r="C20" s="1">
        <v>10</v>
      </c>
      <c r="D20" s="1" t="s">
        <v>21</v>
      </c>
      <c r="E20" s="20">
        <v>83.6</v>
      </c>
      <c r="F20" s="20">
        <v>58.4</v>
      </c>
      <c r="G20" s="20">
        <v>51.2</v>
      </c>
      <c r="I20" s="20">
        <f t="shared" si="3"/>
        <v>69.428997134670482</v>
      </c>
      <c r="J20" s="45">
        <f t="shared" si="4"/>
        <v>6.101438717463159E-2</v>
      </c>
      <c r="K20" s="18"/>
      <c r="M20" s="38">
        <f>784+88</f>
        <v>872</v>
      </c>
      <c r="N20" s="38">
        <f>367+127</f>
        <v>494</v>
      </c>
      <c r="O20" s="38">
        <f>247+132</f>
        <v>379</v>
      </c>
      <c r="P20" s="36">
        <f t="shared" si="0"/>
        <v>72899.199999999997</v>
      </c>
      <c r="Q20" s="36">
        <f t="shared" si="0"/>
        <v>28849.599999999999</v>
      </c>
      <c r="R20" s="36">
        <f t="shared" si="0"/>
        <v>19404.8</v>
      </c>
      <c r="S20" s="36">
        <f t="shared" si="1"/>
        <v>1745</v>
      </c>
      <c r="T20" s="36">
        <f t="shared" si="2"/>
        <v>121153.59999999999</v>
      </c>
      <c r="U20" s="37">
        <f t="shared" si="5"/>
        <v>69.428997134670482</v>
      </c>
      <c r="W20" s="1" t="s">
        <v>21</v>
      </c>
      <c r="X20" s="20">
        <v>78.8</v>
      </c>
      <c r="Y20" s="20">
        <v>54.8</v>
      </c>
      <c r="Z20" s="20">
        <v>48.9</v>
      </c>
      <c r="AA20" s="38">
        <f>816+91</f>
        <v>907</v>
      </c>
      <c r="AB20" s="38">
        <f>401+126</f>
        <v>527</v>
      </c>
      <c r="AC20" s="38">
        <f>255+139</f>
        <v>394</v>
      </c>
      <c r="AD20" s="36">
        <f t="shared" si="6"/>
        <v>71471.599999999991</v>
      </c>
      <c r="AE20" s="36">
        <f t="shared" si="7"/>
        <v>28879.599999999999</v>
      </c>
      <c r="AF20" s="36">
        <f t="shared" si="8"/>
        <v>19266.599999999999</v>
      </c>
      <c r="AG20" s="36">
        <f t="shared" si="9"/>
        <v>1828</v>
      </c>
      <c r="AH20" s="36">
        <f t="shared" si="10"/>
        <v>119617.79999999999</v>
      </c>
      <c r="AI20" s="37">
        <f t="shared" si="11"/>
        <v>65.436433260393869</v>
      </c>
    </row>
    <row r="21" spans="1:35" ht="13.5" customHeight="1" x14ac:dyDescent="0.3">
      <c r="A21" s="19"/>
      <c r="C21" s="31">
        <v>11</v>
      </c>
      <c r="D21" s="1" t="s">
        <v>22</v>
      </c>
      <c r="E21" s="20">
        <v>77.400000000000006</v>
      </c>
      <c r="F21" s="20">
        <v>54.2</v>
      </c>
      <c r="G21" s="20">
        <v>43.6</v>
      </c>
      <c r="I21" s="20">
        <f t="shared" si="3"/>
        <v>62.410815047021941</v>
      </c>
      <c r="J21" s="45">
        <f t="shared" si="4"/>
        <v>2.6609226243011985E-2</v>
      </c>
      <c r="K21" s="18"/>
      <c r="M21" s="38">
        <f>498+103</f>
        <v>601</v>
      </c>
      <c r="N21" s="38">
        <f>242+106</f>
        <v>348</v>
      </c>
      <c r="O21" s="38">
        <f>194+133</f>
        <v>327</v>
      </c>
      <c r="P21" s="36">
        <f t="shared" si="0"/>
        <v>46517.4</v>
      </c>
      <c r="Q21" s="36">
        <f t="shared" si="0"/>
        <v>18861.600000000002</v>
      </c>
      <c r="R21" s="36">
        <f t="shared" si="0"/>
        <v>14257.2</v>
      </c>
      <c r="S21" s="36">
        <f t="shared" si="1"/>
        <v>1276</v>
      </c>
      <c r="T21" s="36">
        <f t="shared" si="2"/>
        <v>79636.2</v>
      </c>
      <c r="U21" s="37">
        <f t="shared" si="5"/>
        <v>62.410815047021941</v>
      </c>
      <c r="W21" s="1" t="s">
        <v>22</v>
      </c>
      <c r="X21" s="20">
        <v>75.900000000000006</v>
      </c>
      <c r="Y21" s="20">
        <v>53.1</v>
      </c>
      <c r="Z21" s="20">
        <v>43.4</v>
      </c>
      <c r="AA21" s="38">
        <f>478+87</f>
        <v>565</v>
      </c>
      <c r="AB21" s="38">
        <f>233+101</f>
        <v>334</v>
      </c>
      <c r="AC21" s="38">
        <f>207+136</f>
        <v>343</v>
      </c>
      <c r="AD21" s="36">
        <f t="shared" si="6"/>
        <v>42883.5</v>
      </c>
      <c r="AE21" s="36">
        <f t="shared" si="7"/>
        <v>17735.400000000001</v>
      </c>
      <c r="AF21" s="36">
        <f t="shared" si="8"/>
        <v>14886.199999999999</v>
      </c>
      <c r="AG21" s="36">
        <f t="shared" si="9"/>
        <v>1242</v>
      </c>
      <c r="AH21" s="36">
        <f t="shared" si="10"/>
        <v>75505.100000000006</v>
      </c>
      <c r="AI21" s="37">
        <f t="shared" si="11"/>
        <v>60.793156199677945</v>
      </c>
    </row>
    <row r="22" spans="1:35" ht="13.5" customHeight="1" x14ac:dyDescent="0.3">
      <c r="A22" s="19"/>
      <c r="C22" s="31">
        <v>12</v>
      </c>
      <c r="D22" s="1" t="s">
        <v>23</v>
      </c>
      <c r="E22" s="20">
        <v>80.7</v>
      </c>
      <c r="F22" s="20">
        <v>55.9</v>
      </c>
      <c r="G22" s="20">
        <v>48.4</v>
      </c>
      <c r="I22" s="20">
        <f t="shared" si="3"/>
        <v>66.328882294757662</v>
      </c>
      <c r="J22" s="45">
        <f t="shared" si="4"/>
        <v>3.3175560428418738E-2</v>
      </c>
      <c r="K22" s="18"/>
      <c r="M22" s="38">
        <f>416+66</f>
        <v>482</v>
      </c>
      <c r="N22" s="38">
        <f>212+129</f>
        <v>341</v>
      </c>
      <c r="O22" s="38">
        <f>104+84</f>
        <v>188</v>
      </c>
      <c r="P22" s="36">
        <f t="shared" si="0"/>
        <v>38897.4</v>
      </c>
      <c r="Q22" s="36">
        <f t="shared" si="0"/>
        <v>19061.899999999998</v>
      </c>
      <c r="R22" s="36">
        <f t="shared" si="0"/>
        <v>9099.1999999999989</v>
      </c>
      <c r="S22" s="36">
        <f t="shared" si="1"/>
        <v>1011</v>
      </c>
      <c r="T22" s="36">
        <f t="shared" si="2"/>
        <v>67058.5</v>
      </c>
      <c r="U22" s="37">
        <f t="shared" si="5"/>
        <v>66.328882294757662</v>
      </c>
      <c r="W22" s="1" t="s">
        <v>23</v>
      </c>
      <c r="X22" s="20">
        <v>77.099999999999994</v>
      </c>
      <c r="Y22" s="20">
        <v>55</v>
      </c>
      <c r="Z22" s="20">
        <v>47.8</v>
      </c>
      <c r="AA22" s="38">
        <f>442+64</f>
        <v>506</v>
      </c>
      <c r="AB22" s="38">
        <f>207+114</f>
        <v>321</v>
      </c>
      <c r="AC22" s="38">
        <f>121+97</f>
        <v>218</v>
      </c>
      <c r="AD22" s="36">
        <f t="shared" si="6"/>
        <v>39012.6</v>
      </c>
      <c r="AE22" s="36">
        <f t="shared" si="7"/>
        <v>17655</v>
      </c>
      <c r="AF22" s="36">
        <f t="shared" si="8"/>
        <v>10420.4</v>
      </c>
      <c r="AG22" s="36">
        <f t="shared" si="9"/>
        <v>1045</v>
      </c>
      <c r="AH22" s="36">
        <f t="shared" si="10"/>
        <v>67088</v>
      </c>
      <c r="AI22" s="37">
        <f t="shared" si="11"/>
        <v>64.199043062200957</v>
      </c>
    </row>
    <row r="23" spans="1:35" ht="13.5" customHeight="1" x14ac:dyDescent="0.3">
      <c r="A23" s="19"/>
      <c r="C23" s="31">
        <v>13</v>
      </c>
      <c r="D23" s="1" t="s">
        <v>24</v>
      </c>
      <c r="E23" s="20">
        <v>77.3</v>
      </c>
      <c r="F23" s="20">
        <v>57.3</v>
      </c>
      <c r="G23" s="20">
        <v>46.8</v>
      </c>
      <c r="I23" s="20">
        <f t="shared" si="3"/>
        <v>63.712324649298594</v>
      </c>
      <c r="J23" s="45">
        <f t="shared" si="4"/>
        <v>4.6896929682742616E-2</v>
      </c>
      <c r="K23" s="18"/>
      <c r="M23" s="38">
        <f>390+46</f>
        <v>436</v>
      </c>
      <c r="N23" s="38">
        <f>240+101</f>
        <v>341</v>
      </c>
      <c r="O23" s="38">
        <f>119+102</f>
        <v>221</v>
      </c>
      <c r="P23" s="36">
        <f t="shared" si="0"/>
        <v>33702.799999999996</v>
      </c>
      <c r="Q23" s="36">
        <f t="shared" si="0"/>
        <v>19539.3</v>
      </c>
      <c r="R23" s="36">
        <f t="shared" si="0"/>
        <v>10342.799999999999</v>
      </c>
      <c r="S23" s="36">
        <f t="shared" si="1"/>
        <v>998</v>
      </c>
      <c r="T23" s="36">
        <f t="shared" si="2"/>
        <v>63584.899999999994</v>
      </c>
      <c r="U23" s="37">
        <f t="shared" si="5"/>
        <v>63.712324649298594</v>
      </c>
      <c r="W23" s="1" t="s">
        <v>24</v>
      </c>
      <c r="X23" s="20">
        <v>74</v>
      </c>
      <c r="Y23" s="20">
        <v>54.6</v>
      </c>
      <c r="Z23" s="20">
        <v>44.7</v>
      </c>
      <c r="AA23" s="38">
        <f>400+43</f>
        <v>443</v>
      </c>
      <c r="AB23" s="38">
        <f>243+96</f>
        <v>339</v>
      </c>
      <c r="AC23" s="38">
        <f>125+104</f>
        <v>229</v>
      </c>
      <c r="AD23" s="36">
        <f t="shared" si="6"/>
        <v>32782</v>
      </c>
      <c r="AE23" s="36">
        <f t="shared" si="7"/>
        <v>18509.400000000001</v>
      </c>
      <c r="AF23" s="36">
        <f t="shared" si="8"/>
        <v>10236.300000000001</v>
      </c>
      <c r="AG23" s="36">
        <f t="shared" si="9"/>
        <v>1011</v>
      </c>
      <c r="AH23" s="36">
        <f t="shared" si="10"/>
        <v>61527.700000000004</v>
      </c>
      <c r="AI23" s="37">
        <f t="shared" si="11"/>
        <v>60.858259149357075</v>
      </c>
    </row>
    <row r="24" spans="1:35" ht="13.5" customHeight="1" x14ac:dyDescent="0.3">
      <c r="A24" s="19"/>
      <c r="C24" s="31">
        <v>14</v>
      </c>
      <c r="D24" s="1" t="s">
        <v>25</v>
      </c>
      <c r="E24" s="20">
        <v>66.900000000000006</v>
      </c>
      <c r="F24" s="20">
        <v>48.8</v>
      </c>
      <c r="G24" s="20">
        <v>42.8</v>
      </c>
      <c r="I24" s="20">
        <f t="shared" si="3"/>
        <v>55.901465968586379</v>
      </c>
      <c r="J24" s="45">
        <f t="shared" si="4"/>
        <v>3.7200122171229699E-2</v>
      </c>
      <c r="K24" s="18"/>
      <c r="M24" s="38">
        <f>386+53</f>
        <v>439</v>
      </c>
      <c r="N24" s="38">
        <f>222+100</f>
        <v>322</v>
      </c>
      <c r="O24" s="38">
        <f>122+72</f>
        <v>194</v>
      </c>
      <c r="P24" s="36">
        <f t="shared" si="0"/>
        <v>29369.100000000002</v>
      </c>
      <c r="Q24" s="36">
        <f t="shared" si="0"/>
        <v>15713.599999999999</v>
      </c>
      <c r="R24" s="36">
        <f t="shared" si="0"/>
        <v>8303.1999999999989</v>
      </c>
      <c r="S24" s="36">
        <f t="shared" si="1"/>
        <v>955</v>
      </c>
      <c r="T24" s="36">
        <f t="shared" si="2"/>
        <v>53385.899999999994</v>
      </c>
      <c r="U24" s="37">
        <f t="shared" si="5"/>
        <v>55.901465968586379</v>
      </c>
      <c r="W24" s="1" t="s">
        <v>25</v>
      </c>
      <c r="X24" s="20">
        <v>64.5</v>
      </c>
      <c r="Y24" s="20">
        <v>46.9</v>
      </c>
      <c r="Z24" s="20">
        <v>40.700000000000003</v>
      </c>
      <c r="AA24" s="38">
        <f>404+54</f>
        <v>458</v>
      </c>
      <c r="AB24" s="38">
        <f>220+95</f>
        <v>315</v>
      </c>
      <c r="AC24" s="38">
        <f>125+76</f>
        <v>201</v>
      </c>
      <c r="AD24" s="36">
        <f t="shared" si="6"/>
        <v>29541</v>
      </c>
      <c r="AE24" s="36">
        <f t="shared" si="7"/>
        <v>14773.5</v>
      </c>
      <c r="AF24" s="36">
        <f t="shared" si="8"/>
        <v>8180.7000000000007</v>
      </c>
      <c r="AG24" s="36">
        <f t="shared" si="9"/>
        <v>974</v>
      </c>
      <c r="AH24" s="36">
        <f t="shared" si="10"/>
        <v>52495.199999999997</v>
      </c>
      <c r="AI24" s="37">
        <f t="shared" si="11"/>
        <v>53.896509240246402</v>
      </c>
    </row>
    <row r="25" spans="1:35" ht="13.5" customHeight="1" x14ac:dyDescent="0.3">
      <c r="A25" s="19"/>
      <c r="C25" s="31">
        <v>15</v>
      </c>
      <c r="D25" s="1" t="s">
        <v>26</v>
      </c>
      <c r="E25" s="20">
        <v>81</v>
      </c>
      <c r="F25" s="20">
        <v>56.1</v>
      </c>
      <c r="G25" s="20">
        <v>49.3</v>
      </c>
      <c r="I25" s="20">
        <f t="shared" si="3"/>
        <v>67.651587916343914</v>
      </c>
      <c r="J25" s="45">
        <f t="shared" si="4"/>
        <v>3.8968137382198398E-2</v>
      </c>
      <c r="K25" s="18"/>
      <c r="M25" s="38">
        <f>565+94</f>
        <v>659</v>
      </c>
      <c r="N25" s="38">
        <f>308+104</f>
        <v>412</v>
      </c>
      <c r="O25" s="38">
        <f>145+75</f>
        <v>220</v>
      </c>
      <c r="P25" s="36">
        <f t="shared" si="0"/>
        <v>53379</v>
      </c>
      <c r="Q25" s="36">
        <f t="shared" si="0"/>
        <v>23113.200000000001</v>
      </c>
      <c r="R25" s="36">
        <f t="shared" si="0"/>
        <v>10846</v>
      </c>
      <c r="S25" s="36">
        <f t="shared" si="1"/>
        <v>1291</v>
      </c>
      <c r="T25" s="36">
        <f t="shared" si="2"/>
        <v>87338.2</v>
      </c>
      <c r="U25" s="37">
        <f t="shared" si="5"/>
        <v>67.651587916343914</v>
      </c>
      <c r="W25" s="1" t="s">
        <v>26</v>
      </c>
      <c r="X25" s="20">
        <v>78.5</v>
      </c>
      <c r="Y25" s="20">
        <v>54.7</v>
      </c>
      <c r="Z25" s="20">
        <v>46.9</v>
      </c>
      <c r="AA25" s="38">
        <f>550+94</f>
        <v>644</v>
      </c>
      <c r="AB25" s="38">
        <f>309+106</f>
        <v>415</v>
      </c>
      <c r="AC25" s="38">
        <f>139+97</f>
        <v>236</v>
      </c>
      <c r="AD25" s="36">
        <f t="shared" si="6"/>
        <v>50554</v>
      </c>
      <c r="AE25" s="36">
        <f t="shared" si="7"/>
        <v>22700.5</v>
      </c>
      <c r="AF25" s="36">
        <f t="shared" si="8"/>
        <v>11068.4</v>
      </c>
      <c r="AG25" s="36">
        <f t="shared" si="9"/>
        <v>1295</v>
      </c>
      <c r="AH25" s="36">
        <f t="shared" si="10"/>
        <v>84322.9</v>
      </c>
      <c r="AI25" s="37">
        <f t="shared" si="11"/>
        <v>65.114208494208484</v>
      </c>
    </row>
    <row r="26" spans="1:35" ht="13.5" customHeight="1" x14ac:dyDescent="0.3">
      <c r="A26" s="19"/>
      <c r="C26" s="31">
        <v>16</v>
      </c>
      <c r="D26" s="1" t="s">
        <v>27</v>
      </c>
      <c r="E26" s="20">
        <v>91.9</v>
      </c>
      <c r="F26" s="20">
        <v>65.900000000000006</v>
      </c>
      <c r="G26" s="20">
        <v>53</v>
      </c>
      <c r="I26" s="20">
        <f t="shared" si="3"/>
        <v>75.02416953035511</v>
      </c>
      <c r="J26" s="45">
        <f t="shared" si="4"/>
        <v>4.1753607308583351E-2</v>
      </c>
      <c r="K26" s="18"/>
      <c r="M26" s="38">
        <f>718+117</f>
        <v>835</v>
      </c>
      <c r="N26" s="38">
        <f>314+149</f>
        <v>463</v>
      </c>
      <c r="O26" s="38">
        <f>260+188</f>
        <v>448</v>
      </c>
      <c r="P26" s="36">
        <f t="shared" si="0"/>
        <v>76736.5</v>
      </c>
      <c r="Q26" s="36">
        <f t="shared" si="0"/>
        <v>30511.700000000004</v>
      </c>
      <c r="R26" s="36">
        <f t="shared" si="0"/>
        <v>23744</v>
      </c>
      <c r="S26" s="36">
        <f t="shared" si="1"/>
        <v>1746</v>
      </c>
      <c r="T26" s="36">
        <f t="shared" si="2"/>
        <v>130992.20000000001</v>
      </c>
      <c r="U26" s="37">
        <f t="shared" si="5"/>
        <v>75.02416953035511</v>
      </c>
      <c r="W26" s="1" t="s">
        <v>27</v>
      </c>
      <c r="X26" s="20">
        <v>88</v>
      </c>
      <c r="Y26" s="20">
        <v>63.4</v>
      </c>
      <c r="Z26" s="20">
        <v>50.9</v>
      </c>
      <c r="AA26" s="38">
        <f>732+113</f>
        <v>845</v>
      </c>
      <c r="AB26" s="38">
        <f>305+135</f>
        <v>440</v>
      </c>
      <c r="AC26" s="38">
        <f>272+188</f>
        <v>460</v>
      </c>
      <c r="AD26" s="36">
        <f t="shared" si="6"/>
        <v>74360</v>
      </c>
      <c r="AE26" s="36">
        <f t="shared" si="7"/>
        <v>27896</v>
      </c>
      <c r="AF26" s="36">
        <f t="shared" si="8"/>
        <v>23414</v>
      </c>
      <c r="AG26" s="36">
        <f t="shared" si="9"/>
        <v>1745</v>
      </c>
      <c r="AH26" s="36">
        <f t="shared" si="10"/>
        <v>125670</v>
      </c>
      <c r="AI26" s="37">
        <f t="shared" si="11"/>
        <v>72.01719197707736</v>
      </c>
    </row>
    <row r="27" spans="1:35" ht="13.5" customHeight="1" x14ac:dyDescent="0.3">
      <c r="A27" s="19"/>
      <c r="C27" s="31">
        <v>17</v>
      </c>
      <c r="D27" s="1" t="s">
        <v>28</v>
      </c>
      <c r="E27" s="20">
        <v>74.2</v>
      </c>
      <c r="F27" s="20">
        <v>55.8</v>
      </c>
      <c r="G27" s="20">
        <v>46.5</v>
      </c>
      <c r="I27" s="20">
        <f t="shared" si="3"/>
        <v>63.615877437325906</v>
      </c>
      <c r="J27" s="45">
        <f t="shared" si="4"/>
        <v>3.3105306160693848E-2</v>
      </c>
      <c r="K27" s="18"/>
      <c r="M27" s="38">
        <f>803+148</f>
        <v>951</v>
      </c>
      <c r="N27" s="38">
        <f>318+153</f>
        <v>471</v>
      </c>
      <c r="O27" s="38">
        <f>234+139</f>
        <v>373</v>
      </c>
      <c r="P27" s="36">
        <f t="shared" si="0"/>
        <v>70564.2</v>
      </c>
      <c r="Q27" s="36">
        <f t="shared" si="0"/>
        <v>26281.8</v>
      </c>
      <c r="R27" s="36">
        <f t="shared" si="0"/>
        <v>17344.5</v>
      </c>
      <c r="S27" s="36">
        <f t="shared" si="1"/>
        <v>1795</v>
      </c>
      <c r="T27" s="36">
        <f t="shared" si="2"/>
        <v>114190.5</v>
      </c>
      <c r="U27" s="37">
        <f t="shared" si="5"/>
        <v>63.615877437325906</v>
      </c>
      <c r="W27" s="1" t="s">
        <v>28</v>
      </c>
      <c r="X27" s="20">
        <v>71.3</v>
      </c>
      <c r="Y27" s="20">
        <v>54.1</v>
      </c>
      <c r="Z27" s="20">
        <v>45.2</v>
      </c>
      <c r="AA27" s="38">
        <f>819+153</f>
        <v>972</v>
      </c>
      <c r="AB27" s="38">
        <f>326+145</f>
        <v>471</v>
      </c>
      <c r="AC27" s="38">
        <f>220+142</f>
        <v>362</v>
      </c>
      <c r="AD27" s="36">
        <f t="shared" si="6"/>
        <v>69303.599999999991</v>
      </c>
      <c r="AE27" s="36">
        <f t="shared" si="7"/>
        <v>25481.100000000002</v>
      </c>
      <c r="AF27" s="36">
        <f t="shared" si="8"/>
        <v>16362.400000000001</v>
      </c>
      <c r="AG27" s="36">
        <f t="shared" si="9"/>
        <v>1805</v>
      </c>
      <c r="AH27" s="36">
        <f t="shared" si="10"/>
        <v>111147.1</v>
      </c>
      <c r="AI27" s="37">
        <f t="shared" si="11"/>
        <v>61.577340720221613</v>
      </c>
    </row>
    <row r="28" spans="1:35" ht="13.5" customHeight="1" x14ac:dyDescent="0.3">
      <c r="A28" s="19"/>
      <c r="C28" s="31">
        <v>18</v>
      </c>
      <c r="D28" s="1" t="s">
        <v>29</v>
      </c>
      <c r="E28" s="20">
        <v>81</v>
      </c>
      <c r="F28" s="20">
        <v>57.5</v>
      </c>
      <c r="G28" s="20">
        <v>48.6</v>
      </c>
      <c r="I28" s="20">
        <f t="shared" si="3"/>
        <v>68.780362116991654</v>
      </c>
      <c r="J28" s="45">
        <f t="shared" si="4"/>
        <v>8.445356245560709E-2</v>
      </c>
      <c r="K28" s="18"/>
      <c r="M28" s="38">
        <f>660+113</f>
        <v>773</v>
      </c>
      <c r="N28" s="38">
        <f>292+150</f>
        <v>442</v>
      </c>
      <c r="O28" s="38">
        <f>114+107</f>
        <v>221</v>
      </c>
      <c r="P28" s="36">
        <f t="shared" si="0"/>
        <v>62613</v>
      </c>
      <c r="Q28" s="36">
        <f t="shared" si="0"/>
        <v>25415</v>
      </c>
      <c r="R28" s="36">
        <f t="shared" si="0"/>
        <v>10740.6</v>
      </c>
      <c r="S28" s="36">
        <f t="shared" si="1"/>
        <v>1436</v>
      </c>
      <c r="T28" s="36">
        <f t="shared" si="2"/>
        <v>98768.6</v>
      </c>
      <c r="U28" s="37">
        <f t="shared" si="5"/>
        <v>68.780362116991654</v>
      </c>
      <c r="W28" s="1" t="s">
        <v>29</v>
      </c>
      <c r="X28" s="20">
        <v>74.8</v>
      </c>
      <c r="Y28" s="20">
        <v>52.6</v>
      </c>
      <c r="Z28" s="20">
        <v>45.9</v>
      </c>
      <c r="AA28" s="38">
        <f>672+113</f>
        <v>785</v>
      </c>
      <c r="AB28" s="38">
        <f>315+149</f>
        <v>464</v>
      </c>
      <c r="AC28" s="38">
        <f>123+100</f>
        <v>223</v>
      </c>
      <c r="AD28" s="36">
        <f t="shared" si="6"/>
        <v>58718</v>
      </c>
      <c r="AE28" s="36">
        <f t="shared" si="7"/>
        <v>24406.400000000001</v>
      </c>
      <c r="AF28" s="36">
        <f t="shared" si="8"/>
        <v>10235.699999999999</v>
      </c>
      <c r="AG28" s="36">
        <f t="shared" si="9"/>
        <v>1472</v>
      </c>
      <c r="AH28" s="36">
        <f t="shared" si="10"/>
        <v>93360.099999999991</v>
      </c>
      <c r="AI28" s="37">
        <f t="shared" si="11"/>
        <v>63.423980978260865</v>
      </c>
    </row>
    <row r="29" spans="1:35" ht="13.5" customHeight="1" x14ac:dyDescent="0.3">
      <c r="A29" s="19"/>
      <c r="C29" s="31">
        <v>19</v>
      </c>
      <c r="D29" s="24" t="s">
        <v>30</v>
      </c>
      <c r="E29" s="25">
        <v>76</v>
      </c>
      <c r="F29" s="25">
        <v>56.9</v>
      </c>
      <c r="G29" s="25">
        <v>47.5</v>
      </c>
      <c r="H29" s="24"/>
      <c r="I29" s="25">
        <f t="shared" si="3"/>
        <v>61.892773892773896</v>
      </c>
      <c r="J29" s="47">
        <f t="shared" si="4"/>
        <v>3.2881784871348962E-2</v>
      </c>
      <c r="K29" s="18"/>
      <c r="M29" s="38">
        <f>295+41</f>
        <v>336</v>
      </c>
      <c r="N29" s="38">
        <f>222+73</f>
        <v>295</v>
      </c>
      <c r="O29" s="38">
        <f>142+85</f>
        <v>227</v>
      </c>
      <c r="P29" s="36">
        <f t="shared" si="0"/>
        <v>25536</v>
      </c>
      <c r="Q29" s="36">
        <f t="shared" si="0"/>
        <v>16785.5</v>
      </c>
      <c r="R29" s="36">
        <f t="shared" si="0"/>
        <v>10782.5</v>
      </c>
      <c r="S29" s="36">
        <f t="shared" si="1"/>
        <v>858</v>
      </c>
      <c r="T29" s="36">
        <f t="shared" si="2"/>
        <v>53104</v>
      </c>
      <c r="U29" s="37">
        <f t="shared" si="5"/>
        <v>61.892773892773896</v>
      </c>
      <c r="W29" s="24" t="s">
        <v>30</v>
      </c>
      <c r="X29" s="25">
        <v>73</v>
      </c>
      <c r="Y29" s="25">
        <v>54.7</v>
      </c>
      <c r="Z29" s="25">
        <v>46.7</v>
      </c>
      <c r="AA29" s="38">
        <f>302+43</f>
        <v>345</v>
      </c>
      <c r="AB29" s="38">
        <f>206+68</f>
        <v>274</v>
      </c>
      <c r="AC29" s="38">
        <f>144+89</f>
        <v>233</v>
      </c>
      <c r="AD29" s="36">
        <f t="shared" si="6"/>
        <v>25185</v>
      </c>
      <c r="AE29" s="36">
        <f t="shared" si="7"/>
        <v>14987.800000000001</v>
      </c>
      <c r="AF29" s="36">
        <f t="shared" si="8"/>
        <v>10881.1</v>
      </c>
      <c r="AG29" s="36">
        <f t="shared" si="9"/>
        <v>852</v>
      </c>
      <c r="AH29" s="36">
        <f t="shared" si="10"/>
        <v>51053.9</v>
      </c>
      <c r="AI29" s="37">
        <f t="shared" si="11"/>
        <v>59.922417840375587</v>
      </c>
    </row>
    <row r="30" spans="1:35" ht="13.5" customHeight="1" x14ac:dyDescent="0.3">
      <c r="A30" s="19"/>
      <c r="C30" s="31">
        <v>20</v>
      </c>
      <c r="D30" s="1" t="s">
        <v>64</v>
      </c>
      <c r="E30" s="20">
        <v>73.7</v>
      </c>
      <c r="F30" s="20">
        <v>52</v>
      </c>
      <c r="G30" s="20">
        <v>43</v>
      </c>
      <c r="I30" s="20">
        <f>U30</f>
        <v>59.24784240150094</v>
      </c>
      <c r="J30" s="45">
        <f t="shared" si="4"/>
        <v>2.686881491225912E-2</v>
      </c>
      <c r="K30" s="18"/>
      <c r="M30" s="38">
        <f>418+38</f>
        <v>456</v>
      </c>
      <c r="N30" s="38">
        <f>279+90</f>
        <v>369</v>
      </c>
      <c r="O30" s="38">
        <f>147+94</f>
        <v>241</v>
      </c>
      <c r="P30" s="36">
        <f t="shared" si="0"/>
        <v>33607.200000000004</v>
      </c>
      <c r="Q30" s="36">
        <f t="shared" si="0"/>
        <v>19188</v>
      </c>
      <c r="R30" s="36">
        <f t="shared" si="0"/>
        <v>10363</v>
      </c>
      <c r="S30" s="36">
        <f t="shared" si="1"/>
        <v>1066</v>
      </c>
      <c r="T30" s="36">
        <f t="shared" si="2"/>
        <v>63158.200000000004</v>
      </c>
      <c r="U30" s="37">
        <f>T30/S30</f>
        <v>59.24784240150094</v>
      </c>
      <c r="W30" s="1" t="s">
        <v>64</v>
      </c>
      <c r="X30" s="20">
        <v>71.400000000000006</v>
      </c>
      <c r="Y30" s="20">
        <v>50.7</v>
      </c>
      <c r="Z30" s="20">
        <v>43</v>
      </c>
      <c r="AA30" s="38">
        <f>413+39</f>
        <v>452</v>
      </c>
      <c r="AB30" s="38">
        <f>293+88</f>
        <v>381</v>
      </c>
      <c r="AC30" s="38">
        <f>143+97</f>
        <v>240</v>
      </c>
      <c r="AD30" s="36">
        <f t="shared" si="6"/>
        <v>32272.800000000003</v>
      </c>
      <c r="AE30" s="36">
        <f t="shared" si="7"/>
        <v>19316.7</v>
      </c>
      <c r="AF30" s="36">
        <f t="shared" si="8"/>
        <v>10320</v>
      </c>
      <c r="AG30" s="36">
        <f t="shared" si="9"/>
        <v>1073</v>
      </c>
      <c r="AH30" s="36">
        <f t="shared" si="10"/>
        <v>61909.5</v>
      </c>
      <c r="AI30" s="37">
        <f t="shared" si="11"/>
        <v>57.69757688723206</v>
      </c>
    </row>
    <row r="31" spans="1:35" ht="13.5" customHeight="1" x14ac:dyDescent="0.3">
      <c r="A31" s="19"/>
      <c r="C31" s="31">
        <v>21</v>
      </c>
      <c r="D31" s="1" t="s">
        <v>45</v>
      </c>
      <c r="E31" s="20">
        <v>86</v>
      </c>
      <c r="F31" s="20">
        <v>61.8</v>
      </c>
      <c r="G31" s="20">
        <v>49.2</v>
      </c>
      <c r="I31" s="20">
        <f t="shared" si="3"/>
        <v>71.876867030965386</v>
      </c>
      <c r="J31" s="45">
        <f t="shared" si="4"/>
        <v>3.6416969029699819E-2</v>
      </c>
      <c r="K31" s="18"/>
      <c r="M31" s="38">
        <f>473+105</f>
        <v>578</v>
      </c>
      <c r="N31" s="38">
        <f>193+95</f>
        <v>288</v>
      </c>
      <c r="O31" s="38">
        <f>128+104</f>
        <v>232</v>
      </c>
      <c r="P31" s="36">
        <f t="shared" si="0"/>
        <v>49708</v>
      </c>
      <c r="Q31" s="36">
        <f t="shared" si="0"/>
        <v>17798.399999999998</v>
      </c>
      <c r="R31" s="36">
        <f t="shared" si="0"/>
        <v>11414.400000000001</v>
      </c>
      <c r="S31" s="36">
        <f t="shared" si="1"/>
        <v>1098</v>
      </c>
      <c r="T31" s="36">
        <f t="shared" si="2"/>
        <v>78920.799999999988</v>
      </c>
      <c r="U31" s="37">
        <f t="shared" si="5"/>
        <v>71.876867030965386</v>
      </c>
      <c r="W31" s="1" t="s">
        <v>45</v>
      </c>
      <c r="X31" s="20">
        <v>82.2</v>
      </c>
      <c r="Y31" s="20">
        <v>59</v>
      </c>
      <c r="Z31" s="20">
        <v>48.4</v>
      </c>
      <c r="AA31" s="38">
        <f>494+99</f>
        <v>593</v>
      </c>
      <c r="AB31" s="38">
        <f>205+104</f>
        <v>309</v>
      </c>
      <c r="AC31" s="38">
        <f>120+91</f>
        <v>211</v>
      </c>
      <c r="AD31" s="36">
        <f t="shared" si="6"/>
        <v>48744.6</v>
      </c>
      <c r="AE31" s="36">
        <f t="shared" si="7"/>
        <v>18231</v>
      </c>
      <c r="AF31" s="36">
        <f t="shared" si="8"/>
        <v>10212.4</v>
      </c>
      <c r="AG31" s="36">
        <f t="shared" si="9"/>
        <v>1113</v>
      </c>
      <c r="AH31" s="36">
        <f t="shared" si="10"/>
        <v>77188</v>
      </c>
      <c r="AI31" s="37">
        <f t="shared" si="11"/>
        <v>69.351302785265048</v>
      </c>
    </row>
    <row r="32" spans="1:35" ht="13.5" customHeight="1" x14ac:dyDescent="0.3">
      <c r="A32" s="19"/>
      <c r="C32" s="31">
        <v>22</v>
      </c>
      <c r="D32" s="1" t="s">
        <v>31</v>
      </c>
      <c r="E32" s="20">
        <v>81.8</v>
      </c>
      <c r="F32" s="20">
        <v>56.3</v>
      </c>
      <c r="G32" s="20">
        <v>47.4</v>
      </c>
      <c r="I32" s="20">
        <f t="shared" si="3"/>
        <v>64.502694458566353</v>
      </c>
      <c r="J32" s="45">
        <f t="shared" si="4"/>
        <v>2.8640547300599284E-2</v>
      </c>
      <c r="K32" s="18"/>
      <c r="M32" s="38">
        <f>694+93</f>
        <v>787</v>
      </c>
      <c r="N32" s="38">
        <f>524+214</f>
        <v>738</v>
      </c>
      <c r="O32" s="38">
        <f>250+192</f>
        <v>442</v>
      </c>
      <c r="P32" s="36">
        <f t="shared" si="0"/>
        <v>64376.6</v>
      </c>
      <c r="Q32" s="36">
        <f t="shared" si="0"/>
        <v>41549.4</v>
      </c>
      <c r="R32" s="36">
        <f t="shared" si="0"/>
        <v>20950.8</v>
      </c>
      <c r="S32" s="36">
        <f t="shared" si="1"/>
        <v>1967</v>
      </c>
      <c r="T32" s="36">
        <f t="shared" si="2"/>
        <v>126876.8</v>
      </c>
      <c r="U32" s="37">
        <f t="shared" si="5"/>
        <v>64.502694458566353</v>
      </c>
      <c r="W32" s="1" t="s">
        <v>31</v>
      </c>
      <c r="X32" s="20">
        <v>80.099999999999994</v>
      </c>
      <c r="Y32" s="20">
        <v>55.6</v>
      </c>
      <c r="Z32" s="20">
        <v>46.2</v>
      </c>
      <c r="AA32" s="38">
        <f>624+82</f>
        <v>706</v>
      </c>
      <c r="AB32" s="38">
        <f>485+200</f>
        <v>685</v>
      </c>
      <c r="AC32" s="38">
        <f>249+200</f>
        <v>449</v>
      </c>
      <c r="AD32" s="36">
        <f t="shared" si="6"/>
        <v>56550.6</v>
      </c>
      <c r="AE32" s="36">
        <f t="shared" si="7"/>
        <v>38086</v>
      </c>
      <c r="AF32" s="36">
        <f t="shared" si="8"/>
        <v>20743.800000000003</v>
      </c>
      <c r="AG32" s="36">
        <f t="shared" si="9"/>
        <v>1840</v>
      </c>
      <c r="AH32" s="36">
        <f t="shared" si="10"/>
        <v>115380.40000000001</v>
      </c>
      <c r="AI32" s="37">
        <f t="shared" si="11"/>
        <v>62.706739130434791</v>
      </c>
    </row>
    <row r="33" spans="1:35" ht="13.5" customHeight="1" x14ac:dyDescent="0.3">
      <c r="A33" s="19"/>
      <c r="C33" s="31">
        <v>23</v>
      </c>
      <c r="D33" s="1" t="s">
        <v>32</v>
      </c>
      <c r="E33" s="20">
        <v>64.3</v>
      </c>
      <c r="F33" s="20">
        <v>48.3</v>
      </c>
      <c r="G33" s="20">
        <v>42.3</v>
      </c>
      <c r="I33" s="20">
        <f t="shared" si="3"/>
        <v>52.959649122807015</v>
      </c>
      <c r="J33" s="45">
        <f t="shared" si="4"/>
        <v>7.1322998288207762E-2</v>
      </c>
      <c r="K33" s="18"/>
      <c r="M33" s="38">
        <f>177+43</f>
        <v>220</v>
      </c>
      <c r="N33" s="38">
        <f>132+74</f>
        <v>206</v>
      </c>
      <c r="O33" s="38">
        <f>79+65</f>
        <v>144</v>
      </c>
      <c r="P33" s="36">
        <f t="shared" si="0"/>
        <v>14146</v>
      </c>
      <c r="Q33" s="36">
        <f t="shared" si="0"/>
        <v>9949.7999999999993</v>
      </c>
      <c r="R33" s="36">
        <f t="shared" si="0"/>
        <v>6091.2</v>
      </c>
      <c r="S33" s="36">
        <f t="shared" si="1"/>
        <v>570</v>
      </c>
      <c r="T33" s="36">
        <f t="shared" si="2"/>
        <v>30187</v>
      </c>
      <c r="U33" s="37">
        <f t="shared" si="5"/>
        <v>52.959649122807015</v>
      </c>
      <c r="W33" s="1" t="s">
        <v>32</v>
      </c>
      <c r="X33" s="20">
        <v>60.3</v>
      </c>
      <c r="Y33" s="20">
        <v>45.2</v>
      </c>
      <c r="Z33" s="20">
        <v>38.5</v>
      </c>
      <c r="AA33" s="38">
        <f>180+40</f>
        <v>220</v>
      </c>
      <c r="AB33" s="38">
        <f>125+60</f>
        <v>185</v>
      </c>
      <c r="AC33" s="38">
        <f>82+65</f>
        <v>147</v>
      </c>
      <c r="AD33" s="36">
        <f t="shared" si="6"/>
        <v>13266</v>
      </c>
      <c r="AE33" s="36">
        <f t="shared" si="7"/>
        <v>8362</v>
      </c>
      <c r="AF33" s="36">
        <f t="shared" si="8"/>
        <v>5659.5</v>
      </c>
      <c r="AG33" s="36">
        <f t="shared" si="9"/>
        <v>552</v>
      </c>
      <c r="AH33" s="36">
        <f t="shared" si="10"/>
        <v>27287.5</v>
      </c>
      <c r="AI33" s="37">
        <f t="shared" si="11"/>
        <v>49.433876811594203</v>
      </c>
    </row>
    <row r="34" spans="1:35" ht="13.5" customHeight="1" x14ac:dyDescent="0.3">
      <c r="A34" s="19"/>
      <c r="C34" s="31">
        <v>24</v>
      </c>
      <c r="D34" s="1" t="s">
        <v>33</v>
      </c>
      <c r="E34" s="20">
        <v>83.1</v>
      </c>
      <c r="F34" s="20">
        <v>56</v>
      </c>
      <c r="G34" s="20">
        <v>45.8</v>
      </c>
      <c r="I34" s="20">
        <f t="shared" si="3"/>
        <v>64.774708171206228</v>
      </c>
      <c r="J34" s="45">
        <f t="shared" si="4"/>
        <v>3.5698971089663578E-2</v>
      </c>
      <c r="K34" s="18"/>
      <c r="M34" s="38">
        <f>589+71</f>
        <v>660</v>
      </c>
      <c r="N34" s="38">
        <f>349+106</f>
        <v>455</v>
      </c>
      <c r="O34" s="38">
        <f>252+175</f>
        <v>427</v>
      </c>
      <c r="P34" s="36">
        <f t="shared" si="0"/>
        <v>54845.999999999993</v>
      </c>
      <c r="Q34" s="36">
        <f t="shared" si="0"/>
        <v>25480</v>
      </c>
      <c r="R34" s="36">
        <f t="shared" si="0"/>
        <v>19556.599999999999</v>
      </c>
      <c r="S34" s="36">
        <f t="shared" si="1"/>
        <v>1542</v>
      </c>
      <c r="T34" s="36">
        <f t="shared" si="2"/>
        <v>99882.6</v>
      </c>
      <c r="U34" s="37">
        <f t="shared" si="5"/>
        <v>64.774708171206228</v>
      </c>
      <c r="W34" s="1" t="s">
        <v>33</v>
      </c>
      <c r="X34" s="20">
        <v>80.2</v>
      </c>
      <c r="Y34" s="20">
        <v>54.9</v>
      </c>
      <c r="Z34" s="20">
        <v>44.3</v>
      </c>
      <c r="AA34" s="38">
        <f>572+64</f>
        <v>636</v>
      </c>
      <c r="AB34" s="38">
        <f>359+108</f>
        <v>467</v>
      </c>
      <c r="AC34" s="38">
        <f>253+167</f>
        <v>420</v>
      </c>
      <c r="AD34" s="36">
        <f t="shared" si="6"/>
        <v>51007.200000000004</v>
      </c>
      <c r="AE34" s="36">
        <f t="shared" si="7"/>
        <v>25638.3</v>
      </c>
      <c r="AF34" s="36">
        <f t="shared" si="8"/>
        <v>18606</v>
      </c>
      <c r="AG34" s="36">
        <f t="shared" si="9"/>
        <v>1523</v>
      </c>
      <c r="AH34" s="36">
        <f t="shared" si="10"/>
        <v>95251.5</v>
      </c>
      <c r="AI34" s="37">
        <f t="shared" si="11"/>
        <v>62.542022324359813</v>
      </c>
    </row>
    <row r="35" spans="1:35" ht="13.5" customHeight="1" x14ac:dyDescent="0.3">
      <c r="A35" s="19"/>
      <c r="C35" s="31">
        <v>25</v>
      </c>
      <c r="D35" s="1" t="s">
        <v>34</v>
      </c>
      <c r="E35" s="20">
        <v>80.8</v>
      </c>
      <c r="F35" s="20">
        <v>56.4</v>
      </c>
      <c r="G35" s="20">
        <v>45.7</v>
      </c>
      <c r="I35" s="20">
        <f t="shared" si="3"/>
        <v>62.33996598639456</v>
      </c>
      <c r="J35" s="45">
        <f t="shared" si="4"/>
        <v>2.3430536472921704E-2</v>
      </c>
      <c r="K35" s="18"/>
      <c r="M35" s="38">
        <f>366+65</f>
        <v>431</v>
      </c>
      <c r="N35" s="38">
        <f>299+116</f>
        <v>415</v>
      </c>
      <c r="O35" s="38">
        <f>152+178</f>
        <v>330</v>
      </c>
      <c r="P35" s="36">
        <f t="shared" si="0"/>
        <v>34824.799999999996</v>
      </c>
      <c r="Q35" s="36">
        <f t="shared" si="0"/>
        <v>23406</v>
      </c>
      <c r="R35" s="36">
        <f t="shared" si="0"/>
        <v>15081.000000000002</v>
      </c>
      <c r="S35" s="36">
        <f t="shared" si="1"/>
        <v>1176</v>
      </c>
      <c r="T35" s="36">
        <f t="shared" si="2"/>
        <v>73311.8</v>
      </c>
      <c r="U35" s="37">
        <f t="shared" si="5"/>
        <v>62.33996598639456</v>
      </c>
      <c r="W35" s="1" t="s">
        <v>34</v>
      </c>
      <c r="X35" s="20">
        <v>79.099999999999994</v>
      </c>
      <c r="Y35" s="20">
        <v>55.3</v>
      </c>
      <c r="Z35" s="20">
        <v>44.7</v>
      </c>
      <c r="AA35" s="38">
        <f>365+58</f>
        <v>423</v>
      </c>
      <c r="AB35" s="38">
        <f>296+107</f>
        <v>403</v>
      </c>
      <c r="AC35" s="38">
        <f>162+173</f>
        <v>335</v>
      </c>
      <c r="AD35" s="36">
        <f t="shared" si="6"/>
        <v>33459.299999999996</v>
      </c>
      <c r="AE35" s="36">
        <f t="shared" si="7"/>
        <v>22285.899999999998</v>
      </c>
      <c r="AF35" s="36">
        <f t="shared" si="8"/>
        <v>14974.500000000002</v>
      </c>
      <c r="AG35" s="36">
        <f t="shared" si="9"/>
        <v>1161</v>
      </c>
      <c r="AH35" s="36">
        <f t="shared" si="10"/>
        <v>70719.7</v>
      </c>
      <c r="AI35" s="37">
        <f t="shared" si="11"/>
        <v>60.912747631352282</v>
      </c>
    </row>
    <row r="36" spans="1:35" ht="13.5" customHeight="1" x14ac:dyDescent="0.3">
      <c r="A36" s="19"/>
      <c r="C36" s="31">
        <v>26</v>
      </c>
      <c r="D36" s="1" t="s">
        <v>35</v>
      </c>
      <c r="E36" s="20">
        <v>80.8</v>
      </c>
      <c r="F36" s="20">
        <v>55.2</v>
      </c>
      <c r="G36" s="20">
        <v>46.8</v>
      </c>
      <c r="I36" s="20">
        <f t="shared" si="3"/>
        <v>64.429142857142864</v>
      </c>
      <c r="J36" s="45">
        <f t="shared" si="4"/>
        <v>3.727764245648113E-2</v>
      </c>
      <c r="K36" s="18"/>
      <c r="M36" s="38">
        <f>566+47</f>
        <v>613</v>
      </c>
      <c r="N36" s="38">
        <f>340+117</f>
        <v>457</v>
      </c>
      <c r="O36" s="38">
        <f>199+131</f>
        <v>330</v>
      </c>
      <c r="P36" s="36">
        <f t="shared" si="0"/>
        <v>49530.400000000001</v>
      </c>
      <c r="Q36" s="36">
        <f t="shared" si="0"/>
        <v>25226.400000000001</v>
      </c>
      <c r="R36" s="36">
        <f t="shared" si="0"/>
        <v>15443.999999999998</v>
      </c>
      <c r="S36" s="36">
        <f t="shared" si="1"/>
        <v>1400</v>
      </c>
      <c r="T36" s="36">
        <f t="shared" si="2"/>
        <v>90200.8</v>
      </c>
      <c r="U36" s="37">
        <f t="shared" si="5"/>
        <v>64.429142857142864</v>
      </c>
      <c r="W36" s="1" t="s">
        <v>35</v>
      </c>
      <c r="X36" s="20">
        <v>78.5</v>
      </c>
      <c r="Y36" s="20">
        <v>53.6</v>
      </c>
      <c r="Z36" s="20">
        <v>45.4</v>
      </c>
      <c r="AA36" s="38">
        <f>564+43</f>
        <v>607</v>
      </c>
      <c r="AB36" s="38">
        <f>331+107</f>
        <v>438</v>
      </c>
      <c r="AC36" s="38">
        <f>238+134</f>
        <v>372</v>
      </c>
      <c r="AD36" s="36">
        <f t="shared" si="6"/>
        <v>47649.5</v>
      </c>
      <c r="AE36" s="36">
        <f t="shared" si="7"/>
        <v>23476.799999999999</v>
      </c>
      <c r="AF36" s="36">
        <f t="shared" si="8"/>
        <v>16888.8</v>
      </c>
      <c r="AG36" s="36">
        <f t="shared" si="9"/>
        <v>1417</v>
      </c>
      <c r="AH36" s="36">
        <f t="shared" si="10"/>
        <v>88015.1</v>
      </c>
      <c r="AI36" s="37">
        <f t="shared" si="11"/>
        <v>62.113690896259705</v>
      </c>
    </row>
    <row r="37" spans="1:35" ht="13.5" customHeight="1" x14ac:dyDescent="0.3">
      <c r="A37" s="19"/>
      <c r="C37" s="31">
        <v>27</v>
      </c>
      <c r="D37" s="1" t="s">
        <v>36</v>
      </c>
      <c r="E37" s="20">
        <v>89.6</v>
      </c>
      <c r="F37" s="20">
        <v>64.599999999999994</v>
      </c>
      <c r="G37" s="20">
        <v>47.8</v>
      </c>
      <c r="I37" s="20">
        <f t="shared" si="3"/>
        <v>73.881912350597617</v>
      </c>
      <c r="J37" s="45">
        <f t="shared" si="4"/>
        <v>5.8104189551455576E-4</v>
      </c>
      <c r="K37" s="18"/>
      <c r="M37" s="38">
        <f>535+105</f>
        <v>640</v>
      </c>
      <c r="N37" s="38">
        <f>242+114</f>
        <v>356</v>
      </c>
      <c r="O37" s="38">
        <f>142+117</f>
        <v>259</v>
      </c>
      <c r="P37" s="36">
        <f t="shared" si="0"/>
        <v>57344</v>
      </c>
      <c r="Q37" s="36">
        <f t="shared" si="0"/>
        <v>22997.599999999999</v>
      </c>
      <c r="R37" s="36">
        <f t="shared" si="0"/>
        <v>12380.199999999999</v>
      </c>
      <c r="S37" s="36">
        <f t="shared" si="1"/>
        <v>1255</v>
      </c>
      <c r="T37" s="36">
        <f t="shared" si="2"/>
        <v>92721.8</v>
      </c>
      <c r="U37" s="37">
        <f t="shared" si="5"/>
        <v>73.881912350597617</v>
      </c>
      <c r="W37" s="1" t="s">
        <v>36</v>
      </c>
      <c r="X37" s="20">
        <v>89.4</v>
      </c>
      <c r="Y37" s="20">
        <v>64.2</v>
      </c>
      <c r="Z37" s="20">
        <v>48.4</v>
      </c>
      <c r="AA37" s="38">
        <f>533+101</f>
        <v>634</v>
      </c>
      <c r="AB37" s="38">
        <f>254+115</f>
        <v>369</v>
      </c>
      <c r="AC37" s="38">
        <f>137+111</f>
        <v>248</v>
      </c>
      <c r="AD37" s="36">
        <f t="shared" si="6"/>
        <v>56679.600000000006</v>
      </c>
      <c r="AE37" s="36">
        <f t="shared" si="7"/>
        <v>23689.8</v>
      </c>
      <c r="AF37" s="36">
        <f t="shared" si="8"/>
        <v>12003.199999999999</v>
      </c>
      <c r="AG37" s="36">
        <f t="shared" si="9"/>
        <v>1251</v>
      </c>
      <c r="AH37" s="36">
        <f t="shared" si="10"/>
        <v>92372.6</v>
      </c>
      <c r="AI37" s="37">
        <f t="shared" si="11"/>
        <v>73.839008792965629</v>
      </c>
    </row>
    <row r="38" spans="1:35" ht="13.5" customHeight="1" x14ac:dyDescent="0.3">
      <c r="A38" s="19"/>
      <c r="C38" s="31">
        <v>28</v>
      </c>
      <c r="D38" s="1" t="s">
        <v>46</v>
      </c>
      <c r="E38" s="20">
        <v>81.400000000000006</v>
      </c>
      <c r="F38" s="20">
        <v>57.9</v>
      </c>
      <c r="G38" s="20">
        <v>45.5</v>
      </c>
      <c r="I38" s="20">
        <f t="shared" si="3"/>
        <v>64.557582417582424</v>
      </c>
      <c r="J38" s="45">
        <f t="shared" si="4"/>
        <v>1.1420656331688095E-2</v>
      </c>
      <c r="K38" s="18"/>
      <c r="M38" s="38">
        <f>337+39</f>
        <v>376</v>
      </c>
      <c r="N38" s="38">
        <f>224+86</f>
        <v>310</v>
      </c>
      <c r="O38" s="38">
        <f>125+99</f>
        <v>224</v>
      </c>
      <c r="P38" s="36">
        <f t="shared" si="0"/>
        <v>30606.400000000001</v>
      </c>
      <c r="Q38" s="36">
        <f t="shared" si="0"/>
        <v>17949</v>
      </c>
      <c r="R38" s="36">
        <f t="shared" si="0"/>
        <v>10192</v>
      </c>
      <c r="S38" s="36">
        <f t="shared" si="1"/>
        <v>910</v>
      </c>
      <c r="T38" s="36">
        <f t="shared" si="2"/>
        <v>58747.4</v>
      </c>
      <c r="U38" s="37">
        <f t="shared" si="5"/>
        <v>64.557582417582424</v>
      </c>
      <c r="W38" s="1" t="s">
        <v>46</v>
      </c>
      <c r="X38" s="20">
        <v>80.5</v>
      </c>
      <c r="Y38" s="20">
        <v>57.4</v>
      </c>
      <c r="Z38" s="20">
        <v>44</v>
      </c>
      <c r="AA38" s="38">
        <f>340+43</f>
        <v>383</v>
      </c>
      <c r="AB38" s="38">
        <f>243+84</f>
        <v>327</v>
      </c>
      <c r="AC38" s="38">
        <f>114+102</f>
        <v>216</v>
      </c>
      <c r="AD38" s="36">
        <f t="shared" si="6"/>
        <v>30831.5</v>
      </c>
      <c r="AE38" s="36">
        <f t="shared" si="7"/>
        <v>18769.8</v>
      </c>
      <c r="AF38" s="36">
        <f t="shared" si="8"/>
        <v>9504</v>
      </c>
      <c r="AG38" s="36">
        <f t="shared" si="9"/>
        <v>926</v>
      </c>
      <c r="AH38" s="36">
        <f t="shared" si="10"/>
        <v>59105.3</v>
      </c>
      <c r="AI38" s="37">
        <f t="shared" si="11"/>
        <v>63.82861771058316</v>
      </c>
    </row>
    <row r="39" spans="1:35" ht="13.5" customHeight="1" x14ac:dyDescent="0.3">
      <c r="A39" s="19"/>
      <c r="C39" s="31">
        <v>30</v>
      </c>
      <c r="D39" s="1" t="s">
        <v>48</v>
      </c>
      <c r="E39" s="20">
        <v>82.4</v>
      </c>
      <c r="F39" s="20">
        <v>53.7</v>
      </c>
      <c r="G39" s="20">
        <v>49.7</v>
      </c>
      <c r="I39" s="20">
        <f t="shared" si="3"/>
        <v>68.532911392405069</v>
      </c>
      <c r="J39" s="45">
        <f t="shared" si="4"/>
        <v>4.5908543237964006E-2</v>
      </c>
      <c r="K39" s="18"/>
      <c r="M39" s="38">
        <f>833+115</f>
        <v>948</v>
      </c>
      <c r="N39" s="38">
        <f>292+141</f>
        <v>433</v>
      </c>
      <c r="O39" s="38">
        <f>199+158</f>
        <v>357</v>
      </c>
      <c r="P39" s="36">
        <f t="shared" si="0"/>
        <v>78115.200000000012</v>
      </c>
      <c r="Q39" s="36">
        <f t="shared" si="0"/>
        <v>23252.100000000002</v>
      </c>
      <c r="R39" s="36">
        <f t="shared" si="0"/>
        <v>17742.900000000001</v>
      </c>
      <c r="S39" s="36">
        <f t="shared" si="1"/>
        <v>1738</v>
      </c>
      <c r="T39" s="36">
        <f t="shared" si="2"/>
        <v>119110.20000000001</v>
      </c>
      <c r="U39" s="37">
        <f t="shared" si="5"/>
        <v>68.532911392405069</v>
      </c>
      <c r="W39" s="1" t="s">
        <v>48</v>
      </c>
      <c r="X39" s="20">
        <v>79.599999999999994</v>
      </c>
      <c r="Y39" s="20">
        <v>51.6</v>
      </c>
      <c r="Z39" s="20">
        <v>47.6</v>
      </c>
      <c r="AA39" s="38">
        <f>897+119</f>
        <v>1016</v>
      </c>
      <c r="AB39" s="38">
        <f>307+142</f>
        <v>449</v>
      </c>
      <c r="AC39" s="38">
        <f>246+203</f>
        <v>449</v>
      </c>
      <c r="AD39" s="36">
        <f t="shared" si="6"/>
        <v>80873.599999999991</v>
      </c>
      <c r="AE39" s="36">
        <f t="shared" si="7"/>
        <v>23168.400000000001</v>
      </c>
      <c r="AF39" s="36">
        <f t="shared" si="8"/>
        <v>21372.400000000001</v>
      </c>
      <c r="AG39" s="36">
        <f t="shared" si="9"/>
        <v>1914</v>
      </c>
      <c r="AH39" s="36">
        <f t="shared" si="10"/>
        <v>125414.39999999999</v>
      </c>
      <c r="AI39" s="37">
        <f t="shared" si="11"/>
        <v>65.524764890282128</v>
      </c>
    </row>
    <row r="40" spans="1:35" ht="13.5" customHeight="1" x14ac:dyDescent="0.3">
      <c r="A40" s="19"/>
      <c r="C40" s="31">
        <v>32</v>
      </c>
      <c r="D40" s="1" t="s">
        <v>38</v>
      </c>
      <c r="E40" s="20">
        <v>90.9</v>
      </c>
      <c r="F40" s="20">
        <v>61.3</v>
      </c>
      <c r="G40" s="20">
        <v>48.9</v>
      </c>
      <c r="I40" s="20">
        <f t="shared" si="3"/>
        <v>72.992210526315802</v>
      </c>
      <c r="J40" s="45">
        <f t="shared" si="4"/>
        <v>7.3724082690222792E-2</v>
      </c>
      <c r="K40" s="18"/>
      <c r="M40" s="38">
        <f>413+54</f>
        <v>467</v>
      </c>
      <c r="N40" s="38">
        <f>189+75</f>
        <v>264</v>
      </c>
      <c r="O40" s="38">
        <f>111+108</f>
        <v>219</v>
      </c>
      <c r="P40" s="36">
        <f t="shared" si="0"/>
        <v>42450.3</v>
      </c>
      <c r="Q40" s="36">
        <f t="shared" si="0"/>
        <v>16183.199999999999</v>
      </c>
      <c r="R40" s="36">
        <f t="shared" si="0"/>
        <v>10709.1</v>
      </c>
      <c r="S40" s="36">
        <f t="shared" si="1"/>
        <v>950</v>
      </c>
      <c r="T40" s="36">
        <f t="shared" si="2"/>
        <v>69342.600000000006</v>
      </c>
      <c r="U40" s="37">
        <f t="shared" si="5"/>
        <v>72.992210526315802</v>
      </c>
      <c r="W40" s="1" t="s">
        <v>38</v>
      </c>
      <c r="X40" s="20">
        <v>84.2</v>
      </c>
      <c r="Y40" s="20">
        <v>56.4</v>
      </c>
      <c r="Z40" s="20">
        <v>46.4</v>
      </c>
      <c r="AA40" s="38">
        <f>427+47</f>
        <v>474</v>
      </c>
      <c r="AB40" s="38">
        <f>204+76</f>
        <v>280</v>
      </c>
      <c r="AC40" s="38">
        <f>108+98</f>
        <v>206</v>
      </c>
      <c r="AD40" s="36">
        <f t="shared" si="6"/>
        <v>39910.800000000003</v>
      </c>
      <c r="AE40" s="36">
        <f t="shared" si="7"/>
        <v>15792</v>
      </c>
      <c r="AF40" s="36">
        <f t="shared" si="8"/>
        <v>9558.4</v>
      </c>
      <c r="AG40" s="36">
        <f t="shared" si="9"/>
        <v>960</v>
      </c>
      <c r="AH40" s="36">
        <f t="shared" si="10"/>
        <v>65261.200000000004</v>
      </c>
      <c r="AI40" s="37">
        <f t="shared" si="11"/>
        <v>67.98041666666667</v>
      </c>
    </row>
    <row r="41" spans="1:35" ht="13.5" customHeight="1" x14ac:dyDescent="0.3">
      <c r="A41" s="19"/>
      <c r="C41" s="31">
        <v>33</v>
      </c>
      <c r="D41" s="1" t="s">
        <v>39</v>
      </c>
      <c r="E41" s="20">
        <v>73</v>
      </c>
      <c r="F41" s="20">
        <v>52.9</v>
      </c>
      <c r="G41" s="20">
        <v>47.6</v>
      </c>
      <c r="I41" s="20">
        <f t="shared" si="3"/>
        <v>63.124403669724764</v>
      </c>
      <c r="J41" s="45">
        <f t="shared" si="4"/>
        <v>4.7076130005936356E-2</v>
      </c>
      <c r="K41" s="18"/>
      <c r="M41" s="38">
        <f>780+130</f>
        <v>910</v>
      </c>
      <c r="N41" s="38">
        <f>292+136</f>
        <v>428</v>
      </c>
      <c r="O41" s="38">
        <f>162+135</f>
        <v>297</v>
      </c>
      <c r="P41" s="36">
        <f t="shared" si="0"/>
        <v>66430</v>
      </c>
      <c r="Q41" s="36">
        <f t="shared" si="0"/>
        <v>22641.200000000001</v>
      </c>
      <c r="R41" s="36">
        <f t="shared" si="0"/>
        <v>14137.2</v>
      </c>
      <c r="S41" s="36">
        <f t="shared" si="1"/>
        <v>1635</v>
      </c>
      <c r="T41" s="36">
        <f t="shared" si="2"/>
        <v>103208.4</v>
      </c>
      <c r="U41" s="37">
        <f t="shared" si="5"/>
        <v>63.124403669724764</v>
      </c>
      <c r="W41" s="1" t="s">
        <v>39</v>
      </c>
      <c r="X41" s="20">
        <v>70.5</v>
      </c>
      <c r="Y41" s="20">
        <v>49.9</v>
      </c>
      <c r="Z41" s="20">
        <v>45.2</v>
      </c>
      <c r="AA41" s="38">
        <f>782+119</f>
        <v>901</v>
      </c>
      <c r="AB41" s="38">
        <f>318+125</f>
        <v>443</v>
      </c>
      <c r="AC41" s="38">
        <f>163+142</f>
        <v>305</v>
      </c>
      <c r="AD41" s="36">
        <f t="shared" si="6"/>
        <v>63520.5</v>
      </c>
      <c r="AE41" s="36">
        <f t="shared" si="7"/>
        <v>22105.7</v>
      </c>
      <c r="AF41" s="36">
        <f t="shared" si="8"/>
        <v>13786</v>
      </c>
      <c r="AG41" s="36">
        <f t="shared" si="9"/>
        <v>1649</v>
      </c>
      <c r="AH41" s="36">
        <f t="shared" si="10"/>
        <v>99412.2</v>
      </c>
      <c r="AI41" s="37">
        <f t="shared" si="11"/>
        <v>60.286355366889019</v>
      </c>
    </row>
    <row r="42" spans="1:35" ht="13.5" customHeight="1" x14ac:dyDescent="0.3">
      <c r="A42" s="19"/>
      <c r="C42" s="31">
        <v>34</v>
      </c>
      <c r="D42" s="1" t="s">
        <v>40</v>
      </c>
      <c r="E42" s="20">
        <v>73.900000000000006</v>
      </c>
      <c r="F42" s="20">
        <v>55.5</v>
      </c>
      <c r="G42" s="20">
        <v>50.6</v>
      </c>
      <c r="I42" s="20">
        <f t="shared" si="3"/>
        <v>66.019779411764716</v>
      </c>
      <c r="J42" s="45">
        <f t="shared" si="4"/>
        <v>4.0726956099141676E-2</v>
      </c>
      <c r="K42" s="18"/>
      <c r="M42" s="38">
        <f>702+136</f>
        <v>838</v>
      </c>
      <c r="N42" s="38">
        <f>178+117</f>
        <v>295</v>
      </c>
      <c r="O42" s="38">
        <f>127+100</f>
        <v>227</v>
      </c>
      <c r="P42" s="36">
        <f t="shared" si="0"/>
        <v>61928.200000000004</v>
      </c>
      <c r="Q42" s="36">
        <f t="shared" si="0"/>
        <v>16372.5</v>
      </c>
      <c r="R42" s="36">
        <f t="shared" si="0"/>
        <v>11486.2</v>
      </c>
      <c r="S42" s="36">
        <f t="shared" si="1"/>
        <v>1360</v>
      </c>
      <c r="T42" s="36">
        <f t="shared" si="2"/>
        <v>89786.900000000009</v>
      </c>
      <c r="U42" s="37">
        <f t="shared" si="5"/>
        <v>66.019779411764716</v>
      </c>
      <c r="W42" s="1" t="s">
        <v>40</v>
      </c>
      <c r="X42" s="20">
        <v>71.099999999999994</v>
      </c>
      <c r="Y42" s="20">
        <v>53.5</v>
      </c>
      <c r="Z42" s="20">
        <v>47.7</v>
      </c>
      <c r="AA42" s="38">
        <f>741+136</f>
        <v>877</v>
      </c>
      <c r="AB42" s="38">
        <f>177+113</f>
        <v>290</v>
      </c>
      <c r="AC42" s="38">
        <f>144+100</f>
        <v>244</v>
      </c>
      <c r="AD42" s="36">
        <f t="shared" si="6"/>
        <v>62354.7</v>
      </c>
      <c r="AE42" s="36">
        <f t="shared" si="7"/>
        <v>15515</v>
      </c>
      <c r="AF42" s="36">
        <f t="shared" si="8"/>
        <v>11638.800000000001</v>
      </c>
      <c r="AG42" s="36">
        <f t="shared" si="9"/>
        <v>1411</v>
      </c>
      <c r="AH42" s="36">
        <f t="shared" si="10"/>
        <v>89508.5</v>
      </c>
      <c r="AI42" s="37">
        <f t="shared" si="11"/>
        <v>63.436215450035434</v>
      </c>
    </row>
    <row r="43" spans="1:35" ht="13.5" customHeight="1" x14ac:dyDescent="0.3">
      <c r="A43" s="19"/>
      <c r="K43" s="18"/>
    </row>
    <row r="44" spans="1:35" ht="13.5" customHeight="1" x14ac:dyDescent="0.3">
      <c r="A44" s="19"/>
      <c r="D44" s="44" t="s">
        <v>54</v>
      </c>
      <c r="E44" s="41">
        <f>P44/M44</f>
        <v>81.07458019985576</v>
      </c>
      <c r="F44" s="41">
        <f t="shared" ref="F44" si="12">Q44/N44</f>
        <v>56.46407870247274</v>
      </c>
      <c r="G44" s="41">
        <f>R44/O44</f>
        <v>47.728936373403371</v>
      </c>
      <c r="H44" s="40"/>
      <c r="I44" s="41">
        <f t="shared" si="3"/>
        <v>66.819148282745545</v>
      </c>
      <c r="J44" s="46">
        <f t="shared" ref="J44:J45" si="13">(I44/AI44)-1</f>
        <v>4.5762055098457211E-2</v>
      </c>
      <c r="K44" s="18"/>
      <c r="M44" s="39">
        <f t="shared" ref="M44:R44" si="14">SUM(M11:M42)</f>
        <v>19414</v>
      </c>
      <c r="N44" s="39">
        <f t="shared" si="14"/>
        <v>11283</v>
      </c>
      <c r="O44" s="39">
        <f t="shared" si="14"/>
        <v>8377</v>
      </c>
      <c r="P44" s="39">
        <f t="shared" si="14"/>
        <v>1573981.8999999997</v>
      </c>
      <c r="Q44" s="39">
        <f t="shared" si="14"/>
        <v>637084.19999999995</v>
      </c>
      <c r="R44" s="39">
        <f t="shared" si="14"/>
        <v>399825.30000000005</v>
      </c>
      <c r="S44" s="36">
        <f>M44+N44+O44</f>
        <v>39074</v>
      </c>
      <c r="T44" s="36">
        <f>P44+Q44+R44</f>
        <v>2610891.3999999994</v>
      </c>
      <c r="U44" s="37">
        <f>T44/S44</f>
        <v>66.819148282745545</v>
      </c>
      <c r="W44" s="1" t="s">
        <v>54</v>
      </c>
      <c r="X44" s="20">
        <f>AD44/AA44</f>
        <v>77.446605410923937</v>
      </c>
      <c r="Y44" s="20">
        <f t="shared" ref="Y44:Z44" si="15">AE44/AB44</f>
        <v>54.331991599579979</v>
      </c>
      <c r="Z44" s="20">
        <f t="shared" si="15"/>
        <v>46.076063890473485</v>
      </c>
      <c r="AA44" s="39">
        <f t="shared" ref="AA44:AF44" si="16">SUM(AA11:AA42)</f>
        <v>19590</v>
      </c>
      <c r="AB44" s="39">
        <f t="shared" si="16"/>
        <v>11428</v>
      </c>
      <c r="AC44" s="39">
        <f t="shared" si="16"/>
        <v>8765</v>
      </c>
      <c r="AD44" s="39">
        <f t="shared" si="16"/>
        <v>1517179</v>
      </c>
      <c r="AE44" s="39">
        <f>SUM(AE11:AE42)</f>
        <v>620906</v>
      </c>
      <c r="AF44" s="39">
        <f t="shared" si="16"/>
        <v>403856.70000000007</v>
      </c>
      <c r="AG44" s="36">
        <f>AA44+AB44+AC44</f>
        <v>39783</v>
      </c>
      <c r="AH44" s="36">
        <f>AD44+AE44+AF44</f>
        <v>2541941.7000000002</v>
      </c>
      <c r="AI44" s="37">
        <f>AH44/AG44</f>
        <v>63.895173817962451</v>
      </c>
    </row>
    <row r="45" spans="1:35" ht="13.5" customHeight="1" x14ac:dyDescent="0.3">
      <c r="A45" s="19"/>
      <c r="D45" s="44" t="s">
        <v>55</v>
      </c>
      <c r="E45" s="41">
        <f>MEDIAN(E11:E42)</f>
        <v>81</v>
      </c>
      <c r="F45" s="41">
        <f t="shared" ref="F45" si="17">MEDIAN(F11:F42)</f>
        <v>56.25</v>
      </c>
      <c r="G45" s="41">
        <f>MEDIAN(G11:G42)</f>
        <v>47.55</v>
      </c>
      <c r="H45" s="40"/>
      <c r="I45" s="41">
        <f>MEDIAN(I11:I42)</f>
        <v>65.397243791485465</v>
      </c>
      <c r="J45" s="46">
        <f t="shared" si="13"/>
        <v>3.101280989185895E-2</v>
      </c>
      <c r="K45" s="18"/>
      <c r="W45" s="1" t="s">
        <v>55</v>
      </c>
      <c r="X45" s="20">
        <f>MEDIAN(X11:X42)</f>
        <v>78.5</v>
      </c>
      <c r="Y45" s="20">
        <f>MEDIAN(Y11:Y42)</f>
        <v>54.650000000000006</v>
      </c>
      <c r="Z45" s="20">
        <f>MEDIAN(Z11:Z42)</f>
        <v>45.65</v>
      </c>
      <c r="AI45" s="20">
        <f>MEDIAN(AI11:AI42)</f>
        <v>63.430098214148146</v>
      </c>
    </row>
    <row r="46" spans="1:35" ht="13.5" customHeight="1" x14ac:dyDescent="0.3">
      <c r="A46" s="19"/>
      <c r="B46" s="22"/>
      <c r="C46" s="33"/>
      <c r="D46" s="22"/>
      <c r="E46" s="22"/>
      <c r="F46" s="22"/>
      <c r="G46" s="22"/>
      <c r="H46" s="22"/>
      <c r="I46" s="22"/>
      <c r="J46" s="22"/>
      <c r="K46" s="18"/>
    </row>
    <row r="47" spans="1:35" ht="13.5" customHeight="1" x14ac:dyDescent="0.3">
      <c r="A47" s="19"/>
      <c r="K47" s="18"/>
    </row>
    <row r="48" spans="1:35" ht="13.5" customHeight="1" x14ac:dyDescent="0.3">
      <c r="A48" s="19"/>
      <c r="B48" s="16" t="s">
        <v>58</v>
      </c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21"/>
      <c r="B50" s="42" t="s">
        <v>56</v>
      </c>
      <c r="C50" s="33"/>
      <c r="D50" s="22"/>
      <c r="E50" s="22"/>
      <c r="F50" s="22"/>
      <c r="G50" s="22"/>
      <c r="H50" s="22"/>
      <c r="I50" s="22"/>
      <c r="J50" s="43" t="s">
        <v>94</v>
      </c>
      <c r="K50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U47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106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57.2</v>
      </c>
      <c r="F11" s="20">
        <v>41.6</v>
      </c>
      <c r="G11" s="20">
        <v>35.4</v>
      </c>
      <c r="I11" s="20">
        <f>U11</f>
        <v>47.426522744795683</v>
      </c>
      <c r="J11" s="45"/>
      <c r="K11" s="18"/>
      <c r="M11" s="38">
        <f>565+47</f>
        <v>612</v>
      </c>
      <c r="N11" s="38">
        <f>287+77</f>
        <v>364</v>
      </c>
      <c r="O11" s="38">
        <f>202+119</f>
        <v>321</v>
      </c>
      <c r="P11" s="36">
        <f t="shared" ref="P11:R39" si="0">E11*M11</f>
        <v>35006.400000000001</v>
      </c>
      <c r="Q11" s="36">
        <f t="shared" si="0"/>
        <v>15142.4</v>
      </c>
      <c r="R11" s="36">
        <f t="shared" si="0"/>
        <v>11363.4</v>
      </c>
      <c r="S11" s="36">
        <f t="shared" ref="S11:S39" si="1">M11+N11+O11</f>
        <v>1297</v>
      </c>
      <c r="T11" s="36">
        <f t="shared" ref="T11:T39" si="2">P11+Q11+R11</f>
        <v>61512.200000000004</v>
      </c>
      <c r="U11" s="37">
        <f>T11/S11</f>
        <v>47.426522744795683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72.400000000000006</v>
      </c>
      <c r="F12" s="20">
        <v>47.4</v>
      </c>
      <c r="G12" s="20">
        <v>39.9</v>
      </c>
      <c r="I12" s="20">
        <f t="shared" ref="I12:I41" si="3">U12</f>
        <v>63.495444685466389</v>
      </c>
      <c r="J12" s="45"/>
      <c r="K12" s="18"/>
      <c r="M12" s="38">
        <f>855+96</f>
        <v>951</v>
      </c>
      <c r="N12" s="38">
        <f>172+58</f>
        <v>230</v>
      </c>
      <c r="O12" s="38">
        <f>134+68</f>
        <v>202</v>
      </c>
      <c r="P12" s="36">
        <f t="shared" si="0"/>
        <v>68852.400000000009</v>
      </c>
      <c r="Q12" s="36">
        <f t="shared" si="0"/>
        <v>10902</v>
      </c>
      <c r="R12" s="36">
        <f t="shared" si="0"/>
        <v>8059.7999999999993</v>
      </c>
      <c r="S12" s="36">
        <f t="shared" si="1"/>
        <v>1383</v>
      </c>
      <c r="T12" s="36">
        <f t="shared" si="2"/>
        <v>87814.200000000012</v>
      </c>
      <c r="U12" s="37">
        <f t="shared" ref="U12:U39" si="4">T12/S12</f>
        <v>63.495444685466389</v>
      </c>
    </row>
    <row r="13" spans="1:21" ht="13.5" customHeight="1" x14ac:dyDescent="0.3">
      <c r="A13" s="19"/>
      <c r="C13" s="31">
        <v>5</v>
      </c>
      <c r="D13" s="1" t="s">
        <v>15</v>
      </c>
      <c r="E13" s="20">
        <v>70.099999999999994</v>
      </c>
      <c r="F13" s="20">
        <v>44.6</v>
      </c>
      <c r="G13" s="20">
        <v>39.700000000000003</v>
      </c>
      <c r="I13" s="20">
        <f t="shared" si="3"/>
        <v>59.116302864938611</v>
      </c>
      <c r="J13" s="45"/>
      <c r="K13" s="18"/>
      <c r="M13" s="38">
        <f>792+100</f>
        <v>892</v>
      </c>
      <c r="N13" s="38">
        <f>198+77</f>
        <v>275</v>
      </c>
      <c r="O13" s="38">
        <f>194+105</f>
        <v>299</v>
      </c>
      <c r="P13" s="36">
        <f t="shared" si="0"/>
        <v>62529.2</v>
      </c>
      <c r="Q13" s="36">
        <f t="shared" si="0"/>
        <v>12265</v>
      </c>
      <c r="R13" s="36">
        <f t="shared" si="0"/>
        <v>11870.300000000001</v>
      </c>
      <c r="S13" s="36">
        <f t="shared" si="1"/>
        <v>1466</v>
      </c>
      <c r="T13" s="36">
        <f t="shared" si="2"/>
        <v>86664.5</v>
      </c>
      <c r="U13" s="37">
        <f t="shared" si="4"/>
        <v>59.116302864938611</v>
      </c>
    </row>
    <row r="14" spans="1:21" ht="13.5" customHeight="1" x14ac:dyDescent="0.3">
      <c r="A14" s="19"/>
      <c r="C14" s="31">
        <v>6</v>
      </c>
      <c r="D14" s="1" t="s">
        <v>16</v>
      </c>
      <c r="E14" s="20">
        <v>68.5</v>
      </c>
      <c r="F14" s="20">
        <v>45.2</v>
      </c>
      <c r="G14" s="20">
        <v>38.4</v>
      </c>
      <c r="I14" s="20">
        <f t="shared" si="3"/>
        <v>57.688262195121951</v>
      </c>
      <c r="J14" s="45"/>
      <c r="K14" s="18"/>
      <c r="M14" s="38">
        <f>359+32</f>
        <v>391</v>
      </c>
      <c r="N14" s="38">
        <f>97+33</f>
        <v>130</v>
      </c>
      <c r="O14" s="38">
        <f>99+36</f>
        <v>135</v>
      </c>
      <c r="P14" s="36">
        <f t="shared" si="0"/>
        <v>26783.5</v>
      </c>
      <c r="Q14" s="36">
        <f t="shared" si="0"/>
        <v>5876</v>
      </c>
      <c r="R14" s="36">
        <f t="shared" si="0"/>
        <v>5184</v>
      </c>
      <c r="S14" s="36">
        <f t="shared" si="1"/>
        <v>656</v>
      </c>
      <c r="T14" s="36">
        <f t="shared" si="2"/>
        <v>37843.5</v>
      </c>
      <c r="U14" s="37">
        <f t="shared" si="4"/>
        <v>57.688262195121951</v>
      </c>
    </row>
    <row r="15" spans="1:21" ht="13.5" customHeight="1" x14ac:dyDescent="0.3">
      <c r="A15" s="19"/>
      <c r="C15" s="31">
        <v>8</v>
      </c>
      <c r="D15" s="1" t="s">
        <v>18</v>
      </c>
      <c r="E15" s="20">
        <v>55.6</v>
      </c>
      <c r="F15" s="20">
        <v>43</v>
      </c>
      <c r="G15" s="20">
        <v>38.1</v>
      </c>
      <c r="I15" s="20">
        <f t="shared" si="3"/>
        <v>48.360799999999998</v>
      </c>
      <c r="J15" s="45"/>
      <c r="K15" s="18"/>
      <c r="M15" s="38">
        <f>419+26</f>
        <v>445</v>
      </c>
      <c r="N15" s="38">
        <f>175+68</f>
        <v>243</v>
      </c>
      <c r="O15" s="38">
        <f>129+58</f>
        <v>187</v>
      </c>
      <c r="P15" s="36">
        <f t="shared" si="0"/>
        <v>24742</v>
      </c>
      <c r="Q15" s="36">
        <f t="shared" si="0"/>
        <v>10449</v>
      </c>
      <c r="R15" s="36">
        <f t="shared" si="0"/>
        <v>7124.7</v>
      </c>
      <c r="S15" s="36">
        <f t="shared" si="1"/>
        <v>875</v>
      </c>
      <c r="T15" s="36">
        <f t="shared" si="2"/>
        <v>42315.7</v>
      </c>
      <c r="U15" s="37">
        <f t="shared" si="4"/>
        <v>48.360799999999998</v>
      </c>
    </row>
    <row r="16" spans="1:21" ht="13.5" customHeight="1" x14ac:dyDescent="0.3">
      <c r="A16" s="19"/>
      <c r="C16" s="31">
        <v>9</v>
      </c>
      <c r="D16" s="1" t="s">
        <v>19</v>
      </c>
      <c r="E16" s="20">
        <v>61.4</v>
      </c>
      <c r="F16" s="20">
        <v>47.7</v>
      </c>
      <c r="G16" s="20">
        <v>43.5</v>
      </c>
      <c r="I16" s="20">
        <f t="shared" si="3"/>
        <v>52.117498020585899</v>
      </c>
      <c r="J16" s="45"/>
      <c r="K16" s="18"/>
      <c r="M16" s="38">
        <f>955+79</f>
        <v>1034</v>
      </c>
      <c r="N16" s="38">
        <f>627+149</f>
        <v>776</v>
      </c>
      <c r="O16" s="38">
        <f>533+183</f>
        <v>716</v>
      </c>
      <c r="P16" s="36">
        <f t="shared" si="0"/>
        <v>63487.6</v>
      </c>
      <c r="Q16" s="36">
        <f t="shared" si="0"/>
        <v>37015.200000000004</v>
      </c>
      <c r="R16" s="36">
        <f t="shared" si="0"/>
        <v>31146</v>
      </c>
      <c r="S16" s="36">
        <f t="shared" si="1"/>
        <v>2526</v>
      </c>
      <c r="T16" s="36">
        <f t="shared" si="2"/>
        <v>131648.79999999999</v>
      </c>
      <c r="U16" s="37">
        <f t="shared" si="4"/>
        <v>52.117498020585899</v>
      </c>
    </row>
    <row r="17" spans="1:21" ht="13.5" customHeight="1" x14ac:dyDescent="0.3">
      <c r="A17" s="19"/>
      <c r="C17" s="1">
        <v>10</v>
      </c>
      <c r="D17" s="1" t="s">
        <v>21</v>
      </c>
      <c r="E17" s="20">
        <v>61.8</v>
      </c>
      <c r="F17" s="20">
        <v>44.6</v>
      </c>
      <c r="G17" s="20">
        <v>39.200000000000003</v>
      </c>
      <c r="I17" s="20">
        <f t="shared" si="3"/>
        <v>52.042713301536828</v>
      </c>
      <c r="J17" s="45"/>
      <c r="K17" s="18"/>
      <c r="M17" s="38">
        <f>875+69</f>
        <v>944</v>
      </c>
      <c r="N17" s="38">
        <f>450+87</f>
        <v>537</v>
      </c>
      <c r="O17" s="38">
        <f>296+110</f>
        <v>406</v>
      </c>
      <c r="P17" s="36">
        <f t="shared" si="0"/>
        <v>58339.199999999997</v>
      </c>
      <c r="Q17" s="36">
        <f t="shared" si="0"/>
        <v>23950.2</v>
      </c>
      <c r="R17" s="36">
        <f t="shared" si="0"/>
        <v>15915.2</v>
      </c>
      <c r="S17" s="36">
        <f t="shared" si="1"/>
        <v>1887</v>
      </c>
      <c r="T17" s="36">
        <f t="shared" si="2"/>
        <v>98204.599999999991</v>
      </c>
      <c r="U17" s="37">
        <f t="shared" si="4"/>
        <v>52.042713301536828</v>
      </c>
    </row>
    <row r="18" spans="1:21" ht="13.5" customHeight="1" x14ac:dyDescent="0.3">
      <c r="A18" s="19"/>
      <c r="C18" s="31">
        <v>11</v>
      </c>
      <c r="D18" s="1" t="s">
        <v>22</v>
      </c>
      <c r="E18" s="20">
        <v>58</v>
      </c>
      <c r="F18" s="20">
        <v>41.1</v>
      </c>
      <c r="G18" s="20">
        <v>33.799999999999997</v>
      </c>
      <c r="I18" s="20">
        <f t="shared" si="3"/>
        <v>47.64779771615008</v>
      </c>
      <c r="J18" s="45"/>
      <c r="K18" s="18"/>
      <c r="M18" s="38">
        <f>536+66</f>
        <v>602</v>
      </c>
      <c r="N18" s="38">
        <f>237+93</f>
        <v>330</v>
      </c>
      <c r="O18" s="38">
        <f>196+98</f>
        <v>294</v>
      </c>
      <c r="P18" s="36">
        <f t="shared" si="0"/>
        <v>34916</v>
      </c>
      <c r="Q18" s="36">
        <f t="shared" si="0"/>
        <v>13563</v>
      </c>
      <c r="R18" s="36">
        <f t="shared" si="0"/>
        <v>9937.1999999999989</v>
      </c>
      <c r="S18" s="36">
        <f t="shared" si="1"/>
        <v>1226</v>
      </c>
      <c r="T18" s="36">
        <f t="shared" si="2"/>
        <v>58416.2</v>
      </c>
      <c r="U18" s="37">
        <f t="shared" si="4"/>
        <v>47.64779771615008</v>
      </c>
    </row>
    <row r="19" spans="1:21" ht="13.5" customHeight="1" x14ac:dyDescent="0.3">
      <c r="A19" s="19"/>
      <c r="C19" s="31">
        <v>12</v>
      </c>
      <c r="D19" s="1" t="s">
        <v>23</v>
      </c>
      <c r="E19" s="20">
        <v>61.2</v>
      </c>
      <c r="F19" s="20">
        <v>46</v>
      </c>
      <c r="G19" s="20">
        <v>38.5</v>
      </c>
      <c r="I19" s="20">
        <f t="shared" si="3"/>
        <v>51.573038229376266</v>
      </c>
      <c r="J19" s="45"/>
      <c r="K19" s="18"/>
      <c r="M19" s="38">
        <f>429+44</f>
        <v>473</v>
      </c>
      <c r="N19" s="38">
        <f>227+74</f>
        <v>301</v>
      </c>
      <c r="O19" s="38">
        <f>124+96</f>
        <v>220</v>
      </c>
      <c r="P19" s="36">
        <f t="shared" si="0"/>
        <v>28947.600000000002</v>
      </c>
      <c r="Q19" s="36">
        <f t="shared" si="0"/>
        <v>13846</v>
      </c>
      <c r="R19" s="36">
        <f t="shared" si="0"/>
        <v>8470</v>
      </c>
      <c r="S19" s="36">
        <f t="shared" si="1"/>
        <v>994</v>
      </c>
      <c r="T19" s="36">
        <f t="shared" si="2"/>
        <v>51263.600000000006</v>
      </c>
      <c r="U19" s="37">
        <f t="shared" si="4"/>
        <v>51.573038229376266</v>
      </c>
    </row>
    <row r="20" spans="1:21" ht="13.5" customHeight="1" x14ac:dyDescent="0.3">
      <c r="A20" s="19"/>
      <c r="C20" s="31">
        <v>13</v>
      </c>
      <c r="D20" s="1" t="s">
        <v>24</v>
      </c>
      <c r="E20" s="20">
        <v>60.5</v>
      </c>
      <c r="F20" s="20">
        <v>44.9</v>
      </c>
      <c r="G20" s="20">
        <v>36.6</v>
      </c>
      <c r="I20" s="20">
        <f t="shared" si="3"/>
        <v>49.748548812664907</v>
      </c>
      <c r="J20" s="45"/>
      <c r="K20" s="18"/>
      <c r="M20" s="38">
        <f>478+35</f>
        <v>513</v>
      </c>
      <c r="N20" s="38">
        <f>251+73</f>
        <v>324</v>
      </c>
      <c r="O20" s="38">
        <f>191+109</f>
        <v>300</v>
      </c>
      <c r="P20" s="36">
        <f t="shared" si="0"/>
        <v>31036.5</v>
      </c>
      <c r="Q20" s="36">
        <f t="shared" si="0"/>
        <v>14547.6</v>
      </c>
      <c r="R20" s="36">
        <f t="shared" si="0"/>
        <v>10980</v>
      </c>
      <c r="S20" s="36">
        <f t="shared" si="1"/>
        <v>1137</v>
      </c>
      <c r="T20" s="36">
        <f t="shared" si="2"/>
        <v>56564.1</v>
      </c>
      <c r="U20" s="37">
        <f t="shared" si="4"/>
        <v>49.748548812664907</v>
      </c>
    </row>
    <row r="21" spans="1:21" ht="13.5" customHeight="1" x14ac:dyDescent="0.3">
      <c r="A21" s="19"/>
      <c r="C21" s="31">
        <v>14</v>
      </c>
      <c r="D21" s="1" t="s">
        <v>25</v>
      </c>
      <c r="E21" s="20">
        <v>51.5</v>
      </c>
      <c r="F21" s="20">
        <v>39.5</v>
      </c>
      <c r="G21" s="20">
        <v>33.1</v>
      </c>
      <c r="I21" s="20">
        <f t="shared" si="3"/>
        <v>44.275187165775407</v>
      </c>
      <c r="J21" s="45"/>
      <c r="K21" s="18"/>
      <c r="M21" s="38">
        <f>435+40</f>
        <v>475</v>
      </c>
      <c r="N21" s="38">
        <f>206+61</f>
        <v>267</v>
      </c>
      <c r="O21" s="38">
        <f>128+65</f>
        <v>193</v>
      </c>
      <c r="P21" s="36">
        <f t="shared" si="0"/>
        <v>24462.5</v>
      </c>
      <c r="Q21" s="36">
        <f t="shared" si="0"/>
        <v>10546.5</v>
      </c>
      <c r="R21" s="36">
        <f t="shared" si="0"/>
        <v>6388.3</v>
      </c>
      <c r="S21" s="36">
        <f t="shared" si="1"/>
        <v>935</v>
      </c>
      <c r="T21" s="36">
        <f t="shared" si="2"/>
        <v>41397.300000000003</v>
      </c>
      <c r="U21" s="37">
        <f t="shared" si="4"/>
        <v>44.275187165775407</v>
      </c>
    </row>
    <row r="22" spans="1:21" ht="13.5" customHeight="1" x14ac:dyDescent="0.3">
      <c r="A22" s="19"/>
      <c r="C22" s="31">
        <v>15</v>
      </c>
      <c r="D22" s="1" t="s">
        <v>26</v>
      </c>
      <c r="E22" s="20">
        <v>65.099999999999994</v>
      </c>
      <c r="F22" s="20">
        <v>46.1</v>
      </c>
      <c r="G22" s="20">
        <v>38.200000000000003</v>
      </c>
      <c r="I22" s="20">
        <f t="shared" si="3"/>
        <v>52.616709075487698</v>
      </c>
      <c r="J22" s="45"/>
      <c r="K22" s="18"/>
      <c r="M22" s="38">
        <f>447+58</f>
        <v>505</v>
      </c>
      <c r="N22" s="38">
        <f>335+97</f>
        <v>432</v>
      </c>
      <c r="O22" s="38">
        <f>165+77</f>
        <v>242</v>
      </c>
      <c r="P22" s="36">
        <f t="shared" si="0"/>
        <v>32875.5</v>
      </c>
      <c r="Q22" s="36">
        <f t="shared" si="0"/>
        <v>19915.2</v>
      </c>
      <c r="R22" s="36">
        <f t="shared" si="0"/>
        <v>9244.4000000000015</v>
      </c>
      <c r="S22" s="36">
        <f t="shared" si="1"/>
        <v>1179</v>
      </c>
      <c r="T22" s="36">
        <f t="shared" si="2"/>
        <v>62035.1</v>
      </c>
      <c r="U22" s="37">
        <f t="shared" si="4"/>
        <v>52.616709075487698</v>
      </c>
    </row>
    <row r="23" spans="1:21" ht="13.5" customHeight="1" x14ac:dyDescent="0.3">
      <c r="A23" s="19"/>
      <c r="C23" s="31">
        <v>16</v>
      </c>
      <c r="D23" s="1" t="s">
        <v>27</v>
      </c>
      <c r="E23" s="20">
        <v>67.3</v>
      </c>
      <c r="F23" s="20">
        <v>50</v>
      </c>
      <c r="G23" s="20">
        <v>41.8</v>
      </c>
      <c r="I23" s="20">
        <f t="shared" si="3"/>
        <v>56.465634486945959</v>
      </c>
      <c r="J23" s="45"/>
      <c r="K23" s="18"/>
      <c r="M23" s="38">
        <f>767+68</f>
        <v>835</v>
      </c>
      <c r="N23" s="38">
        <f>258+91</f>
        <v>349</v>
      </c>
      <c r="O23" s="38">
        <f>308+155</f>
        <v>463</v>
      </c>
      <c r="P23" s="36">
        <f t="shared" si="0"/>
        <v>56195.5</v>
      </c>
      <c r="Q23" s="36">
        <f t="shared" si="0"/>
        <v>17450</v>
      </c>
      <c r="R23" s="36">
        <f t="shared" si="0"/>
        <v>19353.399999999998</v>
      </c>
      <c r="S23" s="36">
        <f t="shared" si="1"/>
        <v>1647</v>
      </c>
      <c r="T23" s="36">
        <f t="shared" si="2"/>
        <v>92998.9</v>
      </c>
      <c r="U23" s="37">
        <f t="shared" si="4"/>
        <v>56.465634486945959</v>
      </c>
    </row>
    <row r="24" spans="1:21" ht="13.5" customHeight="1" x14ac:dyDescent="0.3">
      <c r="A24" s="19"/>
      <c r="C24" s="31">
        <v>17</v>
      </c>
      <c r="D24" s="1" t="s">
        <v>28</v>
      </c>
      <c r="E24" s="20">
        <v>57.1</v>
      </c>
      <c r="F24" s="20">
        <v>43.5</v>
      </c>
      <c r="G24" s="20">
        <v>34.9</v>
      </c>
      <c r="I24" s="20">
        <f t="shared" si="3"/>
        <v>48.795810955961336</v>
      </c>
      <c r="J24" s="45"/>
      <c r="K24" s="18"/>
      <c r="M24" s="38">
        <f>872+106</f>
        <v>978</v>
      </c>
      <c r="N24" s="38">
        <f>353+131</f>
        <v>484</v>
      </c>
      <c r="O24" s="38">
        <f>247+153</f>
        <v>400</v>
      </c>
      <c r="P24" s="36">
        <f t="shared" si="0"/>
        <v>55843.8</v>
      </c>
      <c r="Q24" s="36">
        <f t="shared" si="0"/>
        <v>21054</v>
      </c>
      <c r="R24" s="36">
        <f t="shared" si="0"/>
        <v>13960</v>
      </c>
      <c r="S24" s="36">
        <f t="shared" si="1"/>
        <v>1862</v>
      </c>
      <c r="T24" s="36">
        <f t="shared" si="2"/>
        <v>90857.8</v>
      </c>
      <c r="U24" s="37">
        <f t="shared" si="4"/>
        <v>48.795810955961336</v>
      </c>
    </row>
    <row r="25" spans="1:21" ht="13.5" customHeight="1" x14ac:dyDescent="0.3">
      <c r="A25" s="19"/>
      <c r="C25" s="31">
        <v>18</v>
      </c>
      <c r="D25" s="1" t="s">
        <v>29</v>
      </c>
      <c r="E25" s="20">
        <v>58.5</v>
      </c>
      <c r="F25" s="20">
        <v>42.6</v>
      </c>
      <c r="G25" s="20">
        <v>37</v>
      </c>
      <c r="I25" s="20">
        <f t="shared" si="3"/>
        <v>49.411014686248329</v>
      </c>
      <c r="J25" s="45"/>
      <c r="K25" s="18"/>
      <c r="M25" s="38">
        <f>661+86</f>
        <v>747</v>
      </c>
      <c r="N25" s="38">
        <f>326+126</f>
        <v>452</v>
      </c>
      <c r="O25" s="38">
        <f>188+111</f>
        <v>299</v>
      </c>
      <c r="P25" s="36">
        <f t="shared" si="0"/>
        <v>43699.5</v>
      </c>
      <c r="Q25" s="36">
        <f t="shared" si="0"/>
        <v>19255.2</v>
      </c>
      <c r="R25" s="36">
        <f t="shared" si="0"/>
        <v>11063</v>
      </c>
      <c r="S25" s="36">
        <f t="shared" si="1"/>
        <v>1498</v>
      </c>
      <c r="T25" s="36">
        <f t="shared" si="2"/>
        <v>74017.7</v>
      </c>
      <c r="U25" s="37">
        <f t="shared" si="4"/>
        <v>49.411014686248329</v>
      </c>
    </row>
    <row r="26" spans="1:21" ht="13.5" customHeight="1" x14ac:dyDescent="0.3">
      <c r="A26" s="19"/>
      <c r="C26" s="31">
        <v>19</v>
      </c>
      <c r="D26" s="24" t="s">
        <v>30</v>
      </c>
      <c r="E26" s="25">
        <v>50.1</v>
      </c>
      <c r="F26" s="25">
        <v>38</v>
      </c>
      <c r="G26" s="25">
        <v>34.4</v>
      </c>
      <c r="H26" s="24"/>
      <c r="I26" s="25">
        <f t="shared" si="3"/>
        <v>42.147317073170733</v>
      </c>
      <c r="J26" s="47"/>
      <c r="K26" s="18"/>
      <c r="M26" s="38">
        <f>330+18</f>
        <v>348</v>
      </c>
      <c r="N26" s="38">
        <f>196+51</f>
        <v>247</v>
      </c>
      <c r="O26" s="38">
        <f>138+87</f>
        <v>225</v>
      </c>
      <c r="P26" s="36">
        <f t="shared" si="0"/>
        <v>17434.8</v>
      </c>
      <c r="Q26" s="36">
        <f t="shared" si="0"/>
        <v>9386</v>
      </c>
      <c r="R26" s="36">
        <f t="shared" si="0"/>
        <v>7740</v>
      </c>
      <c r="S26" s="36">
        <f t="shared" si="1"/>
        <v>820</v>
      </c>
      <c r="T26" s="36">
        <f t="shared" si="2"/>
        <v>34560.800000000003</v>
      </c>
      <c r="U26" s="37">
        <f t="shared" si="4"/>
        <v>42.147317073170733</v>
      </c>
    </row>
    <row r="27" spans="1:21" ht="13.5" customHeight="1" x14ac:dyDescent="0.3">
      <c r="A27" s="19"/>
      <c r="C27" s="31">
        <v>20</v>
      </c>
      <c r="D27" s="1" t="s">
        <v>64</v>
      </c>
      <c r="E27" s="20">
        <v>51.7</v>
      </c>
      <c r="F27" s="20">
        <v>38.9</v>
      </c>
      <c r="G27" s="20">
        <v>34.5</v>
      </c>
      <c r="I27" s="20">
        <f>U27</f>
        <v>43.173198847262249</v>
      </c>
      <c r="J27" s="45"/>
      <c r="K27" s="18"/>
      <c r="M27" s="38">
        <f>420+31</f>
        <v>451</v>
      </c>
      <c r="N27" s="38">
        <f>246+43</f>
        <v>289</v>
      </c>
      <c r="O27" s="38">
        <f>210+91</f>
        <v>301</v>
      </c>
      <c r="P27" s="36">
        <f t="shared" si="0"/>
        <v>23316.7</v>
      </c>
      <c r="Q27" s="36">
        <f t="shared" si="0"/>
        <v>11242.1</v>
      </c>
      <c r="R27" s="36">
        <f t="shared" si="0"/>
        <v>10384.5</v>
      </c>
      <c r="S27" s="36">
        <f t="shared" si="1"/>
        <v>1041</v>
      </c>
      <c r="T27" s="36">
        <f t="shared" si="2"/>
        <v>44943.3</v>
      </c>
      <c r="U27" s="37">
        <f>T27/S27</f>
        <v>43.173198847262249</v>
      </c>
    </row>
    <row r="28" spans="1:21" ht="13.5" customHeight="1" x14ac:dyDescent="0.3">
      <c r="A28" s="19"/>
      <c r="C28" s="31">
        <v>21</v>
      </c>
      <c r="D28" s="1" t="s">
        <v>45</v>
      </c>
      <c r="E28" s="20">
        <v>62.7</v>
      </c>
      <c r="F28" s="20">
        <v>44.7</v>
      </c>
      <c r="G28" s="20">
        <v>36.6</v>
      </c>
      <c r="I28" s="20">
        <f t="shared" si="3"/>
        <v>51.954051477597716</v>
      </c>
      <c r="J28" s="45"/>
      <c r="K28" s="18"/>
      <c r="M28" s="38">
        <f>473+51</f>
        <v>524</v>
      </c>
      <c r="N28" s="38">
        <f>208+92</f>
        <v>300</v>
      </c>
      <c r="O28" s="38">
        <f>131+94</f>
        <v>225</v>
      </c>
      <c r="P28" s="36">
        <f t="shared" si="0"/>
        <v>32854.800000000003</v>
      </c>
      <c r="Q28" s="36">
        <f t="shared" si="0"/>
        <v>13410</v>
      </c>
      <c r="R28" s="36">
        <f t="shared" si="0"/>
        <v>8235</v>
      </c>
      <c r="S28" s="36">
        <f t="shared" si="1"/>
        <v>1049</v>
      </c>
      <c r="T28" s="36">
        <f t="shared" si="2"/>
        <v>54499.8</v>
      </c>
      <c r="U28" s="37">
        <f t="shared" si="4"/>
        <v>51.954051477597716</v>
      </c>
    </row>
    <row r="29" spans="1:21" ht="13.5" customHeight="1" x14ac:dyDescent="0.3">
      <c r="A29" s="19"/>
      <c r="C29" s="31">
        <v>22</v>
      </c>
      <c r="D29" s="1" t="s">
        <v>31</v>
      </c>
      <c r="E29" s="20">
        <v>62.5</v>
      </c>
      <c r="F29" s="20">
        <v>45.4</v>
      </c>
      <c r="G29" s="20">
        <v>37.6</v>
      </c>
      <c r="I29" s="20">
        <f t="shared" si="3"/>
        <v>49.881746031746033</v>
      </c>
      <c r="J29" s="45"/>
      <c r="K29" s="18"/>
      <c r="M29" s="38">
        <f>674+59</f>
        <v>733</v>
      </c>
      <c r="N29" s="38">
        <f>497+139</f>
        <v>636</v>
      </c>
      <c r="O29" s="38">
        <f>331+190</f>
        <v>521</v>
      </c>
      <c r="P29" s="36">
        <f t="shared" si="0"/>
        <v>45812.5</v>
      </c>
      <c r="Q29" s="36">
        <f t="shared" si="0"/>
        <v>28874.399999999998</v>
      </c>
      <c r="R29" s="36">
        <f t="shared" si="0"/>
        <v>19589.600000000002</v>
      </c>
      <c r="S29" s="36">
        <f t="shared" si="1"/>
        <v>1890</v>
      </c>
      <c r="T29" s="36">
        <f t="shared" si="2"/>
        <v>94276.5</v>
      </c>
      <c r="U29" s="37">
        <f t="shared" si="4"/>
        <v>49.881746031746033</v>
      </c>
    </row>
    <row r="30" spans="1:21" ht="13.5" customHeight="1" x14ac:dyDescent="0.3">
      <c r="A30" s="19"/>
      <c r="C30" s="31">
        <v>23</v>
      </c>
      <c r="D30" s="1" t="s">
        <v>32</v>
      </c>
      <c r="E30" s="20">
        <v>46.7</v>
      </c>
      <c r="F30" s="20">
        <v>35.4</v>
      </c>
      <c r="G30" s="20">
        <v>29.2</v>
      </c>
      <c r="I30" s="20">
        <f t="shared" si="3"/>
        <v>38.038758389261751</v>
      </c>
      <c r="J30" s="45"/>
      <c r="K30" s="18"/>
      <c r="M30" s="38">
        <f>210+23</f>
        <v>233</v>
      </c>
      <c r="N30" s="38">
        <f>141+51</f>
        <v>192</v>
      </c>
      <c r="O30" s="38">
        <f>94+77</f>
        <v>171</v>
      </c>
      <c r="P30" s="36">
        <f t="shared" si="0"/>
        <v>10881.1</v>
      </c>
      <c r="Q30" s="36">
        <f t="shared" si="0"/>
        <v>6796.7999999999993</v>
      </c>
      <c r="R30" s="36">
        <f t="shared" si="0"/>
        <v>4993.2</v>
      </c>
      <c r="S30" s="36">
        <f t="shared" si="1"/>
        <v>596</v>
      </c>
      <c r="T30" s="36">
        <f t="shared" si="2"/>
        <v>22671.100000000002</v>
      </c>
      <c r="U30" s="37">
        <f t="shared" si="4"/>
        <v>38.038758389261751</v>
      </c>
    </row>
    <row r="31" spans="1:21" ht="13.5" customHeight="1" x14ac:dyDescent="0.3">
      <c r="A31" s="19"/>
      <c r="C31" s="31">
        <v>24</v>
      </c>
      <c r="D31" s="1" t="s">
        <v>33</v>
      </c>
      <c r="E31" s="20">
        <v>62</v>
      </c>
      <c r="F31" s="20">
        <v>44.3</v>
      </c>
      <c r="G31" s="20">
        <v>36.799999999999997</v>
      </c>
      <c r="I31" s="20">
        <f t="shared" si="3"/>
        <v>49.367550593161198</v>
      </c>
      <c r="J31" s="45"/>
      <c r="K31" s="18"/>
      <c r="M31" s="38">
        <f>553+31</f>
        <v>584</v>
      </c>
      <c r="N31" s="38">
        <f>372+67</f>
        <v>439</v>
      </c>
      <c r="O31" s="38">
        <f>292+118</f>
        <v>410</v>
      </c>
      <c r="P31" s="36">
        <f t="shared" si="0"/>
        <v>36208</v>
      </c>
      <c r="Q31" s="36">
        <f t="shared" si="0"/>
        <v>19447.699999999997</v>
      </c>
      <c r="R31" s="36">
        <f t="shared" si="0"/>
        <v>15087.999999999998</v>
      </c>
      <c r="S31" s="36">
        <f t="shared" si="1"/>
        <v>1433</v>
      </c>
      <c r="T31" s="36">
        <f t="shared" si="2"/>
        <v>70743.7</v>
      </c>
      <c r="U31" s="37">
        <f t="shared" si="4"/>
        <v>49.367550593161198</v>
      </c>
    </row>
    <row r="32" spans="1:21" ht="13.5" customHeight="1" x14ac:dyDescent="0.3">
      <c r="A32" s="19"/>
      <c r="C32" s="31">
        <v>25</v>
      </c>
      <c r="D32" s="1" t="s">
        <v>34</v>
      </c>
      <c r="E32" s="20">
        <v>61.2</v>
      </c>
      <c r="F32" s="20">
        <v>43.9</v>
      </c>
      <c r="G32" s="20">
        <v>36.1</v>
      </c>
      <c r="I32" s="20">
        <f t="shared" si="3"/>
        <v>48.010636515912893</v>
      </c>
      <c r="J32" s="45"/>
      <c r="K32" s="18"/>
      <c r="M32" s="38">
        <f>389+48</f>
        <v>437</v>
      </c>
      <c r="N32" s="38">
        <f>312+105</f>
        <v>417</v>
      </c>
      <c r="O32" s="38">
        <f>197+143</f>
        <v>340</v>
      </c>
      <c r="P32" s="36">
        <f t="shared" si="0"/>
        <v>26744.400000000001</v>
      </c>
      <c r="Q32" s="36">
        <f t="shared" si="0"/>
        <v>18306.3</v>
      </c>
      <c r="R32" s="36">
        <f t="shared" si="0"/>
        <v>12274</v>
      </c>
      <c r="S32" s="36">
        <f t="shared" si="1"/>
        <v>1194</v>
      </c>
      <c r="T32" s="36">
        <f t="shared" si="2"/>
        <v>57324.7</v>
      </c>
      <c r="U32" s="37">
        <f t="shared" si="4"/>
        <v>48.010636515912893</v>
      </c>
    </row>
    <row r="33" spans="1:21" ht="13.5" customHeight="1" x14ac:dyDescent="0.3">
      <c r="A33" s="19"/>
      <c r="C33" s="31">
        <v>26</v>
      </c>
      <c r="D33" s="1" t="s">
        <v>35</v>
      </c>
      <c r="E33" s="20">
        <v>62.4</v>
      </c>
      <c r="F33" s="20">
        <v>43.6</v>
      </c>
      <c r="G33" s="20">
        <v>36.200000000000003</v>
      </c>
      <c r="I33" s="20">
        <f t="shared" si="3"/>
        <v>49.082905982905991</v>
      </c>
      <c r="J33" s="45"/>
      <c r="K33" s="18"/>
      <c r="M33" s="38">
        <f>548+26</f>
        <v>574</v>
      </c>
      <c r="N33" s="38">
        <f>345+67</f>
        <v>412</v>
      </c>
      <c r="O33" s="38">
        <f>287+131</f>
        <v>418</v>
      </c>
      <c r="P33" s="36">
        <f t="shared" si="0"/>
        <v>35817.599999999999</v>
      </c>
      <c r="Q33" s="36">
        <f t="shared" si="0"/>
        <v>17963.2</v>
      </c>
      <c r="R33" s="36">
        <f t="shared" si="0"/>
        <v>15131.6</v>
      </c>
      <c r="S33" s="36">
        <f t="shared" si="1"/>
        <v>1404</v>
      </c>
      <c r="T33" s="36">
        <f t="shared" si="2"/>
        <v>68912.400000000009</v>
      </c>
      <c r="U33" s="37">
        <f t="shared" si="4"/>
        <v>49.082905982905991</v>
      </c>
    </row>
    <row r="34" spans="1:21" ht="13.5" customHeight="1" x14ac:dyDescent="0.3">
      <c r="A34" s="19"/>
      <c r="C34" s="31">
        <v>27</v>
      </c>
      <c r="D34" s="1" t="s">
        <v>36</v>
      </c>
      <c r="E34" s="20">
        <v>68.099999999999994</v>
      </c>
      <c r="F34" s="20">
        <v>48.5</v>
      </c>
      <c r="G34" s="20">
        <v>38.200000000000003</v>
      </c>
      <c r="I34" s="20">
        <f t="shared" si="3"/>
        <v>54.050684931506844</v>
      </c>
      <c r="J34" s="45"/>
      <c r="K34" s="18"/>
      <c r="M34" s="38">
        <f>447+60</f>
        <v>507</v>
      </c>
      <c r="N34" s="38">
        <f>317+121</f>
        <v>438</v>
      </c>
      <c r="O34" s="38">
        <f>195+101</f>
        <v>296</v>
      </c>
      <c r="P34" s="36">
        <f t="shared" si="0"/>
        <v>34526.699999999997</v>
      </c>
      <c r="Q34" s="36">
        <f t="shared" si="0"/>
        <v>21243</v>
      </c>
      <c r="R34" s="36">
        <f t="shared" si="0"/>
        <v>11307.2</v>
      </c>
      <c r="S34" s="36">
        <f t="shared" si="1"/>
        <v>1241</v>
      </c>
      <c r="T34" s="36">
        <f t="shared" si="2"/>
        <v>67076.899999999994</v>
      </c>
      <c r="U34" s="37">
        <f t="shared" si="4"/>
        <v>54.050684931506844</v>
      </c>
    </row>
    <row r="35" spans="1:21" ht="13.5" customHeight="1" x14ac:dyDescent="0.3">
      <c r="A35" s="19"/>
      <c r="C35" s="31">
        <v>28</v>
      </c>
      <c r="D35" s="1" t="s">
        <v>46</v>
      </c>
      <c r="E35" s="20">
        <v>69.2</v>
      </c>
      <c r="F35" s="20">
        <v>50.3</v>
      </c>
      <c r="G35" s="20">
        <v>37.6</v>
      </c>
      <c r="I35" s="20">
        <f t="shared" si="3"/>
        <v>54.679923150816528</v>
      </c>
      <c r="J35" s="45"/>
      <c r="K35" s="18"/>
      <c r="M35" s="38">
        <f>388+34</f>
        <v>422</v>
      </c>
      <c r="N35" s="38">
        <f>277+73</f>
        <v>350</v>
      </c>
      <c r="O35" s="38">
        <f>178+91</f>
        <v>269</v>
      </c>
      <c r="P35" s="36">
        <f t="shared" si="0"/>
        <v>29202.400000000001</v>
      </c>
      <c r="Q35" s="36">
        <f t="shared" si="0"/>
        <v>17605</v>
      </c>
      <c r="R35" s="36">
        <f t="shared" si="0"/>
        <v>10114.4</v>
      </c>
      <c r="S35" s="36">
        <f t="shared" si="1"/>
        <v>1041</v>
      </c>
      <c r="T35" s="36">
        <f t="shared" si="2"/>
        <v>56921.8</v>
      </c>
      <c r="U35" s="37">
        <f t="shared" si="4"/>
        <v>54.679923150816528</v>
      </c>
    </row>
    <row r="36" spans="1:21" ht="13.5" customHeight="1" x14ac:dyDescent="0.3">
      <c r="A36" s="19"/>
      <c r="C36" s="31">
        <v>30</v>
      </c>
      <c r="D36" s="1" t="s">
        <v>48</v>
      </c>
      <c r="E36" s="20">
        <v>65.2</v>
      </c>
      <c r="F36" s="20">
        <v>43.1</v>
      </c>
      <c r="G36" s="20">
        <v>37.4</v>
      </c>
      <c r="I36" s="20">
        <f t="shared" si="3"/>
        <v>52.567480998914228</v>
      </c>
      <c r="J36" s="45"/>
      <c r="K36" s="18"/>
      <c r="M36" s="38">
        <f>825+83</f>
        <v>908</v>
      </c>
      <c r="N36" s="38">
        <f>353+120</f>
        <v>473</v>
      </c>
      <c r="O36" s="38">
        <f>276+185</f>
        <v>461</v>
      </c>
      <c r="P36" s="36">
        <f t="shared" si="0"/>
        <v>59201.600000000006</v>
      </c>
      <c r="Q36" s="36">
        <f t="shared" si="0"/>
        <v>20386.3</v>
      </c>
      <c r="R36" s="36">
        <f t="shared" si="0"/>
        <v>17241.399999999998</v>
      </c>
      <c r="S36" s="36">
        <f t="shared" si="1"/>
        <v>1842</v>
      </c>
      <c r="T36" s="36">
        <f t="shared" si="2"/>
        <v>96829.3</v>
      </c>
      <c r="U36" s="37">
        <f t="shared" si="4"/>
        <v>52.567480998914228</v>
      </c>
    </row>
    <row r="37" spans="1:21" ht="13.5" customHeight="1" x14ac:dyDescent="0.3">
      <c r="A37" s="19"/>
      <c r="C37" s="31">
        <v>32</v>
      </c>
      <c r="D37" s="1" t="s">
        <v>38</v>
      </c>
      <c r="E37" s="20">
        <v>70.099999999999994</v>
      </c>
      <c r="F37" s="20">
        <v>47.1</v>
      </c>
      <c r="G37" s="20">
        <v>38</v>
      </c>
      <c r="I37" s="20">
        <f t="shared" si="3"/>
        <v>55.667029379760606</v>
      </c>
      <c r="J37" s="45"/>
      <c r="K37" s="18"/>
      <c r="M37" s="38">
        <f>399+26</f>
        <v>425</v>
      </c>
      <c r="N37" s="38">
        <f>240+45</f>
        <v>285</v>
      </c>
      <c r="O37" s="38">
        <f>133+76</f>
        <v>209</v>
      </c>
      <c r="P37" s="36">
        <f t="shared" si="0"/>
        <v>29792.499999999996</v>
      </c>
      <c r="Q37" s="36">
        <f t="shared" si="0"/>
        <v>13423.5</v>
      </c>
      <c r="R37" s="36">
        <f t="shared" si="0"/>
        <v>7942</v>
      </c>
      <c r="S37" s="36">
        <f t="shared" si="1"/>
        <v>919</v>
      </c>
      <c r="T37" s="36">
        <f t="shared" si="2"/>
        <v>51158</v>
      </c>
      <c r="U37" s="37">
        <f t="shared" si="4"/>
        <v>55.667029379760606</v>
      </c>
    </row>
    <row r="38" spans="1:21" ht="13.5" customHeight="1" x14ac:dyDescent="0.3">
      <c r="A38" s="19"/>
      <c r="C38" s="31">
        <v>33</v>
      </c>
      <c r="D38" s="1" t="s">
        <v>39</v>
      </c>
      <c r="E38" s="20">
        <v>56.8</v>
      </c>
      <c r="F38" s="20">
        <v>40.4</v>
      </c>
      <c r="G38" s="20">
        <v>35.9</v>
      </c>
      <c r="I38" s="20">
        <f t="shared" si="3"/>
        <v>47.970047449584818</v>
      </c>
      <c r="J38" s="45"/>
      <c r="K38" s="18"/>
      <c r="M38" s="38">
        <f>777+97</f>
        <v>874</v>
      </c>
      <c r="N38" s="38">
        <f>360+103</f>
        <v>463</v>
      </c>
      <c r="O38" s="38">
        <f>219+130</f>
        <v>349</v>
      </c>
      <c r="P38" s="36">
        <f t="shared" si="0"/>
        <v>49643.199999999997</v>
      </c>
      <c r="Q38" s="36">
        <f t="shared" si="0"/>
        <v>18705.2</v>
      </c>
      <c r="R38" s="36">
        <f t="shared" si="0"/>
        <v>12529.1</v>
      </c>
      <c r="S38" s="36">
        <f t="shared" si="1"/>
        <v>1686</v>
      </c>
      <c r="T38" s="36">
        <f t="shared" si="2"/>
        <v>80877.5</v>
      </c>
      <c r="U38" s="37">
        <f t="shared" si="4"/>
        <v>47.970047449584818</v>
      </c>
    </row>
    <row r="39" spans="1:21" ht="13.5" customHeight="1" x14ac:dyDescent="0.3">
      <c r="A39" s="19"/>
      <c r="C39" s="31">
        <v>34</v>
      </c>
      <c r="D39" s="1" t="s">
        <v>40</v>
      </c>
      <c r="E39" s="20">
        <v>56.9</v>
      </c>
      <c r="F39" s="20">
        <v>42.1</v>
      </c>
      <c r="G39" s="20">
        <v>36.4</v>
      </c>
      <c r="I39" s="20">
        <f t="shared" si="3"/>
        <v>49.18250319284801</v>
      </c>
      <c r="J39" s="45"/>
      <c r="K39" s="18"/>
      <c r="M39" s="38">
        <f>808+97</f>
        <v>905</v>
      </c>
      <c r="N39" s="38">
        <f>191+66</f>
        <v>257</v>
      </c>
      <c r="O39" s="38">
        <f>255+149</f>
        <v>404</v>
      </c>
      <c r="P39" s="36">
        <f t="shared" si="0"/>
        <v>51494.5</v>
      </c>
      <c r="Q39" s="36">
        <f t="shared" si="0"/>
        <v>10819.7</v>
      </c>
      <c r="R39" s="36">
        <f t="shared" si="0"/>
        <v>14705.599999999999</v>
      </c>
      <c r="S39" s="36">
        <f t="shared" si="1"/>
        <v>1566</v>
      </c>
      <c r="T39" s="36">
        <f t="shared" si="2"/>
        <v>77019.799999999988</v>
      </c>
      <c r="U39" s="37">
        <f t="shared" si="4"/>
        <v>49.18250319284801</v>
      </c>
    </row>
    <row r="40" spans="1:21" ht="13.5" customHeight="1" x14ac:dyDescent="0.3">
      <c r="A40" s="19"/>
      <c r="K40" s="18"/>
    </row>
    <row r="41" spans="1:21" ht="13.5" customHeight="1" x14ac:dyDescent="0.3">
      <c r="A41" s="19"/>
      <c r="D41" s="44" t="s">
        <v>54</v>
      </c>
      <c r="E41" s="41">
        <f>P41/M41</f>
        <v>61.709857002510645</v>
      </c>
      <c r="F41" s="41">
        <f t="shared" ref="F41" si="5">Q41/N41</f>
        <v>44.274831649831654</v>
      </c>
      <c r="G41" s="41">
        <f>R41/O41</f>
        <v>37.444512721000429</v>
      </c>
      <c r="H41" s="40"/>
      <c r="I41" s="41">
        <f t="shared" si="3"/>
        <v>50.962909375816139</v>
      </c>
      <c r="J41" s="46"/>
      <c r="K41" s="18"/>
      <c r="M41" s="39">
        <f t="shared" ref="M41:R41" si="6">SUM(M11:M39)</f>
        <v>18322</v>
      </c>
      <c r="N41" s="39">
        <f t="shared" si="6"/>
        <v>10692</v>
      </c>
      <c r="O41" s="39">
        <f t="shared" si="6"/>
        <v>9276</v>
      </c>
      <c r="P41" s="39">
        <f t="shared" si="6"/>
        <v>1130648</v>
      </c>
      <c r="Q41" s="39">
        <f t="shared" si="6"/>
        <v>473386.50000000006</v>
      </c>
      <c r="R41" s="39">
        <f t="shared" si="6"/>
        <v>347335.3</v>
      </c>
      <c r="S41" s="36">
        <f>M41+N41+O41</f>
        <v>38290</v>
      </c>
      <c r="T41" s="36">
        <f>P41+Q41+R41</f>
        <v>1951369.8</v>
      </c>
      <c r="U41" s="37">
        <f>T41/S41</f>
        <v>50.962909375816139</v>
      </c>
    </row>
    <row r="42" spans="1:21" ht="13.5" customHeight="1" x14ac:dyDescent="0.3">
      <c r="A42" s="19"/>
      <c r="D42" s="44" t="s">
        <v>55</v>
      </c>
      <c r="E42" s="41">
        <f>MEDIAN(E11:E39)</f>
        <v>61.4</v>
      </c>
      <c r="F42" s="41">
        <f t="shared" ref="F42" si="7">MEDIAN(F11:F39)</f>
        <v>44.3</v>
      </c>
      <c r="G42" s="41">
        <f>MEDIAN(G11:G39)</f>
        <v>37</v>
      </c>
      <c r="H42" s="40"/>
      <c r="I42" s="41">
        <f>MEDIAN(I11:I39)</f>
        <v>49.748548812664907</v>
      </c>
      <c r="J42" s="46"/>
      <c r="K42" s="18"/>
    </row>
    <row r="43" spans="1:21" ht="13.5" customHeight="1" x14ac:dyDescent="0.3">
      <c r="A43" s="19"/>
      <c r="B43" s="22"/>
      <c r="C43" s="33"/>
      <c r="D43" s="22"/>
      <c r="E43" s="22"/>
      <c r="F43" s="22"/>
      <c r="G43" s="22"/>
      <c r="H43" s="22"/>
      <c r="I43" s="22"/>
      <c r="J43" s="22"/>
      <c r="K43" s="18"/>
    </row>
    <row r="44" spans="1:21" ht="13.5" customHeight="1" x14ac:dyDescent="0.3">
      <c r="A44" s="19"/>
      <c r="K44" s="18"/>
    </row>
    <row r="45" spans="1:21" ht="13.5" customHeight="1" x14ac:dyDescent="0.3">
      <c r="A45" s="19"/>
      <c r="B45" s="16" t="s">
        <v>58</v>
      </c>
      <c r="K45" s="18"/>
    </row>
    <row r="46" spans="1:21" ht="13.5" customHeight="1" x14ac:dyDescent="0.3">
      <c r="A46" s="19"/>
      <c r="K46" s="18"/>
    </row>
    <row r="47" spans="1:21" ht="13.5" customHeight="1" x14ac:dyDescent="0.3">
      <c r="A47" s="21"/>
      <c r="B47" s="42" t="s">
        <v>56</v>
      </c>
      <c r="C47" s="33"/>
      <c r="D47" s="22"/>
      <c r="E47" s="22"/>
      <c r="F47" s="22"/>
      <c r="G47" s="22"/>
      <c r="H47" s="22"/>
      <c r="I47" s="22"/>
      <c r="J47" s="43"/>
      <c r="K47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A05C8-AD1E-4343-B701-4A037D1194E2}">
  <dimension ref="A1:U57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121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151.30000000000001</v>
      </c>
      <c r="F11" s="20">
        <v>106.1</v>
      </c>
      <c r="G11" s="20">
        <v>86.8</v>
      </c>
      <c r="I11" s="20">
        <f>U11</f>
        <v>119.08563535911603</v>
      </c>
      <c r="J11" s="45">
        <f>(I11/'AAU 21-22'!I11)-1</f>
        <v>5.2928662524749592E-2</v>
      </c>
      <c r="K11" s="18"/>
      <c r="M11" s="38">
        <f>452+209</f>
        <v>661</v>
      </c>
      <c r="N11" s="38">
        <f>289+227</f>
        <v>516</v>
      </c>
      <c r="O11" s="38">
        <f>212+240</f>
        <v>452</v>
      </c>
      <c r="P11" s="36">
        <f t="shared" ref="P11:R49" si="0">E11*M11</f>
        <v>100009.3</v>
      </c>
      <c r="Q11" s="36">
        <f t="shared" si="0"/>
        <v>54747.6</v>
      </c>
      <c r="R11" s="36">
        <f t="shared" si="0"/>
        <v>39233.599999999999</v>
      </c>
      <c r="S11" s="36">
        <f t="shared" ref="S11:S49" si="1">M11+N11+O11</f>
        <v>1629</v>
      </c>
      <c r="T11" s="36">
        <f t="shared" ref="T11:T49" si="2">P11+Q11+R11</f>
        <v>193990.5</v>
      </c>
      <c r="U11" s="37">
        <f>T11/S11</f>
        <v>119.08563535911603</v>
      </c>
    </row>
    <row r="12" spans="1:21" ht="13.5" hidden="1" customHeight="1" x14ac:dyDescent="0.3">
      <c r="A12" s="19"/>
      <c r="B12" s="49"/>
      <c r="D12" s="1" t="s">
        <v>126</v>
      </c>
      <c r="E12" s="20">
        <v>161.9</v>
      </c>
      <c r="F12" s="20">
        <v>113.4</v>
      </c>
      <c r="G12" s="20">
        <v>92.1</v>
      </c>
      <c r="I12" s="20">
        <f>U12</f>
        <v>124.77691680261012</v>
      </c>
      <c r="J12" s="45"/>
      <c r="K12" s="18"/>
      <c r="M12" s="38">
        <f>582+323</f>
        <v>905</v>
      </c>
      <c r="N12" s="38">
        <f>434+362</f>
        <v>796</v>
      </c>
      <c r="O12" s="38">
        <f>328+423</f>
        <v>751</v>
      </c>
      <c r="P12" s="36">
        <f>E12*M12</f>
        <v>146519.5</v>
      </c>
      <c r="Q12" s="36">
        <f t="shared" ref="Q12" si="3">F12*N12</f>
        <v>90266.400000000009</v>
      </c>
      <c r="R12" s="36">
        <f t="shared" ref="R12" si="4">G12*O12</f>
        <v>69167.099999999991</v>
      </c>
      <c r="S12" s="36">
        <f>M12+N12+O12</f>
        <v>2452</v>
      </c>
      <c r="T12" s="36">
        <f>P12+Q12+R12</f>
        <v>305953</v>
      </c>
      <c r="U12" s="37">
        <f>T12/S12</f>
        <v>124.77691680261012</v>
      </c>
    </row>
    <row r="13" spans="1:21" ht="13.5" customHeight="1" x14ac:dyDescent="0.3">
      <c r="A13" s="19"/>
      <c r="C13" s="31">
        <v>2</v>
      </c>
      <c r="D13" s="1" t="s">
        <v>12</v>
      </c>
      <c r="E13" s="20">
        <v>232.9</v>
      </c>
      <c r="F13" s="20">
        <v>156.69999999999999</v>
      </c>
      <c r="G13" s="20">
        <v>129.5</v>
      </c>
      <c r="I13" s="20">
        <f t="shared" ref="I13:I49" si="5">U13</f>
        <v>194.3807486631016</v>
      </c>
      <c r="J13" s="45">
        <f>(I13/'AAU 21-22'!I12)-1</f>
        <v>4.6306866299094862E-2</v>
      </c>
      <c r="K13" s="18"/>
      <c r="M13" s="38">
        <f>552+292</f>
        <v>844</v>
      </c>
      <c r="N13" s="38">
        <f>211+149</f>
        <v>360</v>
      </c>
      <c r="O13" s="38">
        <f>146+146</f>
        <v>292</v>
      </c>
      <c r="P13" s="36">
        <f>E13*M13</f>
        <v>196567.6</v>
      </c>
      <c r="Q13" s="36">
        <f t="shared" si="0"/>
        <v>56411.999999999993</v>
      </c>
      <c r="R13" s="36">
        <f>G13*O13</f>
        <v>37814</v>
      </c>
      <c r="S13" s="36">
        <f>M13+N13+O13</f>
        <v>1496</v>
      </c>
      <c r="T13" s="36">
        <f>P13+Q13+R13</f>
        <v>290793.59999999998</v>
      </c>
      <c r="U13" s="37">
        <f t="shared" ref="U13:U49" si="6">T13/S13</f>
        <v>194.3807486631016</v>
      </c>
    </row>
    <row r="14" spans="1:21" ht="13.5" customHeight="1" x14ac:dyDescent="0.3">
      <c r="A14" s="19"/>
      <c r="C14" s="31">
        <v>3</v>
      </c>
      <c r="D14" s="1" t="s">
        <v>13</v>
      </c>
      <c r="E14" s="20">
        <v>200.8</v>
      </c>
      <c r="F14" s="20">
        <v>137</v>
      </c>
      <c r="G14" s="20">
        <v>119.2</v>
      </c>
      <c r="I14" s="20">
        <f t="shared" si="5"/>
        <v>171.21559370529326</v>
      </c>
      <c r="J14" s="45">
        <f>(I14/'AAU 21-22'!I13)-1</f>
        <v>5.8482823094120784E-2</v>
      </c>
      <c r="K14" s="18"/>
      <c r="M14" s="38">
        <f>523+299</f>
        <v>822</v>
      </c>
      <c r="N14" s="38">
        <f>156+161</f>
        <v>317</v>
      </c>
      <c r="O14" s="38">
        <f>128+131</f>
        <v>259</v>
      </c>
      <c r="P14" s="36">
        <f t="shared" si="0"/>
        <v>165057.60000000001</v>
      </c>
      <c r="Q14" s="36">
        <f t="shared" si="0"/>
        <v>43429</v>
      </c>
      <c r="R14" s="36">
        <f t="shared" si="0"/>
        <v>30872.799999999999</v>
      </c>
      <c r="S14" s="36">
        <f t="shared" si="1"/>
        <v>1398</v>
      </c>
      <c r="T14" s="36">
        <f t="shared" si="2"/>
        <v>239359.4</v>
      </c>
      <c r="U14" s="37">
        <f t="shared" si="6"/>
        <v>171.21559370529326</v>
      </c>
    </row>
    <row r="15" spans="1:21" ht="13.5" customHeight="1" x14ac:dyDescent="0.3">
      <c r="A15" s="19"/>
      <c r="C15" s="31">
        <v>4</v>
      </c>
      <c r="D15" s="1" t="s">
        <v>14</v>
      </c>
      <c r="E15" s="20">
        <v>204.4</v>
      </c>
      <c r="F15" s="20">
        <v>138.5</v>
      </c>
      <c r="G15" s="20">
        <v>114.3</v>
      </c>
      <c r="I15" s="20">
        <f t="shared" si="5"/>
        <v>170.35137221269298</v>
      </c>
      <c r="J15" s="45">
        <f>(I15/'AAU 21-22'!I14)-1</f>
        <v>5.2657608289653268E-2</v>
      </c>
      <c r="K15" s="18"/>
      <c r="M15" s="38">
        <f>433+222</f>
        <v>655</v>
      </c>
      <c r="N15" s="38">
        <f>121+141</f>
        <v>262</v>
      </c>
      <c r="O15" s="38">
        <f>123+126</f>
        <v>249</v>
      </c>
      <c r="P15" s="36">
        <f t="shared" si="0"/>
        <v>133882</v>
      </c>
      <c r="Q15" s="36">
        <f t="shared" si="0"/>
        <v>36287</v>
      </c>
      <c r="R15" s="36">
        <f t="shared" si="0"/>
        <v>28460.7</v>
      </c>
      <c r="S15" s="36">
        <f t="shared" si="1"/>
        <v>1166</v>
      </c>
      <c r="T15" s="36">
        <f t="shared" si="2"/>
        <v>198629.7</v>
      </c>
      <c r="U15" s="37">
        <f t="shared" si="6"/>
        <v>170.35137221269298</v>
      </c>
    </row>
    <row r="16" spans="1:21" ht="13.5" customHeight="1" x14ac:dyDescent="0.3">
      <c r="A16" s="19"/>
      <c r="C16" s="31">
        <v>5</v>
      </c>
      <c r="D16" s="1" t="s">
        <v>15</v>
      </c>
      <c r="E16" s="20">
        <v>253</v>
      </c>
      <c r="F16" s="20">
        <v>160.30000000000001</v>
      </c>
      <c r="G16" s="20">
        <v>123.6</v>
      </c>
      <c r="I16" s="20">
        <f t="shared" si="5"/>
        <v>207.93845679012344</v>
      </c>
      <c r="J16" s="45">
        <f>(I16/'AAU 21-22'!I15)-1</f>
        <v>5.6040919877306417E-2</v>
      </c>
      <c r="K16" s="18"/>
      <c r="M16" s="38">
        <f>623+356</f>
        <v>979</v>
      </c>
      <c r="N16" s="38">
        <f>139+132</f>
        <v>271</v>
      </c>
      <c r="O16" s="38">
        <f>194+176</f>
        <v>370</v>
      </c>
      <c r="P16" s="36">
        <f t="shared" si="0"/>
        <v>247687</v>
      </c>
      <c r="Q16" s="36">
        <f t="shared" si="0"/>
        <v>43441.3</v>
      </c>
      <c r="R16" s="36">
        <f t="shared" si="0"/>
        <v>45732</v>
      </c>
      <c r="S16" s="36">
        <f t="shared" si="1"/>
        <v>1620</v>
      </c>
      <c r="T16" s="36">
        <f t="shared" si="2"/>
        <v>336860.3</v>
      </c>
      <c r="U16" s="37">
        <f t="shared" si="6"/>
        <v>207.93845679012344</v>
      </c>
    </row>
    <row r="17" spans="1:21" ht="13.5" hidden="1" customHeight="1" x14ac:dyDescent="0.3">
      <c r="A17" s="19"/>
      <c r="B17" s="49"/>
      <c r="D17" s="1" t="s">
        <v>124</v>
      </c>
      <c r="E17" s="20">
        <v>192.6</v>
      </c>
      <c r="F17" s="20">
        <v>128.30000000000001</v>
      </c>
      <c r="G17" s="20">
        <v>111</v>
      </c>
      <c r="I17" s="20">
        <f t="shared" si="5"/>
        <v>152.27742782152231</v>
      </c>
      <c r="J17" s="45"/>
      <c r="K17" s="18"/>
      <c r="M17" s="38">
        <f>234+101</f>
        <v>335</v>
      </c>
      <c r="N17" s="38">
        <f>127+111</f>
        <v>238</v>
      </c>
      <c r="O17" s="38">
        <f>113+76</f>
        <v>189</v>
      </c>
      <c r="P17" s="36">
        <f>E17*M17</f>
        <v>64521</v>
      </c>
      <c r="Q17" s="36">
        <f>F17*N17</f>
        <v>30535.4</v>
      </c>
      <c r="R17" s="36">
        <f>G17*O17</f>
        <v>20979</v>
      </c>
      <c r="S17" s="36">
        <f>M17+N17+O17</f>
        <v>762</v>
      </c>
      <c r="T17" s="36">
        <f>P17+Q17+R17</f>
        <v>116035.4</v>
      </c>
      <c r="U17" s="37">
        <f>T17/S17</f>
        <v>152.27742782152231</v>
      </c>
    </row>
    <row r="18" spans="1:21" ht="13.5" customHeight="1" x14ac:dyDescent="0.3">
      <c r="A18" s="19"/>
      <c r="C18" s="31">
        <v>6</v>
      </c>
      <c r="D18" s="1" t="s">
        <v>16</v>
      </c>
      <c r="E18" s="20">
        <v>213.1</v>
      </c>
      <c r="F18" s="20">
        <v>145.80000000000001</v>
      </c>
      <c r="G18" s="20">
        <v>123.5</v>
      </c>
      <c r="I18" s="20">
        <f t="shared" si="5"/>
        <v>176.84953789279115</v>
      </c>
      <c r="J18" s="45">
        <f>(I18/'AAU 21-22'!I16)-1</f>
        <v>5.106540275645477E-2</v>
      </c>
      <c r="K18" s="18"/>
      <c r="M18" s="38">
        <f>424+163</f>
        <v>587</v>
      </c>
      <c r="N18" s="38">
        <f>141+89</f>
        <v>230</v>
      </c>
      <c r="O18" s="38">
        <f>151+114</f>
        <v>265</v>
      </c>
      <c r="P18" s="36">
        <f t="shared" si="0"/>
        <v>125089.7</v>
      </c>
      <c r="Q18" s="36">
        <f t="shared" si="0"/>
        <v>33534</v>
      </c>
      <c r="R18" s="36">
        <f t="shared" si="0"/>
        <v>32727.5</v>
      </c>
      <c r="S18" s="36">
        <f t="shared" si="1"/>
        <v>1082</v>
      </c>
      <c r="T18" s="36">
        <f t="shared" si="2"/>
        <v>191351.2</v>
      </c>
      <c r="U18" s="37">
        <f t="shared" si="6"/>
        <v>176.84953789279115</v>
      </c>
    </row>
    <row r="19" spans="1:21" ht="13.5" customHeight="1" x14ac:dyDescent="0.3">
      <c r="A19" s="19"/>
      <c r="C19" s="31">
        <v>7</v>
      </c>
      <c r="D19" s="1" t="s">
        <v>17</v>
      </c>
      <c r="E19" s="20">
        <v>222.5</v>
      </c>
      <c r="F19" s="20">
        <v>135.69999999999999</v>
      </c>
      <c r="G19" s="20">
        <v>119.1</v>
      </c>
      <c r="I19" s="20">
        <f t="shared" si="5"/>
        <v>183.00399999999999</v>
      </c>
      <c r="J19" s="45">
        <f>(I19/'AAU 21-22'!I17)-1</f>
        <v>6.3522693236427008E-2</v>
      </c>
      <c r="K19" s="18"/>
      <c r="M19" s="38">
        <f>315+198</f>
        <v>513</v>
      </c>
      <c r="N19" s="38">
        <f>93+80</f>
        <v>173</v>
      </c>
      <c r="O19" s="38">
        <f>105+84</f>
        <v>189</v>
      </c>
      <c r="P19" s="36">
        <f t="shared" si="0"/>
        <v>114142.5</v>
      </c>
      <c r="Q19" s="36">
        <f t="shared" si="0"/>
        <v>23476.1</v>
      </c>
      <c r="R19" s="36">
        <f t="shared" si="0"/>
        <v>22509.899999999998</v>
      </c>
      <c r="S19" s="36">
        <f t="shared" si="1"/>
        <v>875</v>
      </c>
      <c r="T19" s="36">
        <f t="shared" si="2"/>
        <v>160128.5</v>
      </c>
      <c r="U19" s="37">
        <f t="shared" si="6"/>
        <v>183.00399999999999</v>
      </c>
    </row>
    <row r="20" spans="1:21" ht="13.5" customHeight="1" x14ac:dyDescent="0.3">
      <c r="A20" s="19"/>
      <c r="C20" s="31">
        <v>8</v>
      </c>
      <c r="D20" s="1" t="s">
        <v>113</v>
      </c>
      <c r="E20" s="20">
        <v>198.2</v>
      </c>
      <c r="F20" s="20">
        <v>133.69999999999999</v>
      </c>
      <c r="G20" s="20">
        <v>115.8</v>
      </c>
      <c r="I20" s="20">
        <f>U20</f>
        <v>161.96939799331102</v>
      </c>
      <c r="J20" s="45">
        <f>(I20/'AAU 21-22'!I18)-1</f>
        <v>7.2117722678423757E-2</v>
      </c>
      <c r="K20" s="18"/>
      <c r="M20" s="38">
        <f>185+119</f>
        <v>304</v>
      </c>
      <c r="N20" s="38">
        <f>73+70</f>
        <v>143</v>
      </c>
      <c r="O20" s="38">
        <f>77+74</f>
        <v>151</v>
      </c>
      <c r="P20" s="36">
        <f>E20*M20</f>
        <v>60252.799999999996</v>
      </c>
      <c r="Q20" s="36">
        <f t="shared" si="0"/>
        <v>19119.099999999999</v>
      </c>
      <c r="R20" s="36">
        <f t="shared" si="0"/>
        <v>17485.8</v>
      </c>
      <c r="S20" s="36">
        <f>M20+N20+O20</f>
        <v>598</v>
      </c>
      <c r="T20" s="36">
        <f>P20+Q20+R20</f>
        <v>96857.7</v>
      </c>
      <c r="U20" s="37">
        <f>T20/S20</f>
        <v>161.96939799331102</v>
      </c>
    </row>
    <row r="21" spans="1:21" ht="13.5" customHeight="1" x14ac:dyDescent="0.3">
      <c r="A21" s="19"/>
      <c r="C21" s="31">
        <v>9</v>
      </c>
      <c r="D21" s="1" t="s">
        <v>18</v>
      </c>
      <c r="E21" s="20">
        <v>163.1</v>
      </c>
      <c r="F21" s="20">
        <v>111.4</v>
      </c>
      <c r="G21" s="20">
        <v>109</v>
      </c>
      <c r="I21" s="20">
        <f>U21</f>
        <v>132.52441760138049</v>
      </c>
      <c r="J21" s="45"/>
      <c r="K21" s="18"/>
      <c r="M21" s="38">
        <f>348+140</f>
        <v>488</v>
      </c>
      <c r="N21" s="38">
        <f>205+155</f>
        <v>360</v>
      </c>
      <c r="O21" s="39">
        <f>171+140</f>
        <v>311</v>
      </c>
      <c r="P21" s="36">
        <f t="shared" si="0"/>
        <v>79592.800000000003</v>
      </c>
      <c r="Q21" s="36">
        <f t="shared" si="0"/>
        <v>40104</v>
      </c>
      <c r="R21" s="36">
        <f t="shared" si="0"/>
        <v>33899</v>
      </c>
      <c r="S21" s="36">
        <f t="shared" si="1"/>
        <v>1159</v>
      </c>
      <c r="T21" s="36">
        <f t="shared" si="2"/>
        <v>153595.79999999999</v>
      </c>
      <c r="U21" s="37">
        <f t="shared" si="6"/>
        <v>132.52441760138049</v>
      </c>
    </row>
    <row r="22" spans="1:21" ht="13.5" customHeight="1" x14ac:dyDescent="0.3">
      <c r="A22" s="19"/>
      <c r="C22" s="31">
        <v>10</v>
      </c>
      <c r="D22" s="1" t="s">
        <v>19</v>
      </c>
      <c r="E22" s="20">
        <v>166.4</v>
      </c>
      <c r="F22" s="20">
        <v>115</v>
      </c>
      <c r="G22" s="20">
        <v>97.2</v>
      </c>
      <c r="I22" s="20">
        <f t="shared" si="5"/>
        <v>130.01198801198802</v>
      </c>
      <c r="J22" s="45">
        <f>(I22/'AAU 21-22'!I20)-1</f>
        <v>3.7979428099385037E-2</v>
      </c>
      <c r="K22" s="18"/>
      <c r="M22" s="38">
        <f>597+218</f>
        <v>815</v>
      </c>
      <c r="N22" s="38">
        <f>300+222</f>
        <v>522</v>
      </c>
      <c r="O22" s="38">
        <f>331+334</f>
        <v>665</v>
      </c>
      <c r="P22" s="36">
        <f t="shared" si="0"/>
        <v>135616</v>
      </c>
      <c r="Q22" s="36">
        <f t="shared" si="0"/>
        <v>60030</v>
      </c>
      <c r="R22" s="36">
        <f t="shared" si="0"/>
        <v>64638</v>
      </c>
      <c r="S22" s="36">
        <f t="shared" si="1"/>
        <v>2002</v>
      </c>
      <c r="T22" s="36">
        <f t="shared" si="2"/>
        <v>260284</v>
      </c>
      <c r="U22" s="37">
        <f t="shared" si="6"/>
        <v>130.01198801198802</v>
      </c>
    </row>
    <row r="23" spans="1:21" ht="13.5" customHeight="1" x14ac:dyDescent="0.3">
      <c r="A23" s="19"/>
      <c r="C23" s="31">
        <v>11</v>
      </c>
      <c r="D23" s="1" t="s">
        <v>20</v>
      </c>
      <c r="E23" s="20">
        <v>177.9</v>
      </c>
      <c r="F23" s="20">
        <v>130.30000000000001</v>
      </c>
      <c r="G23" s="20">
        <v>119.7</v>
      </c>
      <c r="I23" s="20">
        <f t="shared" si="5"/>
        <v>152.13019271948608</v>
      </c>
      <c r="J23" s="45">
        <f>(I23/'AAU 21-22'!I21)-1</f>
        <v>9.1982627040011034E-2</v>
      </c>
      <c r="K23" s="18"/>
      <c r="M23" s="38">
        <f>390+84</f>
        <v>474</v>
      </c>
      <c r="N23" s="38">
        <f>183+72</f>
        <v>255</v>
      </c>
      <c r="O23" s="38">
        <f>122+83</f>
        <v>205</v>
      </c>
      <c r="P23" s="36">
        <f t="shared" si="0"/>
        <v>84324.6</v>
      </c>
      <c r="Q23" s="36">
        <f t="shared" si="0"/>
        <v>33226.5</v>
      </c>
      <c r="R23" s="36">
        <f t="shared" si="0"/>
        <v>24538.5</v>
      </c>
      <c r="S23" s="36">
        <f t="shared" si="1"/>
        <v>934</v>
      </c>
      <c r="T23" s="36">
        <f t="shared" si="2"/>
        <v>142089.60000000001</v>
      </c>
      <c r="U23" s="37">
        <f t="shared" si="6"/>
        <v>152.13019271948608</v>
      </c>
    </row>
    <row r="24" spans="1:21" ht="13.5" customHeight="1" x14ac:dyDescent="0.3">
      <c r="A24" s="19"/>
      <c r="C24" s="31">
        <v>12</v>
      </c>
      <c r="D24" s="1" t="s">
        <v>21</v>
      </c>
      <c r="E24" s="20">
        <v>170.6</v>
      </c>
      <c r="F24" s="20">
        <v>116.8</v>
      </c>
      <c r="G24" s="20">
        <v>107.1</v>
      </c>
      <c r="I24" s="20">
        <f t="shared" si="5"/>
        <v>137.59396186440677</v>
      </c>
      <c r="J24" s="45">
        <f>(I24/'AAU 21-22'!I22)-1</f>
        <v>3.8503645132970998E-2</v>
      </c>
      <c r="K24" s="18"/>
      <c r="M24" s="38">
        <f>597+229</f>
        <v>826</v>
      </c>
      <c r="N24" s="38">
        <f>294+234</f>
        <v>528</v>
      </c>
      <c r="O24" s="38">
        <f>274+260</f>
        <v>534</v>
      </c>
      <c r="P24" s="36">
        <f t="shared" si="0"/>
        <v>140915.6</v>
      </c>
      <c r="Q24" s="36">
        <f t="shared" si="0"/>
        <v>61670.400000000001</v>
      </c>
      <c r="R24" s="36">
        <f t="shared" si="0"/>
        <v>57191.399999999994</v>
      </c>
      <c r="S24" s="36">
        <f t="shared" si="1"/>
        <v>1888</v>
      </c>
      <c r="T24" s="36">
        <f t="shared" si="2"/>
        <v>259777.4</v>
      </c>
      <c r="U24" s="37">
        <f t="shared" si="6"/>
        <v>137.59396186440677</v>
      </c>
    </row>
    <row r="25" spans="1:21" ht="13.5" customHeight="1" x14ac:dyDescent="0.3">
      <c r="A25" s="19"/>
      <c r="C25" s="31">
        <v>13</v>
      </c>
      <c r="D25" s="1" t="s">
        <v>22</v>
      </c>
      <c r="E25" s="20">
        <v>147</v>
      </c>
      <c r="F25" s="20">
        <v>112.5</v>
      </c>
      <c r="G25" s="20">
        <v>104.7</v>
      </c>
      <c r="I25" s="20">
        <f t="shared" si="5"/>
        <v>125.9733493397359</v>
      </c>
      <c r="J25" s="45">
        <f>(I25/'AAU 21-22'!I23)-1</f>
        <v>4.0885563573732631E-2</v>
      </c>
      <c r="K25" s="18"/>
      <c r="M25" s="38">
        <f>518+226</f>
        <v>744</v>
      </c>
      <c r="N25" s="38">
        <f>302+207</f>
        <v>509</v>
      </c>
      <c r="O25" s="38">
        <f>196+217</f>
        <v>413</v>
      </c>
      <c r="P25" s="36">
        <f t="shared" si="0"/>
        <v>109368</v>
      </c>
      <c r="Q25" s="36">
        <f t="shared" si="0"/>
        <v>57262.5</v>
      </c>
      <c r="R25" s="36">
        <f t="shared" si="0"/>
        <v>43241.1</v>
      </c>
      <c r="S25" s="36">
        <f t="shared" si="1"/>
        <v>1666</v>
      </c>
      <c r="T25" s="36">
        <f t="shared" si="2"/>
        <v>209871.6</v>
      </c>
      <c r="U25" s="37">
        <f t="shared" si="6"/>
        <v>125.9733493397359</v>
      </c>
    </row>
    <row r="26" spans="1:21" ht="13.5" customHeight="1" x14ac:dyDescent="0.3">
      <c r="A26" s="19"/>
      <c r="C26" s="31">
        <v>14</v>
      </c>
      <c r="D26" s="1" t="s">
        <v>23</v>
      </c>
      <c r="E26" s="20">
        <v>157.19999999999999</v>
      </c>
      <c r="F26" s="20">
        <v>101.6</v>
      </c>
      <c r="G26" s="20">
        <v>93.9</v>
      </c>
      <c r="I26" s="20">
        <f t="shared" si="5"/>
        <v>120.18517017828201</v>
      </c>
      <c r="J26" s="45">
        <f>(I26/'AAU 21-22'!I24)-1</f>
        <v>2.5962365084373662E-2</v>
      </c>
      <c r="K26" s="18"/>
      <c r="M26" s="38">
        <f>305+150</f>
        <v>455</v>
      </c>
      <c r="N26" s="38">
        <f>257+215</f>
        <v>472</v>
      </c>
      <c r="O26" s="38">
        <f>123+184</f>
        <v>307</v>
      </c>
      <c r="P26" s="36">
        <f t="shared" si="0"/>
        <v>71526</v>
      </c>
      <c r="Q26" s="36">
        <f t="shared" si="0"/>
        <v>47955.199999999997</v>
      </c>
      <c r="R26" s="36">
        <f t="shared" si="0"/>
        <v>28827.300000000003</v>
      </c>
      <c r="S26" s="36">
        <f t="shared" si="1"/>
        <v>1234</v>
      </c>
      <c r="T26" s="36">
        <f t="shared" si="2"/>
        <v>148308.5</v>
      </c>
      <c r="U26" s="37">
        <f t="shared" si="6"/>
        <v>120.18517017828201</v>
      </c>
    </row>
    <row r="27" spans="1:21" ht="13.5" customHeight="1" x14ac:dyDescent="0.3">
      <c r="A27" s="19"/>
      <c r="C27" s="31">
        <v>15</v>
      </c>
      <c r="D27" s="1" t="s">
        <v>24</v>
      </c>
      <c r="E27" s="20">
        <v>138.69999999999999</v>
      </c>
      <c r="F27" s="20">
        <v>101.7</v>
      </c>
      <c r="G27" s="20">
        <v>92.1</v>
      </c>
      <c r="I27" s="20">
        <f t="shared" si="5"/>
        <v>113.72799422799423</v>
      </c>
      <c r="J27" s="45">
        <f>(I27/'AAU 21-22'!I25)-1</f>
        <v>4.6916314013284888E-2</v>
      </c>
      <c r="K27" s="18"/>
      <c r="M27" s="38">
        <f>400+138</f>
        <v>538</v>
      </c>
      <c r="N27" s="38">
        <f>288+223</f>
        <v>511</v>
      </c>
      <c r="O27" s="38">
        <f>180+157</f>
        <v>337</v>
      </c>
      <c r="P27" s="36">
        <f t="shared" si="0"/>
        <v>74620.599999999991</v>
      </c>
      <c r="Q27" s="36">
        <f t="shared" si="0"/>
        <v>51968.700000000004</v>
      </c>
      <c r="R27" s="36">
        <f t="shared" si="0"/>
        <v>31037.699999999997</v>
      </c>
      <c r="S27" s="36">
        <f t="shared" si="1"/>
        <v>1386</v>
      </c>
      <c r="T27" s="36">
        <f t="shared" si="2"/>
        <v>157627</v>
      </c>
      <c r="U27" s="37">
        <f t="shared" si="6"/>
        <v>113.72799422799423</v>
      </c>
    </row>
    <row r="28" spans="1:21" ht="13.5" customHeight="1" x14ac:dyDescent="0.3">
      <c r="A28" s="19"/>
      <c r="C28" s="31">
        <v>16</v>
      </c>
      <c r="D28" s="1" t="s">
        <v>25</v>
      </c>
      <c r="E28" s="20">
        <v>131.9</v>
      </c>
      <c r="F28" s="20">
        <v>91.8</v>
      </c>
      <c r="G28" s="20">
        <v>91.9</v>
      </c>
      <c r="I28" s="20">
        <f t="shared" si="5"/>
        <v>108.58075117370892</v>
      </c>
      <c r="J28" s="45">
        <f>(I28/'AAU 21-22'!I26)-1</f>
        <v>4.1598878265827866E-2</v>
      </c>
      <c r="K28" s="18"/>
      <c r="M28" s="38">
        <f>301+144</f>
        <v>445</v>
      </c>
      <c r="N28" s="38">
        <f>195+155</f>
        <v>350</v>
      </c>
      <c r="O28" s="38">
        <f>146+124</f>
        <v>270</v>
      </c>
      <c r="P28" s="36">
        <f t="shared" si="0"/>
        <v>58695.5</v>
      </c>
      <c r="Q28" s="36">
        <f t="shared" si="0"/>
        <v>32130</v>
      </c>
      <c r="R28" s="36">
        <f t="shared" si="0"/>
        <v>24813</v>
      </c>
      <c r="S28" s="36">
        <f t="shared" si="1"/>
        <v>1065</v>
      </c>
      <c r="T28" s="36">
        <f t="shared" si="2"/>
        <v>115638.5</v>
      </c>
      <c r="U28" s="37">
        <f t="shared" si="6"/>
        <v>108.58075117370892</v>
      </c>
    </row>
    <row r="29" spans="1:21" ht="13.5" customHeight="1" x14ac:dyDescent="0.3">
      <c r="A29" s="19"/>
      <c r="C29" s="31">
        <v>17</v>
      </c>
      <c r="D29" s="1" t="s">
        <v>26</v>
      </c>
      <c r="E29" s="20">
        <v>191.3</v>
      </c>
      <c r="F29" s="20">
        <v>129.30000000000001</v>
      </c>
      <c r="G29" s="20">
        <v>111.2</v>
      </c>
      <c r="I29" s="20">
        <f t="shared" si="5"/>
        <v>155.39891745602165</v>
      </c>
      <c r="J29" s="45">
        <f>(I29/'AAU 21-22'!I27)-1</f>
        <v>8.6085162050210773E-2</v>
      </c>
      <c r="K29" s="18"/>
      <c r="M29" s="38">
        <f>516+199</f>
        <v>715</v>
      </c>
      <c r="N29" s="38">
        <f>236+209</f>
        <v>445</v>
      </c>
      <c r="O29" s="38">
        <f>163+155</f>
        <v>318</v>
      </c>
      <c r="P29" s="36">
        <f t="shared" si="0"/>
        <v>136779.5</v>
      </c>
      <c r="Q29" s="36">
        <f t="shared" si="0"/>
        <v>57538.500000000007</v>
      </c>
      <c r="R29" s="36">
        <f t="shared" si="0"/>
        <v>35361.599999999999</v>
      </c>
      <c r="S29" s="36">
        <f t="shared" si="1"/>
        <v>1478</v>
      </c>
      <c r="T29" s="36">
        <f t="shared" si="2"/>
        <v>229679.6</v>
      </c>
      <c r="U29" s="37">
        <f t="shared" si="6"/>
        <v>155.39891745602165</v>
      </c>
    </row>
    <row r="30" spans="1:21" ht="13.5" customHeight="1" x14ac:dyDescent="0.3">
      <c r="A30" s="19"/>
      <c r="C30" s="31">
        <v>18</v>
      </c>
      <c r="D30" s="1" t="s">
        <v>27</v>
      </c>
      <c r="E30" s="20">
        <v>189.1</v>
      </c>
      <c r="F30" s="20">
        <v>125</v>
      </c>
      <c r="G30" s="20">
        <v>106.9</v>
      </c>
      <c r="I30" s="20">
        <f t="shared" si="5"/>
        <v>152.14793880152999</v>
      </c>
      <c r="J30" s="45">
        <f>(I30/'AAU 21-22'!I28)-1</f>
        <v>4.4263594182851751E-2</v>
      </c>
      <c r="K30" s="18"/>
      <c r="M30" s="38">
        <f>788+376</f>
        <v>1164</v>
      </c>
      <c r="N30" s="38">
        <f>313+283</f>
        <v>596</v>
      </c>
      <c r="O30" s="38">
        <f>300+293</f>
        <v>593</v>
      </c>
      <c r="P30" s="36">
        <f t="shared" si="0"/>
        <v>220112.4</v>
      </c>
      <c r="Q30" s="36">
        <f t="shared" si="0"/>
        <v>74500</v>
      </c>
      <c r="R30" s="36">
        <f t="shared" si="0"/>
        <v>63391.700000000004</v>
      </c>
      <c r="S30" s="36">
        <f t="shared" si="1"/>
        <v>2353</v>
      </c>
      <c r="T30" s="36">
        <f t="shared" si="2"/>
        <v>358004.10000000003</v>
      </c>
      <c r="U30" s="37">
        <f t="shared" si="6"/>
        <v>152.14793880152999</v>
      </c>
    </row>
    <row r="31" spans="1:21" ht="13.5" customHeight="1" x14ac:dyDescent="0.3">
      <c r="A31" s="19"/>
      <c r="C31" s="31">
        <v>19</v>
      </c>
      <c r="D31" s="1" t="s">
        <v>28</v>
      </c>
      <c r="E31" s="20">
        <v>171.5</v>
      </c>
      <c r="F31" s="20">
        <v>114.2</v>
      </c>
      <c r="G31" s="20">
        <v>90.7</v>
      </c>
      <c r="I31" s="20">
        <f t="shared" si="5"/>
        <v>127.06519258202567</v>
      </c>
      <c r="J31" s="45">
        <f>(I31/'AAU 21-22'!I29)-1</f>
        <v>7.628147380843342E-2</v>
      </c>
      <c r="K31" s="18"/>
      <c r="M31" s="38">
        <f>549+216</f>
        <v>765</v>
      </c>
      <c r="N31" s="38">
        <f>326+298</f>
        <v>624</v>
      </c>
      <c r="O31" s="38">
        <f>343+371</f>
        <v>714</v>
      </c>
      <c r="P31" s="36">
        <f t="shared" si="0"/>
        <v>131197.5</v>
      </c>
      <c r="Q31" s="36">
        <f t="shared" si="0"/>
        <v>71260.800000000003</v>
      </c>
      <c r="R31" s="36">
        <f t="shared" si="0"/>
        <v>64759.8</v>
      </c>
      <c r="S31" s="36">
        <f t="shared" si="1"/>
        <v>2103</v>
      </c>
      <c r="T31" s="36">
        <f t="shared" si="2"/>
        <v>267218.09999999998</v>
      </c>
      <c r="U31" s="37">
        <f t="shared" si="6"/>
        <v>127.06519258202567</v>
      </c>
    </row>
    <row r="32" spans="1:21" ht="13.5" customHeight="1" x14ac:dyDescent="0.3">
      <c r="A32" s="19"/>
      <c r="C32" s="31">
        <v>20</v>
      </c>
      <c r="D32" s="1" t="s">
        <v>29</v>
      </c>
      <c r="E32" s="20">
        <v>156.1</v>
      </c>
      <c r="F32" s="20">
        <v>109.3</v>
      </c>
      <c r="G32" s="20">
        <v>97.4</v>
      </c>
      <c r="I32" s="20">
        <f t="shared" si="5"/>
        <v>127.78243974422035</v>
      </c>
      <c r="J32" s="45">
        <f>(I32/'AAU 21-22'!I30)-1</f>
        <v>3.311599806119947E-2</v>
      </c>
      <c r="K32" s="18"/>
      <c r="M32" s="38">
        <f>642+287</f>
        <v>929</v>
      </c>
      <c r="N32" s="38">
        <f>312+296</f>
        <v>608</v>
      </c>
      <c r="O32" s="38">
        <f>214+282</f>
        <v>496</v>
      </c>
      <c r="P32" s="36">
        <f t="shared" si="0"/>
        <v>145016.9</v>
      </c>
      <c r="Q32" s="36">
        <f t="shared" si="0"/>
        <v>66454.399999999994</v>
      </c>
      <c r="R32" s="36">
        <f t="shared" si="0"/>
        <v>48310.400000000001</v>
      </c>
      <c r="S32" s="36">
        <f t="shared" si="1"/>
        <v>2033</v>
      </c>
      <c r="T32" s="36">
        <f t="shared" si="2"/>
        <v>259781.69999999998</v>
      </c>
      <c r="U32" s="37">
        <f t="shared" si="6"/>
        <v>127.78243974422035</v>
      </c>
    </row>
    <row r="33" spans="1:21" ht="13.5" customHeight="1" x14ac:dyDescent="0.3">
      <c r="A33" s="19"/>
      <c r="C33" s="31">
        <v>21</v>
      </c>
      <c r="D33" s="24" t="s">
        <v>30</v>
      </c>
      <c r="E33" s="25">
        <v>141.6</v>
      </c>
      <c r="F33" s="25">
        <v>95.9</v>
      </c>
      <c r="G33" s="25">
        <v>89.7</v>
      </c>
      <c r="H33" s="24"/>
      <c r="I33" s="25">
        <f t="shared" si="5"/>
        <v>109.69949622166247</v>
      </c>
      <c r="J33" s="47">
        <f>(I33/'AAU 21-22'!I31)-1</f>
        <v>4.4998299386196816E-2</v>
      </c>
      <c r="K33" s="18"/>
      <c r="M33" s="38">
        <f>281+131</f>
        <v>412</v>
      </c>
      <c r="N33" s="38">
        <f>214+179</f>
        <v>393</v>
      </c>
      <c r="O33" s="38">
        <f>172+214</f>
        <v>386</v>
      </c>
      <c r="P33" s="36">
        <f t="shared" si="0"/>
        <v>58339.199999999997</v>
      </c>
      <c r="Q33" s="36">
        <f t="shared" si="0"/>
        <v>37688.700000000004</v>
      </c>
      <c r="R33" s="36">
        <f t="shared" si="0"/>
        <v>34624.200000000004</v>
      </c>
      <c r="S33" s="36">
        <f t="shared" si="1"/>
        <v>1191</v>
      </c>
      <c r="T33" s="36">
        <f t="shared" si="2"/>
        <v>130652.1</v>
      </c>
      <c r="U33" s="37">
        <f t="shared" si="6"/>
        <v>109.69949622166247</v>
      </c>
    </row>
    <row r="34" spans="1:21" ht="13.5" customHeight="1" x14ac:dyDescent="0.3">
      <c r="A34" s="19"/>
      <c r="C34" s="31">
        <v>22</v>
      </c>
      <c r="D34" s="1" t="s">
        <v>45</v>
      </c>
      <c r="E34" s="20">
        <v>167</v>
      </c>
      <c r="F34" s="20">
        <v>104.8</v>
      </c>
      <c r="G34" s="20">
        <v>95.3</v>
      </c>
      <c r="I34" s="20">
        <f t="shared" si="5"/>
        <v>127.99679109364766</v>
      </c>
      <c r="J34" s="45">
        <f>(I34/'AAU 21-22'!I32)-1</f>
        <v>1.1767802158528573E-2</v>
      </c>
      <c r="K34" s="18"/>
      <c r="M34" s="38">
        <f>398+237</f>
        <v>635</v>
      </c>
      <c r="N34" s="38">
        <f>221+242</f>
        <v>463</v>
      </c>
      <c r="O34" s="38">
        <f>176+253</f>
        <v>429</v>
      </c>
      <c r="P34" s="36">
        <f t="shared" si="0"/>
        <v>106045</v>
      </c>
      <c r="Q34" s="36">
        <f t="shared" si="0"/>
        <v>48522.400000000001</v>
      </c>
      <c r="R34" s="36">
        <f t="shared" si="0"/>
        <v>40883.699999999997</v>
      </c>
      <c r="S34" s="36">
        <f t="shared" si="1"/>
        <v>1527</v>
      </c>
      <c r="T34" s="36">
        <f t="shared" si="2"/>
        <v>195451.09999999998</v>
      </c>
      <c r="U34" s="37">
        <f t="shared" si="6"/>
        <v>127.99679109364766</v>
      </c>
    </row>
    <row r="35" spans="1:21" ht="13.5" customHeight="1" x14ac:dyDescent="0.3">
      <c r="A35" s="19"/>
      <c r="C35" s="31">
        <v>23</v>
      </c>
      <c r="D35" s="1" t="s">
        <v>31</v>
      </c>
      <c r="E35" s="20">
        <v>165.1</v>
      </c>
      <c r="F35" s="20">
        <v>112</v>
      </c>
      <c r="G35" s="20">
        <v>100.5</v>
      </c>
      <c r="I35" s="20">
        <f t="shared" si="5"/>
        <v>132.55358154593284</v>
      </c>
      <c r="J35" s="45">
        <f>(I35/'AAU 21-22'!I33)-1</f>
        <v>2.1448024476329541E-2</v>
      </c>
      <c r="K35" s="18"/>
      <c r="M35" s="38">
        <f>709+380</f>
        <v>1089</v>
      </c>
      <c r="N35" s="38">
        <f>388+382</f>
        <v>770</v>
      </c>
      <c r="O35" s="38">
        <f>280+332</f>
        <v>612</v>
      </c>
      <c r="P35" s="36">
        <f t="shared" si="0"/>
        <v>179793.9</v>
      </c>
      <c r="Q35" s="36">
        <f t="shared" si="0"/>
        <v>86240</v>
      </c>
      <c r="R35" s="36">
        <f t="shared" si="0"/>
        <v>61506</v>
      </c>
      <c r="S35" s="36">
        <f t="shared" si="1"/>
        <v>2471</v>
      </c>
      <c r="T35" s="36">
        <f t="shared" si="2"/>
        <v>327539.90000000002</v>
      </c>
      <c r="U35" s="37">
        <f t="shared" si="6"/>
        <v>132.55358154593284</v>
      </c>
    </row>
    <row r="36" spans="1:21" ht="13.5" customHeight="1" x14ac:dyDescent="0.3">
      <c r="A36" s="19"/>
      <c r="C36" s="31">
        <v>24</v>
      </c>
      <c r="D36" s="1" t="s">
        <v>32</v>
      </c>
      <c r="E36" s="20">
        <v>149.1</v>
      </c>
      <c r="F36" s="20">
        <v>109.8</v>
      </c>
      <c r="G36" s="20">
        <v>98.1</v>
      </c>
      <c r="I36" s="20">
        <f t="shared" si="5"/>
        <v>123.64398943196829</v>
      </c>
      <c r="J36" s="45">
        <f>(I36/'AAU 21-22'!I34)-1</f>
        <v>6.2533051852626143E-2</v>
      </c>
      <c r="K36" s="18"/>
      <c r="M36" s="38">
        <f>200+114</f>
        <v>314</v>
      </c>
      <c r="N36" s="38">
        <f>164+120</f>
        <v>284</v>
      </c>
      <c r="O36" s="38">
        <f>74+85</f>
        <v>159</v>
      </c>
      <c r="P36" s="36">
        <f t="shared" si="0"/>
        <v>46817.4</v>
      </c>
      <c r="Q36" s="36">
        <f t="shared" si="0"/>
        <v>31183.200000000001</v>
      </c>
      <c r="R36" s="36">
        <f t="shared" si="0"/>
        <v>15597.9</v>
      </c>
      <c r="S36" s="36">
        <f t="shared" si="1"/>
        <v>757</v>
      </c>
      <c r="T36" s="36">
        <f t="shared" si="2"/>
        <v>93598.5</v>
      </c>
      <c r="U36" s="37">
        <f t="shared" si="6"/>
        <v>123.64398943196829</v>
      </c>
    </row>
    <row r="37" spans="1:21" ht="13.5" customHeight="1" x14ac:dyDescent="0.3">
      <c r="A37" s="19"/>
      <c r="C37" s="31">
        <v>25</v>
      </c>
      <c r="D37" s="1" t="s">
        <v>33</v>
      </c>
      <c r="E37" s="20">
        <v>171.8</v>
      </c>
      <c r="F37" s="20">
        <v>119</v>
      </c>
      <c r="G37" s="20">
        <v>106.9</v>
      </c>
      <c r="I37" s="20">
        <f t="shared" si="5"/>
        <v>141.12306068601583</v>
      </c>
      <c r="J37" s="45">
        <f>(I37/'AAU 21-22'!I35)-1</f>
        <v>0.17476953718707655</v>
      </c>
      <c r="K37" s="18"/>
      <c r="M37" s="38">
        <f>654+250</f>
        <v>904</v>
      </c>
      <c r="N37" s="38">
        <f>307+204</f>
        <v>511</v>
      </c>
      <c r="O37" s="38">
        <f>253+227</f>
        <v>480</v>
      </c>
      <c r="P37" s="36">
        <f t="shared" si="0"/>
        <v>155307.20000000001</v>
      </c>
      <c r="Q37" s="36">
        <f t="shared" si="0"/>
        <v>60809</v>
      </c>
      <c r="R37" s="36">
        <f t="shared" si="0"/>
        <v>51312</v>
      </c>
      <c r="S37" s="36">
        <f t="shared" si="1"/>
        <v>1895</v>
      </c>
      <c r="T37" s="36">
        <f t="shared" si="2"/>
        <v>267428.2</v>
      </c>
      <c r="U37" s="37">
        <f t="shared" si="6"/>
        <v>141.12306068601583</v>
      </c>
    </row>
    <row r="38" spans="1:21" ht="13.5" customHeight="1" x14ac:dyDescent="0.3">
      <c r="A38" s="19"/>
      <c r="C38" s="31">
        <v>26</v>
      </c>
      <c r="D38" s="1" t="s">
        <v>34</v>
      </c>
      <c r="E38" s="20">
        <v>151.4</v>
      </c>
      <c r="F38" s="20">
        <v>103.7</v>
      </c>
      <c r="G38" s="20">
        <v>88.14</v>
      </c>
      <c r="I38" s="20">
        <f t="shared" si="5"/>
        <v>114.47637130801687</v>
      </c>
      <c r="J38" s="45">
        <f>(I38/'AAU 21-22'!I36)-1</f>
        <v>-2.2684768141238765E-2</v>
      </c>
      <c r="K38" s="18"/>
      <c r="M38" s="38">
        <f>352+212</f>
        <v>564</v>
      </c>
      <c r="N38" s="38">
        <f>267+248</f>
        <v>515</v>
      </c>
      <c r="O38" s="38">
        <f>243+337</f>
        <v>580</v>
      </c>
      <c r="P38" s="36">
        <f t="shared" si="0"/>
        <v>85389.6</v>
      </c>
      <c r="Q38" s="36">
        <f t="shared" si="0"/>
        <v>53405.5</v>
      </c>
      <c r="R38" s="36">
        <f t="shared" si="0"/>
        <v>51121.2</v>
      </c>
      <c r="S38" s="36">
        <f t="shared" si="1"/>
        <v>1659</v>
      </c>
      <c r="T38" s="36">
        <f t="shared" si="2"/>
        <v>189916.3</v>
      </c>
      <c r="U38" s="37">
        <f t="shared" si="6"/>
        <v>114.47637130801687</v>
      </c>
    </row>
    <row r="39" spans="1:21" ht="13.5" customHeight="1" x14ac:dyDescent="0.3">
      <c r="A39" s="19"/>
      <c r="C39" s="31">
        <v>27</v>
      </c>
      <c r="D39" s="1" t="s">
        <v>35</v>
      </c>
      <c r="E39" s="20">
        <v>160.30000000000001</v>
      </c>
      <c r="F39" s="20">
        <v>114.4</v>
      </c>
      <c r="G39" s="20">
        <v>100.5</v>
      </c>
      <c r="I39" s="20">
        <f t="shared" si="5"/>
        <v>129.0061942959002</v>
      </c>
      <c r="J39" s="45">
        <f>(I39/'AAU 21-22'!I37)-1</f>
        <v>4.0249222997567946E-2</v>
      </c>
      <c r="K39" s="18"/>
      <c r="M39" s="38">
        <f>705+225</f>
        <v>930</v>
      </c>
      <c r="N39" s="38">
        <f>354+247</f>
        <v>601</v>
      </c>
      <c r="O39" s="38">
        <f>412+301</f>
        <v>713</v>
      </c>
      <c r="P39" s="36">
        <f t="shared" si="0"/>
        <v>149079</v>
      </c>
      <c r="Q39" s="36">
        <f t="shared" si="0"/>
        <v>68754.400000000009</v>
      </c>
      <c r="R39" s="36">
        <f t="shared" si="0"/>
        <v>71656.5</v>
      </c>
      <c r="S39" s="36">
        <f t="shared" si="1"/>
        <v>2244</v>
      </c>
      <c r="T39" s="36">
        <f t="shared" si="2"/>
        <v>289489.90000000002</v>
      </c>
      <c r="U39" s="37">
        <f t="shared" si="6"/>
        <v>129.0061942959002</v>
      </c>
    </row>
    <row r="40" spans="1:21" ht="13.5" customHeight="1" x14ac:dyDescent="0.3">
      <c r="A40" s="19"/>
      <c r="C40" s="31">
        <v>28</v>
      </c>
      <c r="D40" s="1" t="s">
        <v>36</v>
      </c>
      <c r="E40" s="20">
        <v>185.4</v>
      </c>
      <c r="F40" s="20">
        <v>120.2</v>
      </c>
      <c r="G40" s="20">
        <v>93.4</v>
      </c>
      <c r="I40" s="20">
        <f t="shared" si="5"/>
        <v>137.26931652932623</v>
      </c>
      <c r="J40" s="45">
        <f>(I40/'AAU 21-22'!I38)-1</f>
        <v>2.2187090719309577E-2</v>
      </c>
      <c r="K40" s="18"/>
      <c r="M40" s="38">
        <f>552+275</f>
        <v>827</v>
      </c>
      <c r="N40" s="39">
        <f>230+308</f>
        <v>538</v>
      </c>
      <c r="O40" s="38">
        <f>302+396</f>
        <v>698</v>
      </c>
      <c r="P40" s="36">
        <f t="shared" si="0"/>
        <v>153325.80000000002</v>
      </c>
      <c r="Q40" s="36">
        <f t="shared" si="0"/>
        <v>64667.6</v>
      </c>
      <c r="R40" s="36">
        <f t="shared" si="0"/>
        <v>65193.200000000004</v>
      </c>
      <c r="S40" s="36">
        <f t="shared" si="1"/>
        <v>2063</v>
      </c>
      <c r="T40" s="36">
        <f t="shared" si="2"/>
        <v>283186.60000000003</v>
      </c>
      <c r="U40" s="37">
        <f t="shared" si="6"/>
        <v>137.26931652932623</v>
      </c>
    </row>
    <row r="41" spans="1:21" ht="13.5" hidden="1" customHeight="1" x14ac:dyDescent="0.3">
      <c r="A41" s="19"/>
      <c r="B41" s="49"/>
      <c r="D41" s="1" t="s">
        <v>125</v>
      </c>
      <c r="E41" s="20">
        <v>141</v>
      </c>
      <c r="F41" s="20">
        <v>102</v>
      </c>
      <c r="G41" s="20">
        <v>92.1</v>
      </c>
      <c r="I41" s="20">
        <f>U41</f>
        <v>115.47203647416413</v>
      </c>
      <c r="J41" s="45"/>
      <c r="K41" s="18"/>
      <c r="M41" s="38">
        <f>267+127</f>
        <v>394</v>
      </c>
      <c r="N41" s="39">
        <f>208+176</f>
        <v>384</v>
      </c>
      <c r="O41" s="38">
        <f>104+105</f>
        <v>209</v>
      </c>
      <c r="P41" s="36">
        <f t="shared" ref="P41" si="7">E41*M41</f>
        <v>55554</v>
      </c>
      <c r="Q41" s="36">
        <f t="shared" ref="Q41" si="8">F41*N41</f>
        <v>39168</v>
      </c>
      <c r="R41" s="36">
        <f t="shared" ref="R41" si="9">G41*O41</f>
        <v>19248.899999999998</v>
      </c>
      <c r="S41" s="36">
        <f t="shared" ref="S41" si="10">M41+N41+O41</f>
        <v>987</v>
      </c>
      <c r="T41" s="36">
        <f t="shared" ref="T41" si="11">P41+Q41+R41</f>
        <v>113970.9</v>
      </c>
      <c r="U41" s="37">
        <f t="shared" ref="U41" si="12">T41/S41</f>
        <v>115.47203647416413</v>
      </c>
    </row>
    <row r="42" spans="1:21" ht="13.5" customHeight="1" x14ac:dyDescent="0.3">
      <c r="A42" s="19"/>
      <c r="C42" s="31">
        <v>29</v>
      </c>
      <c r="D42" s="1" t="s">
        <v>46</v>
      </c>
      <c r="E42" s="20">
        <v>156.1</v>
      </c>
      <c r="F42" s="20">
        <v>106.8</v>
      </c>
      <c r="G42" s="20">
        <v>84.2</v>
      </c>
      <c r="I42" s="20">
        <f t="shared" si="5"/>
        <v>114.61460580912863</v>
      </c>
      <c r="J42" s="45">
        <f>(I42/'AAU 21-22'!I39)-1</f>
        <v>1.5852230156953251E-2</v>
      </c>
      <c r="K42" s="18"/>
      <c r="M42" s="38">
        <f>264+120</f>
        <v>384</v>
      </c>
      <c r="N42" s="38">
        <f>223+177</f>
        <v>400</v>
      </c>
      <c r="O42" s="38">
        <f>209+212</f>
        <v>421</v>
      </c>
      <c r="P42" s="36">
        <f t="shared" si="0"/>
        <v>59942.399999999994</v>
      </c>
      <c r="Q42" s="36">
        <f t="shared" si="0"/>
        <v>42720</v>
      </c>
      <c r="R42" s="36">
        <f t="shared" si="0"/>
        <v>35448.200000000004</v>
      </c>
      <c r="S42" s="36">
        <f t="shared" si="1"/>
        <v>1205</v>
      </c>
      <c r="T42" s="36">
        <f t="shared" si="2"/>
        <v>138110.6</v>
      </c>
      <c r="U42" s="37">
        <f t="shared" si="6"/>
        <v>114.61460580912863</v>
      </c>
    </row>
    <row r="43" spans="1:21" ht="13.5" customHeight="1" x14ac:dyDescent="0.3">
      <c r="A43" s="19"/>
      <c r="C43" s="31">
        <v>30</v>
      </c>
      <c r="D43" s="1" t="s">
        <v>47</v>
      </c>
      <c r="E43" s="20">
        <v>179.2</v>
      </c>
      <c r="F43" s="20">
        <v>123.6</v>
      </c>
      <c r="G43" s="20">
        <v>100</v>
      </c>
      <c r="I43" s="20">
        <f t="shared" si="5"/>
        <v>142.32625152625153</v>
      </c>
      <c r="J43" s="45">
        <f>(I43/'AAU 21-22'!I40)-1</f>
        <v>4.629216670139269E-2</v>
      </c>
      <c r="K43" s="18"/>
      <c r="M43" s="38">
        <f>260+88</f>
        <v>348</v>
      </c>
      <c r="N43" s="38">
        <f>182+119</f>
        <v>301</v>
      </c>
      <c r="O43" s="38">
        <f>84+86</f>
        <v>170</v>
      </c>
      <c r="P43" s="36">
        <f t="shared" si="0"/>
        <v>62361.599999999999</v>
      </c>
      <c r="Q43" s="36">
        <f t="shared" si="0"/>
        <v>37203.599999999999</v>
      </c>
      <c r="R43" s="36">
        <f t="shared" si="0"/>
        <v>17000</v>
      </c>
      <c r="S43" s="36">
        <f t="shared" si="1"/>
        <v>819</v>
      </c>
      <c r="T43" s="36">
        <f t="shared" si="2"/>
        <v>116565.2</v>
      </c>
      <c r="U43" s="37">
        <f t="shared" si="6"/>
        <v>142.32625152625153</v>
      </c>
    </row>
    <row r="44" spans="1:21" ht="13.5" customHeight="1" x14ac:dyDescent="0.3">
      <c r="A44" s="19"/>
      <c r="C44" s="31">
        <v>31</v>
      </c>
      <c r="D44" s="1" t="s">
        <v>48</v>
      </c>
      <c r="E44" s="20">
        <v>201.9</v>
      </c>
      <c r="F44" s="20">
        <v>135.80000000000001</v>
      </c>
      <c r="G44" s="20">
        <v>119.6</v>
      </c>
      <c r="I44" s="20">
        <f t="shared" si="5"/>
        <v>166.42700329308451</v>
      </c>
      <c r="J44" s="45">
        <f>(I44/'AAU 21-22'!I41)-1</f>
        <v>4.2924094061723039E-2</v>
      </c>
      <c r="K44" s="18"/>
      <c r="M44" s="38">
        <f>660+282</f>
        <v>942</v>
      </c>
      <c r="N44" s="38">
        <f>268+213</f>
        <v>481</v>
      </c>
      <c r="O44" s="38">
        <f>215+184</f>
        <v>399</v>
      </c>
      <c r="P44" s="36">
        <f t="shared" si="0"/>
        <v>190189.80000000002</v>
      </c>
      <c r="Q44" s="36">
        <f t="shared" si="0"/>
        <v>65319.8</v>
      </c>
      <c r="R44" s="36">
        <f t="shared" si="0"/>
        <v>47720.399999999994</v>
      </c>
      <c r="S44" s="36">
        <f t="shared" si="1"/>
        <v>1822</v>
      </c>
      <c r="T44" s="36">
        <f t="shared" si="2"/>
        <v>303230</v>
      </c>
      <c r="U44" s="37">
        <f t="shared" si="6"/>
        <v>166.42700329308451</v>
      </c>
    </row>
    <row r="45" spans="1:21" ht="13.5" customHeight="1" x14ac:dyDescent="0.3">
      <c r="A45" s="19"/>
      <c r="C45" s="31">
        <v>32</v>
      </c>
      <c r="D45" s="1" t="s">
        <v>102</v>
      </c>
      <c r="E45" s="20">
        <v>161.5</v>
      </c>
      <c r="F45" s="20">
        <v>111</v>
      </c>
      <c r="G45" s="20">
        <v>104.1</v>
      </c>
      <c r="I45" s="20">
        <f t="shared" si="5"/>
        <v>136.4382256297919</v>
      </c>
      <c r="J45" s="45">
        <f>(I45/'AAU 21-22'!I42)-1</f>
        <v>2.625189632117908E-2</v>
      </c>
      <c r="K45" s="18"/>
      <c r="M45" s="38">
        <f>770+202</f>
        <v>972</v>
      </c>
      <c r="N45" s="38">
        <f>295+177</f>
        <v>472</v>
      </c>
      <c r="O45" s="38">
        <f>218+164</f>
        <v>382</v>
      </c>
      <c r="P45" s="36">
        <f t="shared" si="0"/>
        <v>156978</v>
      </c>
      <c r="Q45" s="36">
        <f t="shared" si="0"/>
        <v>52392</v>
      </c>
      <c r="R45" s="36">
        <f t="shared" si="0"/>
        <v>39766.199999999997</v>
      </c>
      <c r="S45" s="36">
        <f t="shared" si="1"/>
        <v>1826</v>
      </c>
      <c r="T45" s="36">
        <f t="shared" si="2"/>
        <v>249136.2</v>
      </c>
      <c r="U45" s="37">
        <f t="shared" si="6"/>
        <v>136.4382256297919</v>
      </c>
    </row>
    <row r="46" spans="1:21" ht="13.5" customHeight="1" x14ac:dyDescent="0.3">
      <c r="A46" s="19"/>
      <c r="C46" s="31">
        <v>33</v>
      </c>
      <c r="D46" s="1" t="s">
        <v>114</v>
      </c>
      <c r="E46" s="20">
        <v>144.69999999999999</v>
      </c>
      <c r="F46" s="20">
        <v>104.9</v>
      </c>
      <c r="G46" s="20">
        <v>97.1</v>
      </c>
      <c r="I46" s="20">
        <f t="shared" si="5"/>
        <v>119.22221198156682</v>
      </c>
      <c r="J46" s="45">
        <f>(I46/'AAU 21-22'!I43)-1</f>
        <v>5.7709341612455223E-2</v>
      </c>
      <c r="K46" s="18"/>
      <c r="M46" s="38">
        <f>315+136</f>
        <v>451</v>
      </c>
      <c r="N46" s="38">
        <f>187+138</f>
        <v>325</v>
      </c>
      <c r="O46" s="38">
        <f>178+131</f>
        <v>309</v>
      </c>
      <c r="P46" s="36">
        <f t="shared" si="0"/>
        <v>65259.7</v>
      </c>
      <c r="Q46" s="36">
        <f t="shared" si="0"/>
        <v>34092.5</v>
      </c>
      <c r="R46" s="36">
        <f t="shared" si="0"/>
        <v>30003.899999999998</v>
      </c>
      <c r="S46" s="36">
        <f t="shared" si="1"/>
        <v>1085</v>
      </c>
      <c r="T46" s="36">
        <f t="shared" si="2"/>
        <v>129356.09999999999</v>
      </c>
      <c r="U46" s="37">
        <f t="shared" si="6"/>
        <v>119.22221198156682</v>
      </c>
    </row>
    <row r="47" spans="1:21" ht="13.5" customHeight="1" x14ac:dyDescent="0.3">
      <c r="A47" s="19"/>
      <c r="C47" s="31">
        <v>34</v>
      </c>
      <c r="D47" s="1" t="s">
        <v>38</v>
      </c>
      <c r="E47" s="20">
        <v>203.5</v>
      </c>
      <c r="F47" s="20">
        <v>129.80000000000001</v>
      </c>
      <c r="G47" s="20">
        <v>104.4</v>
      </c>
      <c r="I47" s="20">
        <f t="shared" si="5"/>
        <v>153.00956284153008</v>
      </c>
      <c r="J47" s="45">
        <f>(I47/'AAU 21-22'!I44)-1</f>
        <v>4.0691886841867753E-2</v>
      </c>
      <c r="K47" s="18"/>
      <c r="M47" s="38">
        <f>425+177</f>
        <v>602</v>
      </c>
      <c r="N47" s="38">
        <f>234+219</f>
        <v>453</v>
      </c>
      <c r="O47" s="38">
        <f>209+200</f>
        <v>409</v>
      </c>
      <c r="P47" s="36">
        <f t="shared" si="0"/>
        <v>122507</v>
      </c>
      <c r="Q47" s="36">
        <f t="shared" si="0"/>
        <v>58799.400000000009</v>
      </c>
      <c r="R47" s="36">
        <f t="shared" si="0"/>
        <v>42699.600000000006</v>
      </c>
      <c r="S47" s="36">
        <f t="shared" si="1"/>
        <v>1464</v>
      </c>
      <c r="T47" s="36">
        <f t="shared" si="2"/>
        <v>224006.00000000003</v>
      </c>
      <c r="U47" s="37">
        <f t="shared" si="6"/>
        <v>153.00956284153008</v>
      </c>
    </row>
    <row r="48" spans="1:21" ht="13.5" customHeight="1" x14ac:dyDescent="0.3">
      <c r="A48" s="19"/>
      <c r="C48" s="31">
        <v>35</v>
      </c>
      <c r="D48" s="1" t="s">
        <v>39</v>
      </c>
      <c r="E48" s="20">
        <v>162.9</v>
      </c>
      <c r="F48" s="20">
        <v>117.6</v>
      </c>
      <c r="G48" s="20">
        <v>104.4</v>
      </c>
      <c r="I48" s="20">
        <f t="shared" si="5"/>
        <v>134.68306962025318</v>
      </c>
      <c r="J48" s="45">
        <f>(I48/'AAU 21-22'!I45)-1</f>
        <v>4.0035761143202286E-2</v>
      </c>
      <c r="K48" s="18"/>
      <c r="M48" s="38">
        <f>517+330</f>
        <v>847</v>
      </c>
      <c r="N48" s="38">
        <f>304+292</f>
        <v>596</v>
      </c>
      <c r="O48" s="38">
        <f>196+257</f>
        <v>453</v>
      </c>
      <c r="P48" s="36">
        <f t="shared" si="0"/>
        <v>137976.30000000002</v>
      </c>
      <c r="Q48" s="36">
        <f t="shared" si="0"/>
        <v>70089.599999999991</v>
      </c>
      <c r="R48" s="36">
        <f t="shared" si="0"/>
        <v>47293.200000000004</v>
      </c>
      <c r="S48" s="36">
        <f t="shared" si="1"/>
        <v>1896</v>
      </c>
      <c r="T48" s="36">
        <f t="shared" si="2"/>
        <v>255359.10000000003</v>
      </c>
      <c r="U48" s="37">
        <f t="shared" si="6"/>
        <v>134.68306962025318</v>
      </c>
    </row>
    <row r="49" spans="1:21" ht="13.5" customHeight="1" x14ac:dyDescent="0.3">
      <c r="A49" s="19"/>
      <c r="C49" s="31">
        <v>36</v>
      </c>
      <c r="D49" s="1" t="s">
        <v>40</v>
      </c>
      <c r="E49" s="20">
        <v>173.5</v>
      </c>
      <c r="F49" s="20">
        <v>127.1</v>
      </c>
      <c r="G49" s="20">
        <v>105.8</v>
      </c>
      <c r="I49" s="20">
        <f t="shared" si="5"/>
        <v>144.71041785918717</v>
      </c>
      <c r="J49" s="45">
        <f>(I49/'AAU 21-22'!I46)-1</f>
        <v>2.4325611174632389E-2</v>
      </c>
      <c r="K49" s="18"/>
      <c r="M49" s="38">
        <f>592+307</f>
        <v>899</v>
      </c>
      <c r="N49" s="38">
        <f>177+157</f>
        <v>334</v>
      </c>
      <c r="O49" s="38">
        <f>248+266</f>
        <v>514</v>
      </c>
      <c r="P49" s="36">
        <f t="shared" si="0"/>
        <v>155976.5</v>
      </c>
      <c r="Q49" s="36">
        <f t="shared" si="0"/>
        <v>42451.4</v>
      </c>
      <c r="R49" s="36">
        <f t="shared" si="0"/>
        <v>54381.2</v>
      </c>
      <c r="S49" s="36">
        <f t="shared" si="1"/>
        <v>1747</v>
      </c>
      <c r="T49" s="36">
        <f t="shared" si="2"/>
        <v>252809.09999999998</v>
      </c>
      <c r="U49" s="37">
        <f t="shared" si="6"/>
        <v>144.71041785918717</v>
      </c>
    </row>
    <row r="50" spans="1:21" ht="13.5" customHeight="1" x14ac:dyDescent="0.3">
      <c r="A50" s="19"/>
      <c r="K50" s="18"/>
    </row>
    <row r="51" spans="1:21" ht="13.5" customHeight="1" x14ac:dyDescent="0.3">
      <c r="A51" s="19"/>
      <c r="D51" s="44" t="s">
        <v>54</v>
      </c>
      <c r="E51" s="41">
        <f>P51/M51</f>
        <v>176.84544321486575</v>
      </c>
      <c r="F51" s="41">
        <f t="shared" ref="F51:G51" si="13">Q51/N51</f>
        <v>117.04359141184123</v>
      </c>
      <c r="G51" s="41">
        <f t="shared" si="13"/>
        <v>101.60660576247361</v>
      </c>
      <c r="H51" s="40"/>
      <c r="I51" s="41">
        <f>U51</f>
        <v>139.77066924132325</v>
      </c>
      <c r="J51" s="46">
        <f>(I51/'AAU 21-22'!I48)-1</f>
        <v>3.8409606448273292E-2</v>
      </c>
      <c r="K51" s="18"/>
      <c r="M51" s="39">
        <f>SUM(M11:M49)</f>
        <v>26477</v>
      </c>
      <c r="N51" s="39">
        <f t="shared" ref="N51" si="14">SUM(N11:N49)</f>
        <v>16907</v>
      </c>
      <c r="O51" s="39">
        <f>SUM(O11:O49)</f>
        <v>15653</v>
      </c>
      <c r="P51" s="39">
        <f>SUM(P11:P49)</f>
        <v>4682336.8000000007</v>
      </c>
      <c r="Q51" s="39">
        <f>SUM(Q11:Q49)</f>
        <v>1978855.9999999998</v>
      </c>
      <c r="R51" s="39">
        <f t="shared" ref="R51" si="15">SUM(R11:R49)</f>
        <v>1590448.1999999993</v>
      </c>
      <c r="S51" s="36">
        <f>M51+N51+O51</f>
        <v>59037</v>
      </c>
      <c r="T51" s="36">
        <f>P51+Q51+R51</f>
        <v>8251641</v>
      </c>
      <c r="U51" s="37">
        <f>T51/S51</f>
        <v>139.77066924132325</v>
      </c>
    </row>
    <row r="52" spans="1:21" ht="13.5" customHeight="1" x14ac:dyDescent="0.3">
      <c r="A52" s="19"/>
      <c r="D52" s="44" t="s">
        <v>55</v>
      </c>
      <c r="E52" s="41">
        <f>MEDIAN(E11:E49)</f>
        <v>167</v>
      </c>
      <c r="F52" s="41">
        <f t="shared" ref="F52:G52" si="16">MEDIAN(F11:F49)</f>
        <v>115</v>
      </c>
      <c r="G52" s="41">
        <f t="shared" si="16"/>
        <v>104.1</v>
      </c>
      <c r="H52" s="40"/>
      <c r="I52" s="41">
        <f>MEDIAN(I11:I49)</f>
        <v>134.68306962025318</v>
      </c>
      <c r="J52" s="46">
        <f>(I52/'AAU 21-22'!I49)-1</f>
        <v>3.7857700935404859E-2</v>
      </c>
      <c r="K52" s="18"/>
    </row>
    <row r="53" spans="1:21" ht="13.5" customHeight="1" x14ac:dyDescent="0.3">
      <c r="A53" s="19"/>
      <c r="B53" s="22"/>
      <c r="C53" s="33"/>
      <c r="D53" s="22"/>
      <c r="E53" s="22"/>
      <c r="F53" s="22"/>
      <c r="G53" s="22"/>
      <c r="H53" s="22"/>
      <c r="I53" s="22"/>
      <c r="J53" s="22"/>
      <c r="K53" s="18"/>
    </row>
    <row r="54" spans="1:21" ht="13.5" customHeight="1" x14ac:dyDescent="0.3">
      <c r="A54" s="19"/>
      <c r="K54" s="18"/>
    </row>
    <row r="55" spans="1:21" ht="13.5" customHeight="1" x14ac:dyDescent="0.3">
      <c r="A55" s="19"/>
      <c r="B55" s="16" t="s">
        <v>99</v>
      </c>
      <c r="K55" s="18"/>
    </row>
    <row r="56" spans="1:21" ht="13.5" customHeight="1" x14ac:dyDescent="0.3">
      <c r="A56" s="19"/>
      <c r="K56" s="18"/>
    </row>
    <row r="57" spans="1:21" ht="13.5" customHeight="1" x14ac:dyDescent="0.3">
      <c r="A57" s="21"/>
      <c r="B57" s="42" t="s">
        <v>56</v>
      </c>
      <c r="C57" s="33"/>
      <c r="D57" s="22"/>
      <c r="E57" s="22"/>
      <c r="F57" s="22"/>
      <c r="G57" s="22"/>
      <c r="H57" s="22"/>
      <c r="I57" s="22"/>
      <c r="J57" s="43" t="s">
        <v>122</v>
      </c>
      <c r="K57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U4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3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107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2</v>
      </c>
      <c r="D11" s="1" t="s">
        <v>12</v>
      </c>
      <c r="E11" s="20">
        <v>38.200000000000003</v>
      </c>
      <c r="F11" s="20">
        <v>26.4</v>
      </c>
      <c r="G11" s="20">
        <v>22.2</v>
      </c>
      <c r="I11" s="20">
        <f t="shared" ref="I11:I36" si="0">U11</f>
        <v>33.450454545454548</v>
      </c>
      <c r="J11" s="45"/>
      <c r="K11" s="18"/>
      <c r="M11" s="38">
        <f>832+35</f>
        <v>867</v>
      </c>
      <c r="N11" s="38">
        <f>199+34</f>
        <v>233</v>
      </c>
      <c r="O11" s="38">
        <f>162+58</f>
        <v>220</v>
      </c>
      <c r="P11" s="36">
        <f t="shared" ref="P11:R34" si="1">E11*M11</f>
        <v>33119.4</v>
      </c>
      <c r="Q11" s="36">
        <f t="shared" si="1"/>
        <v>6151.2</v>
      </c>
      <c r="R11" s="36">
        <f t="shared" si="1"/>
        <v>4884</v>
      </c>
      <c r="S11" s="36">
        <f t="shared" ref="S11:S34" si="2">M11+N11+O11</f>
        <v>1320</v>
      </c>
      <c r="T11" s="36">
        <f t="shared" ref="T11:T34" si="3">P11+Q11+R11</f>
        <v>44154.6</v>
      </c>
      <c r="U11" s="37">
        <f t="shared" ref="U11:U34" si="4">T11/S11</f>
        <v>33.450454545454548</v>
      </c>
    </row>
    <row r="12" spans="1:21" ht="13.5" customHeight="1" x14ac:dyDescent="0.3">
      <c r="A12" s="19"/>
      <c r="C12" s="31">
        <v>5</v>
      </c>
      <c r="D12" s="1" t="s">
        <v>15</v>
      </c>
      <c r="E12" s="20">
        <v>37.299999999999997</v>
      </c>
      <c r="F12" s="20">
        <v>26.1</v>
      </c>
      <c r="G12" s="20">
        <v>22</v>
      </c>
      <c r="I12" s="20">
        <f t="shared" si="0"/>
        <v>31.913662374821168</v>
      </c>
      <c r="J12" s="45"/>
      <c r="K12" s="18"/>
      <c r="M12" s="38">
        <f>777+53</f>
        <v>830</v>
      </c>
      <c r="N12" s="38">
        <f>247+36</f>
        <v>283</v>
      </c>
      <c r="O12" s="38">
        <f>185+100</f>
        <v>285</v>
      </c>
      <c r="P12" s="36">
        <f t="shared" si="1"/>
        <v>30958.999999999996</v>
      </c>
      <c r="Q12" s="36">
        <f t="shared" si="1"/>
        <v>7386.3</v>
      </c>
      <c r="R12" s="36">
        <f t="shared" si="1"/>
        <v>6270</v>
      </c>
      <c r="S12" s="36">
        <f t="shared" si="2"/>
        <v>1398</v>
      </c>
      <c r="T12" s="36">
        <f t="shared" si="3"/>
        <v>44615.299999999996</v>
      </c>
      <c r="U12" s="37">
        <f t="shared" si="4"/>
        <v>31.913662374821168</v>
      </c>
    </row>
    <row r="13" spans="1:21" ht="13.5" customHeight="1" x14ac:dyDescent="0.3">
      <c r="A13" s="19"/>
      <c r="C13" s="31">
        <v>8</v>
      </c>
      <c r="D13" s="1" t="s">
        <v>18</v>
      </c>
      <c r="E13" s="20">
        <v>29.4</v>
      </c>
      <c r="F13" s="20">
        <v>22.6</v>
      </c>
      <c r="G13" s="20">
        <v>18.899999999999999</v>
      </c>
      <c r="I13" s="20">
        <f t="shared" si="0"/>
        <v>25.584890426758935</v>
      </c>
      <c r="J13" s="45"/>
      <c r="K13" s="18"/>
      <c r="M13" s="38">
        <f>449+17</f>
        <v>466</v>
      </c>
      <c r="N13" s="38">
        <f>222+22</f>
        <v>244</v>
      </c>
      <c r="O13" s="38">
        <f>103+54</f>
        <v>157</v>
      </c>
      <c r="P13" s="36">
        <f t="shared" si="1"/>
        <v>13700.4</v>
      </c>
      <c r="Q13" s="36">
        <f t="shared" si="1"/>
        <v>5514.4000000000005</v>
      </c>
      <c r="R13" s="36">
        <f t="shared" si="1"/>
        <v>2967.2999999999997</v>
      </c>
      <c r="S13" s="36">
        <f t="shared" si="2"/>
        <v>867</v>
      </c>
      <c r="T13" s="36">
        <f t="shared" si="3"/>
        <v>22182.1</v>
      </c>
      <c r="U13" s="37">
        <f t="shared" si="4"/>
        <v>25.584890426758935</v>
      </c>
    </row>
    <row r="14" spans="1:21" ht="13.5" customHeight="1" x14ac:dyDescent="0.3">
      <c r="A14" s="19"/>
      <c r="C14" s="1">
        <v>10</v>
      </c>
      <c r="D14" s="1" t="s">
        <v>21</v>
      </c>
      <c r="E14" s="20">
        <v>34.799999999999997</v>
      </c>
      <c r="F14" s="20">
        <v>24.7</v>
      </c>
      <c r="G14" s="20">
        <v>20.9</v>
      </c>
      <c r="I14" s="20">
        <f t="shared" si="0"/>
        <v>28.628725490196075</v>
      </c>
      <c r="J14" s="45"/>
      <c r="K14" s="18"/>
      <c r="M14" s="38">
        <f>942+34</f>
        <v>976</v>
      </c>
      <c r="N14" s="38">
        <f>518+61</f>
        <v>579</v>
      </c>
      <c r="O14" s="38">
        <f>397+88</f>
        <v>485</v>
      </c>
      <c r="P14" s="36">
        <f t="shared" si="1"/>
        <v>33964.799999999996</v>
      </c>
      <c r="Q14" s="36">
        <f t="shared" si="1"/>
        <v>14301.3</v>
      </c>
      <c r="R14" s="36">
        <f t="shared" si="1"/>
        <v>10136.5</v>
      </c>
      <c r="S14" s="36">
        <f t="shared" si="2"/>
        <v>2040</v>
      </c>
      <c r="T14" s="36">
        <f t="shared" si="3"/>
        <v>58402.599999999991</v>
      </c>
      <c r="U14" s="37">
        <f t="shared" si="4"/>
        <v>28.628725490196075</v>
      </c>
    </row>
    <row r="15" spans="1:21" ht="13.5" customHeight="1" x14ac:dyDescent="0.3">
      <c r="A15" s="19"/>
      <c r="C15" s="31">
        <v>11</v>
      </c>
      <c r="D15" s="1" t="s">
        <v>22</v>
      </c>
      <c r="E15" s="20">
        <v>33.700000000000003</v>
      </c>
      <c r="F15" s="20">
        <v>24.9</v>
      </c>
      <c r="G15" s="20">
        <v>20.399999999999999</v>
      </c>
      <c r="I15" s="20">
        <f t="shared" si="0"/>
        <v>27.861447811447814</v>
      </c>
      <c r="J15" s="45"/>
      <c r="K15" s="18"/>
      <c r="M15" s="38">
        <f>510+34</f>
        <v>544</v>
      </c>
      <c r="N15" s="38">
        <f>308+54</f>
        <v>362</v>
      </c>
      <c r="O15" s="38">
        <f>199+83</f>
        <v>282</v>
      </c>
      <c r="P15" s="36">
        <f t="shared" si="1"/>
        <v>18332.800000000003</v>
      </c>
      <c r="Q15" s="36">
        <f t="shared" si="1"/>
        <v>9013.7999999999993</v>
      </c>
      <c r="R15" s="36">
        <f t="shared" si="1"/>
        <v>5752.7999999999993</v>
      </c>
      <c r="S15" s="36">
        <f t="shared" si="2"/>
        <v>1188</v>
      </c>
      <c r="T15" s="36">
        <f t="shared" si="3"/>
        <v>33099.4</v>
      </c>
      <c r="U15" s="37">
        <f t="shared" si="4"/>
        <v>27.861447811447814</v>
      </c>
    </row>
    <row r="16" spans="1:21" ht="13.5" customHeight="1" x14ac:dyDescent="0.3">
      <c r="A16" s="19"/>
      <c r="C16" s="31">
        <v>12</v>
      </c>
      <c r="D16" s="1" t="s">
        <v>23</v>
      </c>
      <c r="E16" s="20">
        <v>33.5</v>
      </c>
      <c r="F16" s="20">
        <v>25.7</v>
      </c>
      <c r="G16" s="20">
        <v>20.7</v>
      </c>
      <c r="I16" s="20">
        <f t="shared" si="0"/>
        <v>27.445358649789032</v>
      </c>
      <c r="J16" s="45"/>
      <c r="K16" s="18"/>
      <c r="M16" s="38">
        <f>365+17</f>
        <v>382</v>
      </c>
      <c r="N16" s="38">
        <f>250+51</f>
        <v>301</v>
      </c>
      <c r="O16" s="38">
        <f>182+83</f>
        <v>265</v>
      </c>
      <c r="P16" s="36">
        <f t="shared" si="1"/>
        <v>12797</v>
      </c>
      <c r="Q16" s="36">
        <f t="shared" si="1"/>
        <v>7735.7</v>
      </c>
      <c r="R16" s="36">
        <f t="shared" si="1"/>
        <v>5485.5</v>
      </c>
      <c r="S16" s="36">
        <f t="shared" si="2"/>
        <v>948</v>
      </c>
      <c r="T16" s="36">
        <f t="shared" si="3"/>
        <v>26018.2</v>
      </c>
      <c r="U16" s="37">
        <f t="shared" si="4"/>
        <v>27.445358649789032</v>
      </c>
    </row>
    <row r="17" spans="1:21" ht="13.5" customHeight="1" x14ac:dyDescent="0.3">
      <c r="A17" s="19"/>
      <c r="C17" s="31">
        <v>13</v>
      </c>
      <c r="D17" s="1" t="s">
        <v>24</v>
      </c>
      <c r="E17" s="20">
        <v>32.1</v>
      </c>
      <c r="F17" s="20">
        <v>24.9</v>
      </c>
      <c r="G17" s="20">
        <v>20.2</v>
      </c>
      <c r="I17" s="20">
        <f t="shared" si="0"/>
        <v>26.289442815249267</v>
      </c>
      <c r="J17" s="45"/>
      <c r="K17" s="18"/>
      <c r="M17" s="38">
        <f>382+23</f>
        <v>405</v>
      </c>
      <c r="N17" s="38">
        <f>265+35</f>
        <v>300</v>
      </c>
      <c r="O17" s="38">
        <f>225+93</f>
        <v>318</v>
      </c>
      <c r="P17" s="36">
        <f t="shared" si="1"/>
        <v>13000.5</v>
      </c>
      <c r="Q17" s="36">
        <f t="shared" si="1"/>
        <v>7470</v>
      </c>
      <c r="R17" s="36">
        <f t="shared" si="1"/>
        <v>6423.5999999999995</v>
      </c>
      <c r="S17" s="36">
        <f t="shared" si="2"/>
        <v>1023</v>
      </c>
      <c r="T17" s="36">
        <f t="shared" si="3"/>
        <v>26894.1</v>
      </c>
      <c r="U17" s="37">
        <f t="shared" si="4"/>
        <v>26.289442815249267</v>
      </c>
    </row>
    <row r="18" spans="1:21" ht="13.5" customHeight="1" x14ac:dyDescent="0.3">
      <c r="A18" s="19"/>
      <c r="C18" s="31">
        <v>14</v>
      </c>
      <c r="D18" s="1" t="s">
        <v>25</v>
      </c>
      <c r="E18" s="20">
        <v>30.6</v>
      </c>
      <c r="F18" s="20">
        <v>23.2</v>
      </c>
      <c r="G18" s="20">
        <v>18.7</v>
      </c>
      <c r="I18" s="20">
        <f t="shared" si="0"/>
        <v>25.515826612903226</v>
      </c>
      <c r="J18" s="45"/>
      <c r="K18" s="18"/>
      <c r="M18" s="38">
        <f>432+25</f>
        <v>457</v>
      </c>
      <c r="N18" s="38">
        <f>253+41</f>
        <v>294</v>
      </c>
      <c r="O18" s="38">
        <f>170+71</f>
        <v>241</v>
      </c>
      <c r="P18" s="36">
        <f t="shared" si="1"/>
        <v>13984.2</v>
      </c>
      <c r="Q18" s="36">
        <f t="shared" si="1"/>
        <v>6820.8</v>
      </c>
      <c r="R18" s="36">
        <f t="shared" si="1"/>
        <v>4506.7</v>
      </c>
      <c r="S18" s="36">
        <f t="shared" si="2"/>
        <v>992</v>
      </c>
      <c r="T18" s="36">
        <f t="shared" si="3"/>
        <v>25311.7</v>
      </c>
      <c r="U18" s="37">
        <f t="shared" si="4"/>
        <v>25.515826612903226</v>
      </c>
    </row>
    <row r="19" spans="1:21" ht="13.5" customHeight="1" x14ac:dyDescent="0.3">
      <c r="A19" s="19"/>
      <c r="C19" s="31">
        <v>15</v>
      </c>
      <c r="D19" s="1" t="s">
        <v>26</v>
      </c>
      <c r="E19" s="20">
        <v>32.4</v>
      </c>
      <c r="F19" s="20">
        <v>24.3</v>
      </c>
      <c r="G19" s="20">
        <v>19.8</v>
      </c>
      <c r="I19" s="20">
        <f t="shared" si="0"/>
        <v>25.5937984496124</v>
      </c>
      <c r="J19" s="45"/>
      <c r="K19" s="18"/>
      <c r="M19" s="38">
        <f>357+29</f>
        <v>386</v>
      </c>
      <c r="N19" s="38">
        <f>355+59</f>
        <v>414</v>
      </c>
      <c r="O19" s="38">
        <f>251+110</f>
        <v>361</v>
      </c>
      <c r="P19" s="36">
        <f t="shared" si="1"/>
        <v>12506.4</v>
      </c>
      <c r="Q19" s="36">
        <f t="shared" si="1"/>
        <v>10060.200000000001</v>
      </c>
      <c r="R19" s="36">
        <f t="shared" si="1"/>
        <v>7147.8</v>
      </c>
      <c r="S19" s="36">
        <f t="shared" si="2"/>
        <v>1161</v>
      </c>
      <c r="T19" s="36">
        <f t="shared" si="3"/>
        <v>29714.399999999998</v>
      </c>
      <c r="U19" s="37">
        <f t="shared" si="4"/>
        <v>25.5937984496124</v>
      </c>
    </row>
    <row r="20" spans="1:21" ht="13.5" customHeight="1" x14ac:dyDescent="0.3">
      <c r="A20" s="19"/>
      <c r="C20" s="31">
        <v>16</v>
      </c>
      <c r="D20" s="1" t="s">
        <v>27</v>
      </c>
      <c r="E20" s="20">
        <v>38.700000000000003</v>
      </c>
      <c r="F20" s="20">
        <v>28</v>
      </c>
      <c r="G20" s="20">
        <v>22.9</v>
      </c>
      <c r="I20" s="20">
        <f t="shared" si="0"/>
        <v>33.072989564149786</v>
      </c>
      <c r="J20" s="45"/>
      <c r="K20" s="18"/>
      <c r="M20" s="38">
        <f>875+57</f>
        <v>932</v>
      </c>
      <c r="N20" s="38">
        <f>292+70</f>
        <v>362</v>
      </c>
      <c r="O20" s="38">
        <f>220+115</f>
        <v>335</v>
      </c>
      <c r="P20" s="36">
        <f t="shared" si="1"/>
        <v>36068.400000000001</v>
      </c>
      <c r="Q20" s="36">
        <f t="shared" si="1"/>
        <v>10136</v>
      </c>
      <c r="R20" s="36">
        <f t="shared" si="1"/>
        <v>7671.4999999999991</v>
      </c>
      <c r="S20" s="36">
        <f t="shared" si="2"/>
        <v>1629</v>
      </c>
      <c r="T20" s="36">
        <f t="shared" si="3"/>
        <v>53875.9</v>
      </c>
      <c r="U20" s="37">
        <f t="shared" si="4"/>
        <v>33.072989564149786</v>
      </c>
    </row>
    <row r="21" spans="1:21" ht="13.5" customHeight="1" x14ac:dyDescent="0.3">
      <c r="A21" s="19"/>
      <c r="C21" s="31">
        <v>17</v>
      </c>
      <c r="D21" s="1" t="s">
        <v>28</v>
      </c>
      <c r="E21" s="20">
        <v>33.1</v>
      </c>
      <c r="F21" s="20">
        <v>26.2</v>
      </c>
      <c r="G21" s="20">
        <v>22.1</v>
      </c>
      <c r="I21" s="20">
        <f t="shared" si="0"/>
        <v>28.747519582245435</v>
      </c>
      <c r="J21" s="45"/>
      <c r="K21" s="18"/>
      <c r="M21" s="38">
        <f>894+62</f>
        <v>956</v>
      </c>
      <c r="N21" s="38">
        <f>463+77</f>
        <v>540</v>
      </c>
      <c r="O21" s="38">
        <f>293+126</f>
        <v>419</v>
      </c>
      <c r="P21" s="36">
        <f t="shared" si="1"/>
        <v>31643.600000000002</v>
      </c>
      <c r="Q21" s="36">
        <f t="shared" si="1"/>
        <v>14148</v>
      </c>
      <c r="R21" s="36">
        <f t="shared" si="1"/>
        <v>9259.9000000000015</v>
      </c>
      <c r="S21" s="36">
        <f t="shared" si="2"/>
        <v>1915</v>
      </c>
      <c r="T21" s="36">
        <f t="shared" si="3"/>
        <v>55051.500000000007</v>
      </c>
      <c r="U21" s="37">
        <f t="shared" si="4"/>
        <v>28.747519582245435</v>
      </c>
    </row>
    <row r="22" spans="1:21" ht="13.5" customHeight="1" x14ac:dyDescent="0.3">
      <c r="A22" s="19"/>
      <c r="C22" s="31">
        <v>18</v>
      </c>
      <c r="D22" s="1" t="s">
        <v>29</v>
      </c>
      <c r="E22" s="20">
        <v>35.1</v>
      </c>
      <c r="F22" s="20">
        <v>26.3</v>
      </c>
      <c r="G22" s="20">
        <v>21.9</v>
      </c>
      <c r="I22" s="20">
        <f t="shared" si="0"/>
        <v>29.541826923076925</v>
      </c>
      <c r="J22" s="45"/>
      <c r="K22" s="18"/>
      <c r="M22" s="38">
        <f>768+48</f>
        <v>816</v>
      </c>
      <c r="N22" s="38">
        <f>371+71</f>
        <v>442</v>
      </c>
      <c r="O22" s="38">
        <f>281+125</f>
        <v>406</v>
      </c>
      <c r="P22" s="36">
        <f t="shared" si="1"/>
        <v>28641.600000000002</v>
      </c>
      <c r="Q22" s="36">
        <f t="shared" si="1"/>
        <v>11624.6</v>
      </c>
      <c r="R22" s="36">
        <f t="shared" si="1"/>
        <v>8891.4</v>
      </c>
      <c r="S22" s="36">
        <f t="shared" si="2"/>
        <v>1664</v>
      </c>
      <c r="T22" s="36">
        <f t="shared" si="3"/>
        <v>49157.600000000006</v>
      </c>
      <c r="U22" s="37">
        <f t="shared" si="4"/>
        <v>29.541826923076925</v>
      </c>
    </row>
    <row r="23" spans="1:21" ht="13.5" customHeight="1" x14ac:dyDescent="0.3">
      <c r="A23" s="19"/>
      <c r="C23" s="31">
        <v>19</v>
      </c>
      <c r="D23" s="24" t="s">
        <v>30</v>
      </c>
      <c r="E23" s="25">
        <v>28.2</v>
      </c>
      <c r="F23" s="25">
        <v>22.6</v>
      </c>
      <c r="G23" s="25">
        <v>19</v>
      </c>
      <c r="H23" s="24"/>
      <c r="I23" s="25">
        <f t="shared" si="0"/>
        <v>24.165753424657535</v>
      </c>
      <c r="J23" s="47"/>
      <c r="K23" s="18"/>
      <c r="M23" s="38">
        <f>358+20</f>
        <v>378</v>
      </c>
      <c r="N23" s="38">
        <f>255+36</f>
        <v>291</v>
      </c>
      <c r="O23" s="38">
        <f>149+58</f>
        <v>207</v>
      </c>
      <c r="P23" s="36">
        <f t="shared" si="1"/>
        <v>10659.6</v>
      </c>
      <c r="Q23" s="36">
        <f t="shared" si="1"/>
        <v>6576.6</v>
      </c>
      <c r="R23" s="36">
        <f t="shared" si="1"/>
        <v>3933</v>
      </c>
      <c r="S23" s="36">
        <f t="shared" si="2"/>
        <v>876</v>
      </c>
      <c r="T23" s="36">
        <f t="shared" si="3"/>
        <v>21169.200000000001</v>
      </c>
      <c r="U23" s="37">
        <f t="shared" si="4"/>
        <v>24.165753424657535</v>
      </c>
    </row>
    <row r="24" spans="1:21" ht="13.5" customHeight="1" x14ac:dyDescent="0.3">
      <c r="A24" s="19"/>
      <c r="C24" s="31">
        <v>20</v>
      </c>
      <c r="D24" s="1" t="s">
        <v>64</v>
      </c>
      <c r="E24" s="20">
        <v>28.7</v>
      </c>
      <c r="F24" s="20">
        <v>22.4</v>
      </c>
      <c r="G24" s="20">
        <v>18.7</v>
      </c>
      <c r="I24" s="20">
        <f>U24</f>
        <v>24.153374233128833</v>
      </c>
      <c r="J24" s="45"/>
      <c r="K24" s="18"/>
      <c r="M24" s="38">
        <f>457+25</f>
        <v>482</v>
      </c>
      <c r="N24" s="38">
        <f>325+54</f>
        <v>379</v>
      </c>
      <c r="O24" s="38">
        <f>203+77</f>
        <v>280</v>
      </c>
      <c r="P24" s="36">
        <f t="shared" si="1"/>
        <v>13833.4</v>
      </c>
      <c r="Q24" s="36">
        <f t="shared" si="1"/>
        <v>8489.6</v>
      </c>
      <c r="R24" s="36">
        <f t="shared" si="1"/>
        <v>5236</v>
      </c>
      <c r="S24" s="36">
        <f t="shared" si="2"/>
        <v>1141</v>
      </c>
      <c r="T24" s="36">
        <f t="shared" si="3"/>
        <v>27559</v>
      </c>
      <c r="U24" s="37">
        <f>T24/S24</f>
        <v>24.153374233128833</v>
      </c>
    </row>
    <row r="25" spans="1:21" ht="13.5" customHeight="1" x14ac:dyDescent="0.3">
      <c r="A25" s="19"/>
      <c r="C25" s="31">
        <v>21</v>
      </c>
      <c r="D25" s="1" t="s">
        <v>45</v>
      </c>
      <c r="E25" s="20">
        <v>35.700000000000003</v>
      </c>
      <c r="F25" s="20">
        <v>25.8</v>
      </c>
      <c r="G25" s="20">
        <v>21.8</v>
      </c>
      <c r="I25" s="20">
        <f t="shared" si="0"/>
        <v>29.593776371308017</v>
      </c>
      <c r="J25" s="45"/>
      <c r="K25" s="18"/>
      <c r="M25" s="38">
        <f>432+23</f>
        <v>455</v>
      </c>
      <c r="N25" s="38">
        <f>218+48</f>
        <v>266</v>
      </c>
      <c r="O25" s="38">
        <f>149+78</f>
        <v>227</v>
      </c>
      <c r="P25" s="36">
        <f t="shared" si="1"/>
        <v>16243.500000000002</v>
      </c>
      <c r="Q25" s="36">
        <f t="shared" si="1"/>
        <v>6862.8</v>
      </c>
      <c r="R25" s="36">
        <f t="shared" si="1"/>
        <v>4948.6000000000004</v>
      </c>
      <c r="S25" s="36">
        <f t="shared" si="2"/>
        <v>948</v>
      </c>
      <c r="T25" s="36">
        <f t="shared" si="3"/>
        <v>28054.9</v>
      </c>
      <c r="U25" s="37">
        <f t="shared" si="4"/>
        <v>29.593776371308017</v>
      </c>
    </row>
    <row r="26" spans="1:21" ht="13.5" customHeight="1" x14ac:dyDescent="0.3">
      <c r="A26" s="19"/>
      <c r="C26" s="31">
        <v>22</v>
      </c>
      <c r="D26" s="1" t="s">
        <v>31</v>
      </c>
      <c r="E26" s="20">
        <v>34.9</v>
      </c>
      <c r="F26" s="20">
        <v>26.5</v>
      </c>
      <c r="G26" s="20">
        <v>21.9</v>
      </c>
      <c r="I26" s="20">
        <f t="shared" si="0"/>
        <v>28.968674001158078</v>
      </c>
      <c r="J26" s="45"/>
      <c r="K26" s="18"/>
      <c r="M26" s="38">
        <f>724+36</f>
        <v>760</v>
      </c>
      <c r="N26" s="38">
        <f>438+68</f>
        <v>506</v>
      </c>
      <c r="O26" s="38">
        <f>346+115</f>
        <v>461</v>
      </c>
      <c r="P26" s="36">
        <f t="shared" si="1"/>
        <v>26524</v>
      </c>
      <c r="Q26" s="36">
        <f t="shared" si="1"/>
        <v>13409</v>
      </c>
      <c r="R26" s="36">
        <f t="shared" si="1"/>
        <v>10095.9</v>
      </c>
      <c r="S26" s="36">
        <f t="shared" si="2"/>
        <v>1727</v>
      </c>
      <c r="T26" s="36">
        <f t="shared" si="3"/>
        <v>50028.9</v>
      </c>
      <c r="U26" s="37">
        <f t="shared" si="4"/>
        <v>28.968674001158078</v>
      </c>
    </row>
    <row r="27" spans="1:21" ht="13.5" customHeight="1" x14ac:dyDescent="0.3">
      <c r="A27" s="19"/>
      <c r="C27" s="31">
        <v>23</v>
      </c>
      <c r="D27" s="1" t="s">
        <v>32</v>
      </c>
      <c r="E27" s="20">
        <v>33.1</v>
      </c>
      <c r="F27" s="20">
        <v>25.3</v>
      </c>
      <c r="G27" s="20">
        <v>20.8</v>
      </c>
      <c r="I27" s="20">
        <f t="shared" si="0"/>
        <v>27.33604294478528</v>
      </c>
      <c r="J27" s="45"/>
      <c r="K27" s="18"/>
      <c r="M27" s="38">
        <f>269+16</f>
        <v>285</v>
      </c>
      <c r="N27" s="38">
        <f>144+24</f>
        <v>168</v>
      </c>
      <c r="O27" s="38">
        <f>135+64</f>
        <v>199</v>
      </c>
      <c r="P27" s="36">
        <f t="shared" si="1"/>
        <v>9433.5</v>
      </c>
      <c r="Q27" s="36">
        <f t="shared" si="1"/>
        <v>4250.4000000000005</v>
      </c>
      <c r="R27" s="36">
        <f t="shared" si="1"/>
        <v>4139.2</v>
      </c>
      <c r="S27" s="36">
        <f t="shared" si="2"/>
        <v>652</v>
      </c>
      <c r="T27" s="36">
        <f t="shared" si="3"/>
        <v>17823.100000000002</v>
      </c>
      <c r="U27" s="37">
        <f t="shared" si="4"/>
        <v>27.33604294478528</v>
      </c>
    </row>
    <row r="28" spans="1:21" ht="13.5" customHeight="1" x14ac:dyDescent="0.3">
      <c r="A28" s="19"/>
      <c r="C28" s="31">
        <v>24</v>
      </c>
      <c r="D28" s="1" t="s">
        <v>33</v>
      </c>
      <c r="E28" s="20">
        <v>34.5</v>
      </c>
      <c r="F28" s="20">
        <v>26.2</v>
      </c>
      <c r="G28" s="20">
        <v>20.7</v>
      </c>
      <c r="I28" s="20">
        <f t="shared" si="0"/>
        <v>27.757420357420358</v>
      </c>
      <c r="J28" s="45"/>
      <c r="K28" s="18"/>
      <c r="M28" s="38">
        <f>463+25</f>
        <v>488</v>
      </c>
      <c r="N28" s="38">
        <f>382+45</f>
        <v>427</v>
      </c>
      <c r="O28" s="38">
        <f>285+87</f>
        <v>372</v>
      </c>
      <c r="P28" s="36">
        <f t="shared" si="1"/>
        <v>16836</v>
      </c>
      <c r="Q28" s="36">
        <f t="shared" si="1"/>
        <v>11187.4</v>
      </c>
      <c r="R28" s="36">
        <f t="shared" si="1"/>
        <v>7700.4</v>
      </c>
      <c r="S28" s="36">
        <f t="shared" si="2"/>
        <v>1287</v>
      </c>
      <c r="T28" s="36">
        <f t="shared" si="3"/>
        <v>35723.800000000003</v>
      </c>
      <c r="U28" s="37">
        <f t="shared" si="4"/>
        <v>27.757420357420358</v>
      </c>
    </row>
    <row r="29" spans="1:21" ht="13.5" customHeight="1" x14ac:dyDescent="0.3">
      <c r="A29" s="19"/>
      <c r="C29" s="31">
        <v>25</v>
      </c>
      <c r="D29" s="1" t="s">
        <v>34</v>
      </c>
      <c r="E29" s="20">
        <v>36.9</v>
      </c>
      <c r="F29" s="20">
        <v>26.2</v>
      </c>
      <c r="G29" s="20">
        <v>20.399999999999999</v>
      </c>
      <c r="I29" s="20">
        <f t="shared" si="0"/>
        <v>28.162850082372319</v>
      </c>
      <c r="J29" s="45"/>
      <c r="K29" s="18"/>
      <c r="M29" s="38">
        <f>374+33</f>
        <v>407</v>
      </c>
      <c r="N29" s="38">
        <f>373+94</f>
        <v>467</v>
      </c>
      <c r="O29" s="38">
        <f>221+119</f>
        <v>340</v>
      </c>
      <c r="P29" s="36">
        <f t="shared" si="1"/>
        <v>15018.3</v>
      </c>
      <c r="Q29" s="36">
        <f t="shared" si="1"/>
        <v>12235.4</v>
      </c>
      <c r="R29" s="36">
        <f t="shared" si="1"/>
        <v>6935.9999999999991</v>
      </c>
      <c r="S29" s="36">
        <f t="shared" si="2"/>
        <v>1214</v>
      </c>
      <c r="T29" s="36">
        <f t="shared" si="3"/>
        <v>34189.699999999997</v>
      </c>
      <c r="U29" s="37">
        <f t="shared" si="4"/>
        <v>28.162850082372319</v>
      </c>
    </row>
    <row r="30" spans="1:21" ht="13.5" customHeight="1" x14ac:dyDescent="0.3">
      <c r="A30" s="19"/>
      <c r="C30" s="31">
        <v>26</v>
      </c>
      <c r="D30" s="1" t="s">
        <v>35</v>
      </c>
      <c r="E30" s="20">
        <v>36.299999999999997</v>
      </c>
      <c r="F30" s="20">
        <v>26.1</v>
      </c>
      <c r="G30" s="20">
        <v>20.7</v>
      </c>
      <c r="I30" s="20">
        <f t="shared" si="0"/>
        <v>28.671826625386998</v>
      </c>
      <c r="J30" s="45"/>
      <c r="K30" s="18"/>
      <c r="M30" s="38">
        <f>499+20</f>
        <v>519</v>
      </c>
      <c r="N30" s="38">
        <f>367+41</f>
        <v>408</v>
      </c>
      <c r="O30" s="38">
        <f>283+82</f>
        <v>365</v>
      </c>
      <c r="P30" s="36">
        <f t="shared" si="1"/>
        <v>18839.699999999997</v>
      </c>
      <c r="Q30" s="36">
        <f t="shared" si="1"/>
        <v>10648.800000000001</v>
      </c>
      <c r="R30" s="36">
        <f t="shared" si="1"/>
        <v>7555.5</v>
      </c>
      <c r="S30" s="36">
        <f t="shared" si="2"/>
        <v>1292</v>
      </c>
      <c r="T30" s="36">
        <f t="shared" si="3"/>
        <v>37044</v>
      </c>
      <c r="U30" s="37">
        <f t="shared" si="4"/>
        <v>28.671826625386998</v>
      </c>
    </row>
    <row r="31" spans="1:21" ht="13.5" customHeight="1" x14ac:dyDescent="0.3">
      <c r="A31" s="19"/>
      <c r="C31" s="31">
        <v>30</v>
      </c>
      <c r="D31" s="1" t="s">
        <v>48</v>
      </c>
      <c r="E31" s="20">
        <v>33.5</v>
      </c>
      <c r="F31" s="20">
        <v>24.9</v>
      </c>
      <c r="G31" s="20">
        <v>20.6</v>
      </c>
      <c r="I31" s="20">
        <f t="shared" si="0"/>
        <v>26.901588271227858</v>
      </c>
      <c r="J31" s="45"/>
      <c r="K31" s="18"/>
      <c r="M31" s="38">
        <f>612+36</f>
        <v>648</v>
      </c>
      <c r="N31" s="38">
        <f>386+69</f>
        <v>455</v>
      </c>
      <c r="O31" s="38">
        <f>375+159</f>
        <v>534</v>
      </c>
      <c r="P31" s="36">
        <f t="shared" si="1"/>
        <v>21708</v>
      </c>
      <c r="Q31" s="36">
        <f t="shared" si="1"/>
        <v>11329.5</v>
      </c>
      <c r="R31" s="36">
        <f t="shared" si="1"/>
        <v>11000.400000000001</v>
      </c>
      <c r="S31" s="36">
        <f t="shared" si="2"/>
        <v>1637</v>
      </c>
      <c r="T31" s="36">
        <f t="shared" si="3"/>
        <v>44037.9</v>
      </c>
      <c r="U31" s="37">
        <f t="shared" si="4"/>
        <v>26.901588271227858</v>
      </c>
    </row>
    <row r="32" spans="1:21" ht="13.5" customHeight="1" x14ac:dyDescent="0.3">
      <c r="A32" s="19"/>
      <c r="C32" s="31">
        <v>32</v>
      </c>
      <c r="D32" s="1" t="s">
        <v>38</v>
      </c>
      <c r="E32" s="20">
        <v>37.5</v>
      </c>
      <c r="F32" s="20">
        <v>26.4</v>
      </c>
      <c r="G32" s="20">
        <v>19.3</v>
      </c>
      <c r="I32" s="20">
        <f t="shared" si="0"/>
        <v>27.950789793438638</v>
      </c>
      <c r="J32" s="45"/>
      <c r="K32" s="18"/>
      <c r="M32" s="38">
        <f>283+13</f>
        <v>296</v>
      </c>
      <c r="N32" s="38">
        <f>229+15</f>
        <v>244</v>
      </c>
      <c r="O32" s="38">
        <f>218+65</f>
        <v>283</v>
      </c>
      <c r="P32" s="36">
        <f t="shared" si="1"/>
        <v>11100</v>
      </c>
      <c r="Q32" s="36">
        <f t="shared" si="1"/>
        <v>6441.5999999999995</v>
      </c>
      <c r="R32" s="36">
        <f t="shared" si="1"/>
        <v>5461.9000000000005</v>
      </c>
      <c r="S32" s="36">
        <f t="shared" si="2"/>
        <v>823</v>
      </c>
      <c r="T32" s="36">
        <f t="shared" si="3"/>
        <v>23003.5</v>
      </c>
      <c r="U32" s="37">
        <f t="shared" si="4"/>
        <v>27.950789793438638</v>
      </c>
    </row>
    <row r="33" spans="1:21" ht="13.5" customHeight="1" x14ac:dyDescent="0.3">
      <c r="A33" s="19"/>
      <c r="C33" s="31">
        <v>33</v>
      </c>
      <c r="D33" s="1" t="s">
        <v>39</v>
      </c>
      <c r="E33" s="20">
        <v>33.9</v>
      </c>
      <c r="F33" s="20">
        <v>25</v>
      </c>
      <c r="G33" s="20">
        <v>20.3</v>
      </c>
      <c r="I33" s="20">
        <f t="shared" si="0"/>
        <v>27.93362831858407</v>
      </c>
      <c r="J33" s="45"/>
      <c r="K33" s="18"/>
      <c r="M33" s="38">
        <f>678+51</f>
        <v>729</v>
      </c>
      <c r="N33" s="38">
        <f>386+74</f>
        <v>460</v>
      </c>
      <c r="O33" s="38">
        <f>268+125</f>
        <v>393</v>
      </c>
      <c r="P33" s="36">
        <f t="shared" si="1"/>
        <v>24713.1</v>
      </c>
      <c r="Q33" s="36">
        <f t="shared" si="1"/>
        <v>11500</v>
      </c>
      <c r="R33" s="36">
        <f t="shared" si="1"/>
        <v>7977.9000000000005</v>
      </c>
      <c r="S33" s="36">
        <f t="shared" si="2"/>
        <v>1582</v>
      </c>
      <c r="T33" s="36">
        <f t="shared" si="3"/>
        <v>44191</v>
      </c>
      <c r="U33" s="37">
        <f t="shared" si="4"/>
        <v>27.93362831858407</v>
      </c>
    </row>
    <row r="34" spans="1:21" ht="13.5" customHeight="1" x14ac:dyDescent="0.3">
      <c r="A34" s="19"/>
      <c r="C34" s="31">
        <v>34</v>
      </c>
      <c r="D34" s="1" t="s">
        <v>40</v>
      </c>
      <c r="E34" s="20">
        <v>34</v>
      </c>
      <c r="F34" s="20">
        <v>25.3</v>
      </c>
      <c r="G34" s="20">
        <v>21.6</v>
      </c>
      <c r="I34" s="20">
        <f t="shared" si="0"/>
        <v>29.850218023255817</v>
      </c>
      <c r="J34" s="45"/>
      <c r="K34" s="18"/>
      <c r="M34" s="38">
        <f>790+53</f>
        <v>843</v>
      </c>
      <c r="N34" s="38">
        <f>195+48</f>
        <v>243</v>
      </c>
      <c r="O34" s="38">
        <f>207+83</f>
        <v>290</v>
      </c>
      <c r="P34" s="36">
        <f t="shared" si="1"/>
        <v>28662</v>
      </c>
      <c r="Q34" s="36">
        <f t="shared" si="1"/>
        <v>6147.9000000000005</v>
      </c>
      <c r="R34" s="36">
        <f t="shared" si="1"/>
        <v>6264</v>
      </c>
      <c r="S34" s="36">
        <f t="shared" si="2"/>
        <v>1376</v>
      </c>
      <c r="T34" s="36">
        <f t="shared" si="3"/>
        <v>41073.9</v>
      </c>
      <c r="U34" s="37">
        <f t="shared" si="4"/>
        <v>29.850218023255817</v>
      </c>
    </row>
    <row r="35" spans="1:21" ht="13.5" customHeight="1" x14ac:dyDescent="0.3">
      <c r="A35" s="19"/>
      <c r="K35" s="18"/>
    </row>
    <row r="36" spans="1:21" ht="13.5" customHeight="1" x14ac:dyDescent="0.3">
      <c r="A36" s="19"/>
      <c r="D36" s="44" t="s">
        <v>54</v>
      </c>
      <c r="E36" s="41">
        <f>P36/M36</f>
        <v>34.408974627804568</v>
      </c>
      <c r="F36" s="41">
        <f t="shared" ref="F36" si="5">Q36/N36</f>
        <v>25.316255191508997</v>
      </c>
      <c r="G36" s="41">
        <f>R36/O36</f>
        <v>20.79557281553398</v>
      </c>
      <c r="H36" s="40"/>
      <c r="I36" s="41">
        <f t="shared" si="0"/>
        <v>28.416166123778503</v>
      </c>
      <c r="J36" s="46"/>
      <c r="K36" s="18"/>
      <c r="M36" s="39">
        <f>SUM(M11:M34)</f>
        <v>14307</v>
      </c>
      <c r="N36" s="39">
        <f t="shared" ref="N36:O36" si="6">SUM(N11:N34)</f>
        <v>8668</v>
      </c>
      <c r="O36" s="39">
        <f t="shared" si="6"/>
        <v>7725</v>
      </c>
      <c r="P36" s="39">
        <f>SUM(P11:P34)</f>
        <v>492289.19999999995</v>
      </c>
      <c r="Q36" s="39">
        <f>SUM(Q11:Q34)</f>
        <v>219441.3</v>
      </c>
      <c r="R36" s="39">
        <f>SUM(R11:R34)</f>
        <v>160645.79999999999</v>
      </c>
      <c r="S36" s="36">
        <f>M36+N36+O36</f>
        <v>30700</v>
      </c>
      <c r="T36" s="36">
        <f>P36+Q36+R36</f>
        <v>872376.3</v>
      </c>
      <c r="U36" s="37">
        <f>T36/S36</f>
        <v>28.416166123778503</v>
      </c>
    </row>
    <row r="37" spans="1:21" ht="13.5" customHeight="1" x14ac:dyDescent="0.3">
      <c r="A37" s="19"/>
      <c r="D37" s="44" t="s">
        <v>55</v>
      </c>
      <c r="E37" s="41">
        <f>MEDIAN(E11:E34)</f>
        <v>33.950000000000003</v>
      </c>
      <c r="F37" s="41">
        <f>MEDIAN(F11:F34)</f>
        <v>25.5</v>
      </c>
      <c r="G37" s="41">
        <f>MEDIAN(G11:G34)</f>
        <v>20.7</v>
      </c>
      <c r="H37" s="40"/>
      <c r="I37" s="41">
        <f>MEDIAN(I11:I34)</f>
        <v>27.942209056011354</v>
      </c>
      <c r="J37" s="46"/>
      <c r="K37" s="18"/>
    </row>
    <row r="38" spans="1:21" ht="13.5" customHeight="1" x14ac:dyDescent="0.3">
      <c r="A38" s="19"/>
      <c r="B38" s="22"/>
      <c r="C38" s="33"/>
      <c r="D38" s="22"/>
      <c r="E38" s="22"/>
      <c r="F38" s="22"/>
      <c r="G38" s="22"/>
      <c r="H38" s="22"/>
      <c r="I38" s="22"/>
      <c r="J38" s="22"/>
      <c r="K38" s="18"/>
    </row>
    <row r="39" spans="1:21" ht="13.5" customHeight="1" x14ac:dyDescent="0.3">
      <c r="A39" s="19"/>
      <c r="K39" s="18"/>
    </row>
    <row r="40" spans="1:21" ht="13.5" customHeight="1" x14ac:dyDescent="0.3">
      <c r="A40" s="19"/>
      <c r="B40" s="16" t="s">
        <v>58</v>
      </c>
      <c r="K40" s="18"/>
    </row>
    <row r="41" spans="1:21" ht="13.5" customHeight="1" x14ac:dyDescent="0.3">
      <c r="A41" s="19"/>
      <c r="K41" s="18"/>
    </row>
    <row r="42" spans="1:21" ht="13.5" customHeight="1" x14ac:dyDescent="0.3">
      <c r="A42" s="21"/>
      <c r="B42" s="42" t="s">
        <v>56</v>
      </c>
      <c r="C42" s="33"/>
      <c r="D42" s="22"/>
      <c r="E42" s="22"/>
      <c r="F42" s="22"/>
      <c r="G42" s="22"/>
      <c r="H42" s="22"/>
      <c r="I42" s="22"/>
      <c r="J42" s="43"/>
      <c r="K4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6ED65-F002-4351-8535-A530721F1F71}">
  <dimension ref="A1:U54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119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142</v>
      </c>
      <c r="F11" s="20">
        <v>101</v>
      </c>
      <c r="G11" s="20">
        <v>82</v>
      </c>
      <c r="I11" s="20">
        <f>U11</f>
        <v>113.09943360604153</v>
      </c>
      <c r="J11" s="45">
        <f>(I11/'AAU 20-21'!I11)-1</f>
        <v>0.10199926693003225</v>
      </c>
      <c r="K11" s="18"/>
      <c r="M11" s="38">
        <f>458+219</f>
        <v>677</v>
      </c>
      <c r="N11" s="38">
        <f>262+201</f>
        <v>463</v>
      </c>
      <c r="O11" s="38">
        <f>207+242</f>
        <v>449</v>
      </c>
      <c r="P11" s="36">
        <f t="shared" ref="P11:R46" si="0">E11*M11</f>
        <v>96134</v>
      </c>
      <c r="Q11" s="36">
        <f t="shared" si="0"/>
        <v>46763</v>
      </c>
      <c r="R11" s="36">
        <f t="shared" si="0"/>
        <v>36818</v>
      </c>
      <c r="S11" s="36">
        <f t="shared" ref="S11:S46" si="1">M11+N11+O11</f>
        <v>1589</v>
      </c>
      <c r="T11" s="36">
        <f t="shared" ref="T11:T46" si="2">P11+Q11+R11</f>
        <v>179715</v>
      </c>
      <c r="U11" s="37">
        <f>T11/S11</f>
        <v>113.09943360604153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222.5</v>
      </c>
      <c r="F12" s="20">
        <v>149.6</v>
      </c>
      <c r="G12" s="20">
        <v>121.6</v>
      </c>
      <c r="I12" s="20">
        <f t="shared" ref="I12:I46" si="3">U12</f>
        <v>185.77795379537952</v>
      </c>
      <c r="J12" s="45">
        <f>(I12/'AAU 20-21'!I12)-1</f>
        <v>3.1012332542027288E-2</v>
      </c>
      <c r="K12" s="18"/>
      <c r="M12" s="38">
        <f>564+300</f>
        <v>864</v>
      </c>
      <c r="N12" s="38">
        <f>201+158</f>
        <v>359</v>
      </c>
      <c r="O12" s="38">
        <f>147+145</f>
        <v>292</v>
      </c>
      <c r="P12" s="36">
        <f>E12*M12</f>
        <v>192240</v>
      </c>
      <c r="Q12" s="36">
        <f t="shared" si="0"/>
        <v>53706.400000000001</v>
      </c>
      <c r="R12" s="36">
        <f>G12*O12</f>
        <v>35507.199999999997</v>
      </c>
      <c r="S12" s="36">
        <f>M12+N12+O12</f>
        <v>1515</v>
      </c>
      <c r="T12" s="36">
        <f>P12+Q12+R12</f>
        <v>281453.59999999998</v>
      </c>
      <c r="U12" s="37">
        <f t="shared" ref="U12:U46" si="4">T12/S12</f>
        <v>185.77795379537952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189.9</v>
      </c>
      <c r="F13" s="20">
        <v>128.30000000000001</v>
      </c>
      <c r="G13" s="20">
        <v>113.7</v>
      </c>
      <c r="I13" s="20">
        <f t="shared" si="3"/>
        <v>161.7556657223796</v>
      </c>
      <c r="J13" s="45">
        <f>(I13/'AAU 20-21'!I13)-1</f>
        <v>3.5828296649098812E-2</v>
      </c>
      <c r="K13" s="18"/>
      <c r="M13" s="38">
        <f>538+295</f>
        <v>833</v>
      </c>
      <c r="N13" s="38">
        <f>153+147</f>
        <v>300</v>
      </c>
      <c r="O13" s="38">
        <f>148+131</f>
        <v>279</v>
      </c>
      <c r="P13" s="36">
        <f t="shared" si="0"/>
        <v>158186.70000000001</v>
      </c>
      <c r="Q13" s="36">
        <f t="shared" si="0"/>
        <v>38490</v>
      </c>
      <c r="R13" s="36">
        <f t="shared" si="0"/>
        <v>31722.3</v>
      </c>
      <c r="S13" s="36">
        <f t="shared" si="1"/>
        <v>1412</v>
      </c>
      <c r="T13" s="36">
        <f t="shared" si="2"/>
        <v>228399</v>
      </c>
      <c r="U13" s="37">
        <f t="shared" si="4"/>
        <v>161.7556657223796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194.4</v>
      </c>
      <c r="F14" s="20">
        <v>130.5</v>
      </c>
      <c r="G14" s="20">
        <v>109.6</v>
      </c>
      <c r="I14" s="20">
        <f t="shared" si="3"/>
        <v>161.82980189491821</v>
      </c>
      <c r="J14" s="45">
        <f>(I14/'AAU 20-21'!I14)-1</f>
        <v>9.8345888905742029E-3</v>
      </c>
      <c r="K14" s="18"/>
      <c r="M14" s="38">
        <f>433+218</f>
        <v>651</v>
      </c>
      <c r="N14" s="38">
        <f>132+128</f>
        <v>260</v>
      </c>
      <c r="O14" s="38">
        <f>121+129</f>
        <v>250</v>
      </c>
      <c r="P14" s="36">
        <f t="shared" si="0"/>
        <v>126554.40000000001</v>
      </c>
      <c r="Q14" s="36">
        <f t="shared" si="0"/>
        <v>33930</v>
      </c>
      <c r="R14" s="36">
        <f t="shared" si="0"/>
        <v>27400</v>
      </c>
      <c r="S14" s="36">
        <f t="shared" si="1"/>
        <v>1161</v>
      </c>
      <c r="T14" s="36">
        <f t="shared" si="2"/>
        <v>187884.40000000002</v>
      </c>
      <c r="U14" s="37">
        <f t="shared" si="4"/>
        <v>161.82980189491821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240.3</v>
      </c>
      <c r="F15" s="20">
        <v>151.5</v>
      </c>
      <c r="G15" s="20">
        <v>117.4</v>
      </c>
      <c r="I15" s="20">
        <f t="shared" si="3"/>
        <v>196.90378741600492</v>
      </c>
      <c r="J15" s="45">
        <f>(I15/'AAU 20-21'!I15)-1</f>
        <v>2.8821506517717088E-2</v>
      </c>
      <c r="K15" s="18"/>
      <c r="M15" s="38">
        <f>632+354</f>
        <v>986</v>
      </c>
      <c r="N15" s="38">
        <f>136+127</f>
        <v>263</v>
      </c>
      <c r="O15" s="38">
        <f>203+185</f>
        <v>388</v>
      </c>
      <c r="P15" s="36">
        <f t="shared" si="0"/>
        <v>236935.80000000002</v>
      </c>
      <c r="Q15" s="36">
        <f t="shared" si="0"/>
        <v>39844.5</v>
      </c>
      <c r="R15" s="36">
        <f t="shared" si="0"/>
        <v>45551.200000000004</v>
      </c>
      <c r="S15" s="36">
        <f t="shared" si="1"/>
        <v>1637</v>
      </c>
      <c r="T15" s="36">
        <f t="shared" si="2"/>
        <v>322331.50000000006</v>
      </c>
      <c r="U15" s="37">
        <f t="shared" si="4"/>
        <v>196.90378741600492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203.9</v>
      </c>
      <c r="F16" s="20">
        <v>137.19999999999999</v>
      </c>
      <c r="G16" s="20">
        <v>118.8</v>
      </c>
      <c r="I16" s="20">
        <f t="shared" si="3"/>
        <v>168.25740570377184</v>
      </c>
      <c r="J16" s="45">
        <f>(I16/'AAU 20-21'!I16)-1</f>
        <v>1.5687789280131925E-2</v>
      </c>
      <c r="K16" s="18"/>
      <c r="M16" s="38">
        <f>433+149</f>
        <v>582</v>
      </c>
      <c r="N16" s="38">
        <f>142+88</f>
        <v>230</v>
      </c>
      <c r="O16" s="38">
        <f>158+117</f>
        <v>275</v>
      </c>
      <c r="P16" s="36">
        <f t="shared" si="0"/>
        <v>118669.8</v>
      </c>
      <c r="Q16" s="36">
        <f t="shared" si="0"/>
        <v>31555.999999999996</v>
      </c>
      <c r="R16" s="36">
        <f t="shared" si="0"/>
        <v>32670</v>
      </c>
      <c r="S16" s="36">
        <f t="shared" si="1"/>
        <v>1087</v>
      </c>
      <c r="T16" s="36">
        <f t="shared" si="2"/>
        <v>182895.8</v>
      </c>
      <c r="U16" s="37">
        <f t="shared" si="4"/>
        <v>168.25740570377184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209.6</v>
      </c>
      <c r="F17" s="20">
        <v>126.2</v>
      </c>
      <c r="G17" s="20">
        <v>112.6</v>
      </c>
      <c r="I17" s="20">
        <f t="shared" si="3"/>
        <v>172.0734321550741</v>
      </c>
      <c r="J17" s="45">
        <f>(I17/'AAU 20-21'!I17)-1</f>
        <v>3.7184122765377525E-2</v>
      </c>
      <c r="K17" s="18"/>
      <c r="M17" s="38">
        <f>316+199</f>
        <v>515</v>
      </c>
      <c r="N17" s="38">
        <f>85+77</f>
        <v>162</v>
      </c>
      <c r="O17" s="38">
        <f>116+84</f>
        <v>200</v>
      </c>
      <c r="P17" s="36">
        <f t="shared" si="0"/>
        <v>107944</v>
      </c>
      <c r="Q17" s="36">
        <f t="shared" si="0"/>
        <v>20444.400000000001</v>
      </c>
      <c r="R17" s="36">
        <f t="shared" si="0"/>
        <v>22520</v>
      </c>
      <c r="S17" s="36">
        <f t="shared" si="1"/>
        <v>877</v>
      </c>
      <c r="T17" s="36">
        <f t="shared" si="2"/>
        <v>150908.4</v>
      </c>
      <c r="U17" s="37">
        <f t="shared" si="4"/>
        <v>172.0734321550741</v>
      </c>
    </row>
    <row r="18" spans="1:21" ht="13.5" customHeight="1" x14ac:dyDescent="0.3">
      <c r="A18" s="19"/>
      <c r="C18" s="31">
        <v>8</v>
      </c>
      <c r="D18" s="1" t="s">
        <v>113</v>
      </c>
      <c r="E18" s="20">
        <v>185</v>
      </c>
      <c r="F18" s="20">
        <v>125.8</v>
      </c>
      <c r="G18" s="20">
        <v>107.6</v>
      </c>
      <c r="I18" s="20">
        <f t="shared" si="3"/>
        <v>151.07426597582037</v>
      </c>
      <c r="J18" s="45">
        <f>(I18/'AAU 20-21'!I18)-1</f>
        <v>1.984515719196267E-2</v>
      </c>
      <c r="K18" s="18"/>
      <c r="M18" s="38">
        <f>186+107</f>
        <v>293</v>
      </c>
      <c r="N18" s="38">
        <f>71+66</f>
        <v>137</v>
      </c>
      <c r="O18" s="38">
        <f>70+79</f>
        <v>149</v>
      </c>
      <c r="P18" s="36">
        <f>E18*M18</f>
        <v>54205</v>
      </c>
      <c r="Q18" s="36">
        <f t="shared" si="0"/>
        <v>17234.599999999999</v>
      </c>
      <c r="R18" s="36">
        <f t="shared" si="0"/>
        <v>16032.4</v>
      </c>
      <c r="S18" s="36">
        <f>M18+N18+O18</f>
        <v>579</v>
      </c>
      <c r="T18" s="36">
        <f>P18+Q18+R18</f>
        <v>87472</v>
      </c>
      <c r="U18" s="37">
        <f>T18/S18</f>
        <v>151.07426597582037</v>
      </c>
    </row>
    <row r="19" spans="1:21" ht="13.5" customHeight="1" x14ac:dyDescent="0.3">
      <c r="A19" s="19"/>
      <c r="C19" s="31">
        <v>9</v>
      </c>
      <c r="D19" s="1" t="s">
        <v>18</v>
      </c>
      <c r="E19" s="20"/>
      <c r="F19" s="20"/>
      <c r="G19" s="20"/>
      <c r="I19" s="20"/>
      <c r="J19" s="45"/>
      <c r="K19" s="18"/>
      <c r="M19" s="38"/>
      <c r="N19" s="38"/>
      <c r="O19" s="39"/>
      <c r="P19" s="36">
        <f t="shared" si="0"/>
        <v>0</v>
      </c>
      <c r="Q19" s="36">
        <f t="shared" si="0"/>
        <v>0</v>
      </c>
      <c r="R19" s="36">
        <f t="shared" si="0"/>
        <v>0</v>
      </c>
      <c r="S19" s="36">
        <f t="shared" si="1"/>
        <v>0</v>
      </c>
      <c r="T19" s="36">
        <f t="shared" si="2"/>
        <v>0</v>
      </c>
      <c r="U19" s="37" t="e">
        <f t="shared" si="4"/>
        <v>#DIV/0!</v>
      </c>
    </row>
    <row r="20" spans="1:21" ht="13.5" customHeight="1" x14ac:dyDescent="0.3">
      <c r="A20" s="19"/>
      <c r="C20" s="31">
        <v>10</v>
      </c>
      <c r="D20" s="1" t="s">
        <v>19</v>
      </c>
      <c r="E20" s="20">
        <v>159.9</v>
      </c>
      <c r="F20" s="20">
        <v>110.7</v>
      </c>
      <c r="G20" s="20">
        <v>93.9</v>
      </c>
      <c r="I20" s="20">
        <f t="shared" si="3"/>
        <v>125.25487932843653</v>
      </c>
      <c r="J20" s="45">
        <f>(I20/'AAU 20-21'!I20)-1</f>
        <v>3.464834155176777E-2</v>
      </c>
      <c r="K20" s="18"/>
      <c r="M20" s="38">
        <f>583+197</f>
        <v>780</v>
      </c>
      <c r="N20" s="38">
        <f>278+215</f>
        <v>493</v>
      </c>
      <c r="O20" s="38">
        <f>311+322</f>
        <v>633</v>
      </c>
      <c r="P20" s="36">
        <f t="shared" si="0"/>
        <v>124722</v>
      </c>
      <c r="Q20" s="36">
        <f t="shared" si="0"/>
        <v>54575.1</v>
      </c>
      <c r="R20" s="36">
        <f t="shared" si="0"/>
        <v>59438.700000000004</v>
      </c>
      <c r="S20" s="36">
        <f t="shared" si="1"/>
        <v>1906</v>
      </c>
      <c r="T20" s="36">
        <f t="shared" si="2"/>
        <v>238735.80000000002</v>
      </c>
      <c r="U20" s="37">
        <f t="shared" si="4"/>
        <v>125.25487932843653</v>
      </c>
    </row>
    <row r="21" spans="1:21" ht="13.5" customHeight="1" x14ac:dyDescent="0.3">
      <c r="A21" s="19"/>
      <c r="C21" s="31">
        <v>11</v>
      </c>
      <c r="D21" s="1" t="s">
        <v>20</v>
      </c>
      <c r="E21" s="20">
        <v>167.2</v>
      </c>
      <c r="F21" s="20">
        <v>117</v>
      </c>
      <c r="G21" s="20">
        <v>108.7</v>
      </c>
      <c r="I21" s="20">
        <f t="shared" si="3"/>
        <v>139.3155797101449</v>
      </c>
      <c r="J21" s="45">
        <f>(I21/'AAU 20-21'!I21)-1</f>
        <v>2.5675074132236464E-3</v>
      </c>
      <c r="K21" s="18"/>
      <c r="M21" s="38">
        <f>331+67</f>
        <v>398</v>
      </c>
      <c r="N21" s="38">
        <f>179+70</f>
        <v>249</v>
      </c>
      <c r="O21" s="38">
        <f>103+78</f>
        <v>181</v>
      </c>
      <c r="P21" s="36">
        <f t="shared" si="0"/>
        <v>66545.599999999991</v>
      </c>
      <c r="Q21" s="36">
        <f t="shared" si="0"/>
        <v>29133</v>
      </c>
      <c r="R21" s="36">
        <f t="shared" si="0"/>
        <v>19674.7</v>
      </c>
      <c r="S21" s="36">
        <f t="shared" si="1"/>
        <v>828</v>
      </c>
      <c r="T21" s="36">
        <f t="shared" si="2"/>
        <v>115353.29999999999</v>
      </c>
      <c r="U21" s="37">
        <f t="shared" si="4"/>
        <v>139.3155797101449</v>
      </c>
    </row>
    <row r="22" spans="1:21" ht="13.5" customHeight="1" x14ac:dyDescent="0.3">
      <c r="A22" s="19"/>
      <c r="C22" s="31">
        <v>12</v>
      </c>
      <c r="D22" s="1" t="s">
        <v>21</v>
      </c>
      <c r="E22" s="20">
        <v>163.4</v>
      </c>
      <c r="F22" s="20">
        <v>111.4</v>
      </c>
      <c r="G22" s="20">
        <v>103.6</v>
      </c>
      <c r="I22" s="20">
        <f t="shared" si="3"/>
        <v>132.4925170068027</v>
      </c>
      <c r="J22" s="45">
        <f>(I22/'AAU 20-21'!I22)-1</f>
        <v>2.5715895721424964E-2</v>
      </c>
      <c r="K22" s="18"/>
      <c r="M22" s="38">
        <f>623+233</f>
        <v>856</v>
      </c>
      <c r="N22" s="38">
        <f>286+230</f>
        <v>516</v>
      </c>
      <c r="O22" s="38">
        <f>289+250</f>
        <v>539</v>
      </c>
      <c r="P22" s="36">
        <f t="shared" si="0"/>
        <v>139870.39999999999</v>
      </c>
      <c r="Q22" s="36">
        <f t="shared" si="0"/>
        <v>57482.400000000001</v>
      </c>
      <c r="R22" s="36">
        <f t="shared" si="0"/>
        <v>55840.399999999994</v>
      </c>
      <c r="S22" s="36">
        <f t="shared" si="1"/>
        <v>1911</v>
      </c>
      <c r="T22" s="36">
        <f t="shared" si="2"/>
        <v>253193.19999999998</v>
      </c>
      <c r="U22" s="37">
        <f t="shared" si="4"/>
        <v>132.4925170068027</v>
      </c>
    </row>
    <row r="23" spans="1:21" ht="13.5" customHeight="1" x14ac:dyDescent="0.3">
      <c r="A23" s="19"/>
      <c r="C23" s="31">
        <v>13</v>
      </c>
      <c r="D23" s="1" t="s">
        <v>22</v>
      </c>
      <c r="E23" s="20">
        <v>141.69999999999999</v>
      </c>
      <c r="F23" s="20">
        <v>106</v>
      </c>
      <c r="G23" s="20">
        <v>102.3</v>
      </c>
      <c r="I23" s="20">
        <f t="shared" si="3"/>
        <v>121.02516717325227</v>
      </c>
      <c r="J23" s="45">
        <f>(I23/'AAU 20-21'!I23)-1</f>
        <v>1.3662996486206058E-2</v>
      </c>
      <c r="K23" s="18"/>
      <c r="M23" s="38">
        <f>510+224</f>
        <v>734</v>
      </c>
      <c r="N23" s="38">
        <f>295+214</f>
        <v>509</v>
      </c>
      <c r="O23" s="38">
        <f>210+192</f>
        <v>402</v>
      </c>
      <c r="P23" s="36">
        <f t="shared" si="0"/>
        <v>104007.79999999999</v>
      </c>
      <c r="Q23" s="36">
        <f t="shared" si="0"/>
        <v>53954</v>
      </c>
      <c r="R23" s="36">
        <f t="shared" si="0"/>
        <v>41124.6</v>
      </c>
      <c r="S23" s="36">
        <f t="shared" si="1"/>
        <v>1645</v>
      </c>
      <c r="T23" s="36">
        <f t="shared" si="2"/>
        <v>199086.4</v>
      </c>
      <c r="U23" s="37">
        <f t="shared" si="4"/>
        <v>121.02516717325227</v>
      </c>
    </row>
    <row r="24" spans="1:21" ht="13.5" customHeight="1" x14ac:dyDescent="0.3">
      <c r="A24" s="19"/>
      <c r="C24" s="31">
        <v>14</v>
      </c>
      <c r="D24" s="1" t="s">
        <v>23</v>
      </c>
      <c r="E24" s="20">
        <v>152</v>
      </c>
      <c r="F24" s="20">
        <v>96.9</v>
      </c>
      <c r="G24" s="20">
        <v>93.1</v>
      </c>
      <c r="I24" s="20">
        <f t="shared" si="3"/>
        <v>117.14383906119028</v>
      </c>
      <c r="J24" s="45">
        <f>(I24/'AAU 20-21'!I24)-1</f>
        <v>1.7502171128038757E-3</v>
      </c>
      <c r="K24" s="18"/>
      <c r="M24" s="38">
        <f>322+135</f>
        <v>457</v>
      </c>
      <c r="N24" s="38">
        <f>250+215</f>
        <v>465</v>
      </c>
      <c r="O24" s="38">
        <f>114+157</f>
        <v>271</v>
      </c>
      <c r="P24" s="36">
        <f t="shared" si="0"/>
        <v>69464</v>
      </c>
      <c r="Q24" s="36">
        <f t="shared" si="0"/>
        <v>45058.5</v>
      </c>
      <c r="R24" s="36">
        <f t="shared" si="0"/>
        <v>25230.1</v>
      </c>
      <c r="S24" s="36">
        <f t="shared" si="1"/>
        <v>1193</v>
      </c>
      <c r="T24" s="36">
        <f t="shared" si="2"/>
        <v>139752.6</v>
      </c>
      <c r="U24" s="37">
        <f t="shared" si="4"/>
        <v>117.14383906119028</v>
      </c>
    </row>
    <row r="25" spans="1:21" ht="13.5" customHeight="1" x14ac:dyDescent="0.3">
      <c r="A25" s="19"/>
      <c r="C25" s="31">
        <v>15</v>
      </c>
      <c r="D25" s="1" t="s">
        <v>24</v>
      </c>
      <c r="E25" s="20">
        <v>133.80000000000001</v>
      </c>
      <c r="F25" s="20">
        <v>98.5</v>
      </c>
      <c r="G25" s="20">
        <v>87</v>
      </c>
      <c r="I25" s="20">
        <f t="shared" si="3"/>
        <v>108.63140893470791</v>
      </c>
      <c r="J25" s="45">
        <f>(I25/'AAU 20-21'!I25)-1</f>
        <v>3.9301626697302083E-2</v>
      </c>
      <c r="K25" s="18"/>
      <c r="M25" s="38">
        <f>404+140</f>
        <v>544</v>
      </c>
      <c r="N25" s="38">
        <f>294+229</f>
        <v>523</v>
      </c>
      <c r="O25" s="38">
        <f>217+171</f>
        <v>388</v>
      </c>
      <c r="P25" s="36">
        <f t="shared" si="0"/>
        <v>72787.200000000012</v>
      </c>
      <c r="Q25" s="36">
        <f t="shared" si="0"/>
        <v>51515.5</v>
      </c>
      <c r="R25" s="36">
        <f t="shared" si="0"/>
        <v>33756</v>
      </c>
      <c r="S25" s="36">
        <f t="shared" si="1"/>
        <v>1455</v>
      </c>
      <c r="T25" s="36">
        <f t="shared" si="2"/>
        <v>158058.70000000001</v>
      </c>
      <c r="U25" s="37">
        <f t="shared" si="4"/>
        <v>108.63140893470791</v>
      </c>
    </row>
    <row r="26" spans="1:21" ht="13.5" customHeight="1" x14ac:dyDescent="0.3">
      <c r="A26" s="19"/>
      <c r="C26" s="31">
        <v>16</v>
      </c>
      <c r="D26" s="1" t="s">
        <v>25</v>
      </c>
      <c r="E26" s="20">
        <v>126.2</v>
      </c>
      <c r="F26" s="20">
        <v>86.9</v>
      </c>
      <c r="G26" s="20">
        <v>89.1</v>
      </c>
      <c r="I26" s="20">
        <f t="shared" si="3"/>
        <v>104.24430501930502</v>
      </c>
      <c r="J26" s="45">
        <f>(I26/'AAU 20-21'!I26)-1</f>
        <v>4.3872244406869099E-2</v>
      </c>
      <c r="K26" s="18"/>
      <c r="M26" s="38">
        <f>304+139</f>
        <v>443</v>
      </c>
      <c r="N26" s="38">
        <f>191+148</f>
        <v>339</v>
      </c>
      <c r="O26" s="38">
        <f>148+106</f>
        <v>254</v>
      </c>
      <c r="P26" s="36">
        <f t="shared" si="0"/>
        <v>55906.6</v>
      </c>
      <c r="Q26" s="36">
        <f t="shared" si="0"/>
        <v>29459.100000000002</v>
      </c>
      <c r="R26" s="36">
        <f t="shared" si="0"/>
        <v>22631.399999999998</v>
      </c>
      <c r="S26" s="36">
        <f t="shared" si="1"/>
        <v>1036</v>
      </c>
      <c r="T26" s="36">
        <f t="shared" si="2"/>
        <v>107997.09999999999</v>
      </c>
      <c r="U26" s="37">
        <f t="shared" si="4"/>
        <v>104.24430501930502</v>
      </c>
    </row>
    <row r="27" spans="1:21" ht="13.5" customHeight="1" x14ac:dyDescent="0.3">
      <c r="A27" s="19"/>
      <c r="C27" s="31">
        <v>17</v>
      </c>
      <c r="D27" s="1" t="s">
        <v>26</v>
      </c>
      <c r="E27" s="20">
        <v>175.4</v>
      </c>
      <c r="F27" s="20">
        <v>118.4</v>
      </c>
      <c r="G27" s="20">
        <v>103.7</v>
      </c>
      <c r="I27" s="20">
        <f t="shared" si="3"/>
        <v>143.08170563961485</v>
      </c>
      <c r="J27" s="45">
        <f>(I27/'AAU 20-21'!I27)-1</f>
        <v>2.5671310613680332E-2</v>
      </c>
      <c r="K27" s="18"/>
      <c r="M27" s="38">
        <f>521+187</f>
        <v>708</v>
      </c>
      <c r="N27" s="38">
        <f>235+207</f>
        <v>442</v>
      </c>
      <c r="O27" s="38">
        <f>151+153</f>
        <v>304</v>
      </c>
      <c r="P27" s="36">
        <f t="shared" si="0"/>
        <v>124183.2</v>
      </c>
      <c r="Q27" s="36">
        <f t="shared" si="0"/>
        <v>52332.800000000003</v>
      </c>
      <c r="R27" s="36">
        <f t="shared" si="0"/>
        <v>31524.799999999999</v>
      </c>
      <c r="S27" s="36">
        <f t="shared" si="1"/>
        <v>1454</v>
      </c>
      <c r="T27" s="36">
        <f t="shared" si="2"/>
        <v>208040.8</v>
      </c>
      <c r="U27" s="37">
        <f t="shared" si="4"/>
        <v>143.08170563961485</v>
      </c>
    </row>
    <row r="28" spans="1:21" ht="13.5" customHeight="1" x14ac:dyDescent="0.3">
      <c r="A28" s="19"/>
      <c r="C28" s="31">
        <v>18</v>
      </c>
      <c r="D28" s="1" t="s">
        <v>27</v>
      </c>
      <c r="E28" s="20">
        <v>180.8</v>
      </c>
      <c r="F28" s="20">
        <v>120.4</v>
      </c>
      <c r="G28" s="20">
        <v>102.6</v>
      </c>
      <c r="I28" s="20">
        <f t="shared" si="3"/>
        <v>145.69878682842287</v>
      </c>
      <c r="J28" s="45">
        <f>(I28/'AAU 20-21'!I28)-1</f>
        <v>2.7309932053317443E-2</v>
      </c>
      <c r="K28" s="18"/>
      <c r="M28" s="38">
        <f>780+360</f>
        <v>1140</v>
      </c>
      <c r="N28" s="38">
        <f>310+270</f>
        <v>580</v>
      </c>
      <c r="O28" s="38">
        <f>310+278</f>
        <v>588</v>
      </c>
      <c r="P28" s="36">
        <f t="shared" si="0"/>
        <v>206112</v>
      </c>
      <c r="Q28" s="36">
        <f t="shared" si="0"/>
        <v>69832</v>
      </c>
      <c r="R28" s="36">
        <f t="shared" si="0"/>
        <v>60328.799999999996</v>
      </c>
      <c r="S28" s="36">
        <f t="shared" si="1"/>
        <v>2308</v>
      </c>
      <c r="T28" s="36">
        <f t="shared" si="2"/>
        <v>336272.8</v>
      </c>
      <c r="U28" s="37">
        <f t="shared" si="4"/>
        <v>145.69878682842287</v>
      </c>
    </row>
    <row r="29" spans="1:21" ht="13.5" customHeight="1" x14ac:dyDescent="0.3">
      <c r="A29" s="19"/>
      <c r="C29" s="31">
        <v>19</v>
      </c>
      <c r="D29" s="1" t="s">
        <v>28</v>
      </c>
      <c r="E29" s="20">
        <v>159.80000000000001</v>
      </c>
      <c r="F29" s="20">
        <v>104.6</v>
      </c>
      <c r="G29" s="20">
        <v>84.2</v>
      </c>
      <c r="I29" s="20">
        <f t="shared" si="3"/>
        <v>118.05944418276025</v>
      </c>
      <c r="J29" s="45">
        <f>(I29/'AAU 20-21'!I29)-1</f>
        <v>1.7778041648604637E-2</v>
      </c>
      <c r="K29" s="18"/>
      <c r="M29" s="38">
        <f>569+214</f>
        <v>783</v>
      </c>
      <c r="N29" s="38">
        <f>337+285</f>
        <v>622</v>
      </c>
      <c r="O29" s="38">
        <f>337+381</f>
        <v>718</v>
      </c>
      <c r="P29" s="36">
        <f t="shared" si="0"/>
        <v>125123.40000000001</v>
      </c>
      <c r="Q29" s="36">
        <f t="shared" si="0"/>
        <v>65061.2</v>
      </c>
      <c r="R29" s="36">
        <f t="shared" si="0"/>
        <v>60455.6</v>
      </c>
      <c r="S29" s="36">
        <f t="shared" si="1"/>
        <v>2123</v>
      </c>
      <c r="T29" s="36">
        <f t="shared" si="2"/>
        <v>250640.2</v>
      </c>
      <c r="U29" s="37">
        <f t="shared" si="4"/>
        <v>118.05944418276025</v>
      </c>
    </row>
    <row r="30" spans="1:21" ht="13.5" customHeight="1" x14ac:dyDescent="0.3">
      <c r="A30" s="19"/>
      <c r="C30" s="31">
        <v>20</v>
      </c>
      <c r="D30" s="1" t="s">
        <v>29</v>
      </c>
      <c r="E30" s="20">
        <v>150.30000000000001</v>
      </c>
      <c r="F30" s="20">
        <v>105.4</v>
      </c>
      <c r="G30" s="20">
        <v>95.8</v>
      </c>
      <c r="I30" s="20">
        <f t="shared" si="3"/>
        <v>123.68643984220908</v>
      </c>
      <c r="J30" s="45">
        <f>(I30/'AAU 20-21'!I30)-1</f>
        <v>2.2734847969948069E-2</v>
      </c>
      <c r="K30" s="18"/>
      <c r="M30" s="38">
        <f>640+289</f>
        <v>929</v>
      </c>
      <c r="N30" s="38">
        <f>332+285</f>
        <v>617</v>
      </c>
      <c r="O30" s="38">
        <f>221+261</f>
        <v>482</v>
      </c>
      <c r="P30" s="36">
        <f t="shared" si="0"/>
        <v>139628.70000000001</v>
      </c>
      <c r="Q30" s="36">
        <f t="shared" si="0"/>
        <v>65031.8</v>
      </c>
      <c r="R30" s="36">
        <f t="shared" si="0"/>
        <v>46175.6</v>
      </c>
      <c r="S30" s="36">
        <f t="shared" si="1"/>
        <v>2028</v>
      </c>
      <c r="T30" s="36">
        <f t="shared" si="2"/>
        <v>250836.1</v>
      </c>
      <c r="U30" s="37">
        <f t="shared" si="4"/>
        <v>123.68643984220908</v>
      </c>
    </row>
    <row r="31" spans="1:21" ht="13.5" customHeight="1" x14ac:dyDescent="0.3">
      <c r="A31" s="19"/>
      <c r="C31" s="31">
        <v>21</v>
      </c>
      <c r="D31" s="24" t="s">
        <v>30</v>
      </c>
      <c r="E31" s="25">
        <v>135.1</v>
      </c>
      <c r="F31" s="25">
        <v>91.6</v>
      </c>
      <c r="G31" s="25">
        <v>86.4</v>
      </c>
      <c r="H31" s="24"/>
      <c r="I31" s="25">
        <f t="shared" si="3"/>
        <v>104.97576530612244</v>
      </c>
      <c r="J31" s="47">
        <f>(I31/'AAU 20-21'!I31)-1</f>
        <v>3.2028932690429723E-2</v>
      </c>
      <c r="K31" s="18"/>
      <c r="M31" s="38">
        <f>281+124</f>
        <v>405</v>
      </c>
      <c r="N31" s="38">
        <f>229+179</f>
        <v>408</v>
      </c>
      <c r="O31" s="38">
        <f>156+207</f>
        <v>363</v>
      </c>
      <c r="P31" s="36">
        <f t="shared" si="0"/>
        <v>54715.5</v>
      </c>
      <c r="Q31" s="36">
        <f t="shared" si="0"/>
        <v>37372.799999999996</v>
      </c>
      <c r="R31" s="36">
        <f t="shared" si="0"/>
        <v>31363.200000000001</v>
      </c>
      <c r="S31" s="36">
        <f t="shared" si="1"/>
        <v>1176</v>
      </c>
      <c r="T31" s="36">
        <f t="shared" si="2"/>
        <v>123451.49999999999</v>
      </c>
      <c r="U31" s="37">
        <f t="shared" si="4"/>
        <v>104.97576530612244</v>
      </c>
    </row>
    <row r="32" spans="1:21" ht="13.5" customHeight="1" x14ac:dyDescent="0.3">
      <c r="A32" s="19"/>
      <c r="C32" s="31">
        <v>22</v>
      </c>
      <c r="D32" s="1" t="s">
        <v>45</v>
      </c>
      <c r="E32" s="20">
        <v>157</v>
      </c>
      <c r="F32" s="20">
        <v>104.2</v>
      </c>
      <c r="G32" s="20">
        <v>97.4</v>
      </c>
      <c r="I32" s="20">
        <f t="shared" si="3"/>
        <v>126.50806916426514</v>
      </c>
      <c r="J32" s="45">
        <f>(I32/'AAU 20-21'!I32)-1</f>
        <v>-7.3477788316866133E-2</v>
      </c>
      <c r="K32" s="18"/>
      <c r="M32" s="38">
        <f>404+223</f>
        <v>627</v>
      </c>
      <c r="N32" s="38">
        <f>221+225</f>
        <v>446</v>
      </c>
      <c r="O32" s="38">
        <f>127+188</f>
        <v>315</v>
      </c>
      <c r="P32" s="36">
        <f t="shared" si="0"/>
        <v>98439</v>
      </c>
      <c r="Q32" s="36">
        <f t="shared" si="0"/>
        <v>46473.200000000004</v>
      </c>
      <c r="R32" s="36">
        <f t="shared" si="0"/>
        <v>30681</v>
      </c>
      <c r="S32" s="36">
        <f t="shared" si="1"/>
        <v>1388</v>
      </c>
      <c r="T32" s="36">
        <f t="shared" si="2"/>
        <v>175593.2</v>
      </c>
      <c r="U32" s="37">
        <f t="shared" si="4"/>
        <v>126.50806916426514</v>
      </c>
    </row>
    <row r="33" spans="1:21" ht="13.5" customHeight="1" x14ac:dyDescent="0.3">
      <c r="A33" s="19"/>
      <c r="C33" s="31">
        <v>23</v>
      </c>
      <c r="D33" s="1" t="s">
        <v>31</v>
      </c>
      <c r="E33" s="20">
        <v>161.19999999999999</v>
      </c>
      <c r="F33" s="20">
        <v>109.1</v>
      </c>
      <c r="G33" s="20">
        <v>100.2</v>
      </c>
      <c r="I33" s="20">
        <f t="shared" ref="I33" si="5">U33</f>
        <v>129.7702657106706</v>
      </c>
      <c r="J33" s="45">
        <f>(I33/'AAU 20-21'!I33)-1</f>
        <v>3.4526863625124804E-2</v>
      </c>
      <c r="K33" s="18"/>
      <c r="M33" s="38">
        <f>695+348</f>
        <v>1043</v>
      </c>
      <c r="N33" s="38">
        <f>386+343</f>
        <v>729</v>
      </c>
      <c r="O33" s="38">
        <f>281+318</f>
        <v>599</v>
      </c>
      <c r="P33" s="36">
        <f t="shared" si="0"/>
        <v>168131.59999999998</v>
      </c>
      <c r="Q33" s="36">
        <f t="shared" si="0"/>
        <v>79533.899999999994</v>
      </c>
      <c r="R33" s="36">
        <f t="shared" si="0"/>
        <v>60019.8</v>
      </c>
      <c r="S33" s="36">
        <f t="shared" si="1"/>
        <v>2371</v>
      </c>
      <c r="T33" s="36">
        <f t="shared" si="2"/>
        <v>307685.3</v>
      </c>
      <c r="U33" s="37">
        <f t="shared" si="4"/>
        <v>129.7702657106706</v>
      </c>
    </row>
    <row r="34" spans="1:21" ht="13.5" customHeight="1" x14ac:dyDescent="0.3">
      <c r="A34" s="19"/>
      <c r="C34" s="31">
        <v>24</v>
      </c>
      <c r="D34" s="1" t="s">
        <v>32</v>
      </c>
      <c r="E34" s="20">
        <v>141.6</v>
      </c>
      <c r="F34" s="20">
        <v>104.5</v>
      </c>
      <c r="G34" s="20">
        <v>92.3</v>
      </c>
      <c r="I34" s="20">
        <f t="shared" si="3"/>
        <v>116.36719367588933</v>
      </c>
      <c r="J34" s="45">
        <f>(I34/'AAU 20-21'!I34)-1</f>
        <v>3.7978706204191415E-3</v>
      </c>
      <c r="K34" s="18"/>
      <c r="M34" s="38">
        <f>197+103</f>
        <v>300</v>
      </c>
      <c r="N34" s="38">
        <f>166+119</f>
        <v>285</v>
      </c>
      <c r="O34" s="38">
        <f>87+87</f>
        <v>174</v>
      </c>
      <c r="P34" s="36">
        <f t="shared" si="0"/>
        <v>42480</v>
      </c>
      <c r="Q34" s="36">
        <f t="shared" si="0"/>
        <v>29782.5</v>
      </c>
      <c r="R34" s="36">
        <f t="shared" si="0"/>
        <v>16060.199999999999</v>
      </c>
      <c r="S34" s="36">
        <f t="shared" si="1"/>
        <v>759</v>
      </c>
      <c r="T34" s="36">
        <f t="shared" si="2"/>
        <v>88322.7</v>
      </c>
      <c r="U34" s="37">
        <f t="shared" si="4"/>
        <v>116.36719367588933</v>
      </c>
    </row>
    <row r="35" spans="1:21" ht="13.5" customHeight="1" x14ac:dyDescent="0.3">
      <c r="A35" s="19"/>
      <c r="C35" s="31">
        <v>25</v>
      </c>
      <c r="D35" s="1" t="s">
        <v>33</v>
      </c>
      <c r="E35" s="20">
        <v>159.6</v>
      </c>
      <c r="F35" s="20">
        <v>104.7</v>
      </c>
      <c r="G35" s="20">
        <v>86</v>
      </c>
      <c r="I35" s="20">
        <f t="shared" si="3"/>
        <v>120.12829428989751</v>
      </c>
      <c r="J35" s="45">
        <f>(I35/'AAU 20-21'!I35)-1</f>
        <v>1.5162895448096458E-2</v>
      </c>
      <c r="K35" s="18"/>
      <c r="M35" s="38">
        <f>770+305</f>
        <v>1075</v>
      </c>
      <c r="N35" s="38">
        <f>428+327</f>
        <v>755</v>
      </c>
      <c r="O35" s="38">
        <f>437+465</f>
        <v>902</v>
      </c>
      <c r="P35" s="36">
        <f t="shared" si="0"/>
        <v>171570</v>
      </c>
      <c r="Q35" s="36">
        <f t="shared" si="0"/>
        <v>79048.5</v>
      </c>
      <c r="R35" s="36">
        <f t="shared" si="0"/>
        <v>77572</v>
      </c>
      <c r="S35" s="36">
        <f t="shared" si="1"/>
        <v>2732</v>
      </c>
      <c r="T35" s="36">
        <f t="shared" si="2"/>
        <v>328190.5</v>
      </c>
      <c r="U35" s="37">
        <f t="shared" si="4"/>
        <v>120.12829428989751</v>
      </c>
    </row>
    <row r="36" spans="1:21" ht="13.5" customHeight="1" x14ac:dyDescent="0.3">
      <c r="A36" s="19"/>
      <c r="C36" s="31">
        <v>26</v>
      </c>
      <c r="D36" s="1" t="s">
        <v>34</v>
      </c>
      <c r="E36" s="20">
        <v>158.69999999999999</v>
      </c>
      <c r="F36" s="20">
        <v>105.3</v>
      </c>
      <c r="G36" s="20">
        <v>88.9</v>
      </c>
      <c r="I36" s="20">
        <f t="shared" si="3"/>
        <v>117.13351800554015</v>
      </c>
      <c r="J36" s="45">
        <f>(I36/'AAU 20-21'!I36)-1</f>
        <v>-3.8157984692737124E-3</v>
      </c>
      <c r="K36" s="18"/>
      <c r="M36" s="38">
        <f>323+157</f>
        <v>480</v>
      </c>
      <c r="N36" s="38">
        <f>234+209</f>
        <v>443</v>
      </c>
      <c r="O36" s="38">
        <f>233+288</f>
        <v>521</v>
      </c>
      <c r="P36" s="36">
        <f t="shared" si="0"/>
        <v>76176</v>
      </c>
      <c r="Q36" s="36">
        <f t="shared" si="0"/>
        <v>46647.9</v>
      </c>
      <c r="R36" s="36">
        <f t="shared" si="0"/>
        <v>46316.9</v>
      </c>
      <c r="S36" s="36">
        <f t="shared" si="1"/>
        <v>1444</v>
      </c>
      <c r="T36" s="36">
        <f t="shared" si="2"/>
        <v>169140.8</v>
      </c>
      <c r="U36" s="37">
        <f t="shared" si="4"/>
        <v>117.13351800554015</v>
      </c>
    </row>
    <row r="37" spans="1:21" ht="13.5" customHeight="1" x14ac:dyDescent="0.3">
      <c r="A37" s="19"/>
      <c r="C37" s="31">
        <v>27</v>
      </c>
      <c r="D37" s="1" t="s">
        <v>35</v>
      </c>
      <c r="E37" s="20">
        <v>152.1</v>
      </c>
      <c r="F37" s="20">
        <v>109.5</v>
      </c>
      <c r="G37" s="20">
        <v>97.6</v>
      </c>
      <c r="I37" s="20">
        <f t="shared" si="3"/>
        <v>124.01469902006532</v>
      </c>
      <c r="J37" s="45">
        <f>(I37/'AAU 20-21'!I37)-1</f>
        <v>2.5322151411795168E-2</v>
      </c>
      <c r="K37" s="18"/>
      <c r="M37" s="38">
        <f>698+221</f>
        <v>919</v>
      </c>
      <c r="N37" s="38">
        <f>329+219</f>
        <v>548</v>
      </c>
      <c r="O37" s="38">
        <f>402+274</f>
        <v>676</v>
      </c>
      <c r="P37" s="36">
        <f t="shared" si="0"/>
        <v>139779.9</v>
      </c>
      <c r="Q37" s="36">
        <f t="shared" si="0"/>
        <v>60006</v>
      </c>
      <c r="R37" s="36">
        <f t="shared" si="0"/>
        <v>65977.599999999991</v>
      </c>
      <c r="S37" s="36">
        <f t="shared" si="1"/>
        <v>2143</v>
      </c>
      <c r="T37" s="36">
        <f t="shared" si="2"/>
        <v>265763.5</v>
      </c>
      <c r="U37" s="37">
        <f t="shared" si="4"/>
        <v>124.01469902006532</v>
      </c>
    </row>
    <row r="38" spans="1:21" ht="13.5" customHeight="1" x14ac:dyDescent="0.3">
      <c r="A38" s="19"/>
      <c r="C38" s="31">
        <v>28</v>
      </c>
      <c r="D38" s="1" t="s">
        <v>36</v>
      </c>
      <c r="E38" s="20">
        <v>180.5</v>
      </c>
      <c r="F38" s="20">
        <v>117.4</v>
      </c>
      <c r="G38" s="20">
        <v>91.9</v>
      </c>
      <c r="I38" s="20">
        <f t="shared" si="3"/>
        <v>134.28981619473424</v>
      </c>
      <c r="J38" s="45">
        <f>(I38/'AAU 20-21'!I38)-1</f>
        <v>2.1050710847779985E-2</v>
      </c>
      <c r="K38" s="18"/>
      <c r="M38" s="38">
        <f>549+263</f>
        <v>812</v>
      </c>
      <c r="N38" s="39">
        <f>237+288</f>
        <v>525</v>
      </c>
      <c r="O38" s="38">
        <f>285+391</f>
        <v>676</v>
      </c>
      <c r="P38" s="36">
        <f t="shared" si="0"/>
        <v>146566</v>
      </c>
      <c r="Q38" s="36">
        <f t="shared" si="0"/>
        <v>61635</v>
      </c>
      <c r="R38" s="36">
        <f t="shared" si="0"/>
        <v>62124.4</v>
      </c>
      <c r="S38" s="36">
        <f t="shared" si="1"/>
        <v>2013</v>
      </c>
      <c r="T38" s="36">
        <f t="shared" si="2"/>
        <v>270325.40000000002</v>
      </c>
      <c r="U38" s="37">
        <f t="shared" si="4"/>
        <v>134.28981619473424</v>
      </c>
    </row>
    <row r="39" spans="1:21" ht="13.5" customHeight="1" x14ac:dyDescent="0.3">
      <c r="A39" s="19"/>
      <c r="C39" s="31">
        <v>29</v>
      </c>
      <c r="D39" s="1" t="s">
        <v>46</v>
      </c>
      <c r="E39" s="20">
        <v>150.5</v>
      </c>
      <c r="F39" s="20">
        <v>104.2</v>
      </c>
      <c r="G39" s="20">
        <v>83.2</v>
      </c>
      <c r="I39" s="20">
        <f t="shared" si="3"/>
        <v>112.8260611205433</v>
      </c>
      <c r="J39" s="45">
        <f>(I39/'AAU 20-21'!I39)-1</f>
        <v>3.8158881656632504E-2</v>
      </c>
      <c r="K39" s="18"/>
      <c r="M39" s="38">
        <f>276+119</f>
        <v>395</v>
      </c>
      <c r="N39" s="38">
        <f>214+182</f>
        <v>396</v>
      </c>
      <c r="O39" s="38">
        <f>194+193</f>
        <v>387</v>
      </c>
      <c r="P39" s="36">
        <f t="shared" si="0"/>
        <v>59447.5</v>
      </c>
      <c r="Q39" s="36">
        <f t="shared" si="0"/>
        <v>41263.200000000004</v>
      </c>
      <c r="R39" s="36">
        <f t="shared" si="0"/>
        <v>32198.400000000001</v>
      </c>
      <c r="S39" s="36">
        <f t="shared" si="1"/>
        <v>1178</v>
      </c>
      <c r="T39" s="36">
        <f t="shared" si="2"/>
        <v>132909.1</v>
      </c>
      <c r="U39" s="37">
        <f t="shared" si="4"/>
        <v>112.8260611205433</v>
      </c>
    </row>
    <row r="40" spans="1:21" ht="13.5" customHeight="1" x14ac:dyDescent="0.3">
      <c r="A40" s="19"/>
      <c r="C40" s="31">
        <v>30</v>
      </c>
      <c r="D40" s="1" t="s">
        <v>47</v>
      </c>
      <c r="E40" s="20">
        <v>173.1</v>
      </c>
      <c r="F40" s="20">
        <v>118.2</v>
      </c>
      <c r="G40" s="20">
        <v>97.3</v>
      </c>
      <c r="I40" s="20">
        <f t="shared" si="3"/>
        <v>136.02916666666667</v>
      </c>
      <c r="J40" s="45">
        <f>(I40/'AAU 20-21'!I40)-1</f>
        <v>5.0327450819329433E-2</v>
      </c>
      <c r="K40" s="18"/>
      <c r="M40" s="38">
        <f>274+89</f>
        <v>363</v>
      </c>
      <c r="N40" s="38">
        <f>193+136</f>
        <v>329</v>
      </c>
      <c r="O40" s="38">
        <f>107+89</f>
        <v>196</v>
      </c>
      <c r="P40" s="36">
        <f t="shared" si="0"/>
        <v>62835.299999999996</v>
      </c>
      <c r="Q40" s="36">
        <f t="shared" si="0"/>
        <v>38887.800000000003</v>
      </c>
      <c r="R40" s="36">
        <f t="shared" si="0"/>
        <v>19070.8</v>
      </c>
      <c r="S40" s="36">
        <f t="shared" si="1"/>
        <v>888</v>
      </c>
      <c r="T40" s="36">
        <f t="shared" si="2"/>
        <v>120793.90000000001</v>
      </c>
      <c r="U40" s="37">
        <f t="shared" si="4"/>
        <v>136.02916666666667</v>
      </c>
    </row>
    <row r="41" spans="1:21" ht="13.5" customHeight="1" x14ac:dyDescent="0.3">
      <c r="A41" s="19"/>
      <c r="C41" s="31">
        <v>31</v>
      </c>
      <c r="D41" s="1" t="s">
        <v>48</v>
      </c>
      <c r="E41" s="20">
        <v>194.2</v>
      </c>
      <c r="F41" s="20">
        <v>128.30000000000001</v>
      </c>
      <c r="G41" s="20">
        <v>113.4</v>
      </c>
      <c r="I41" s="20">
        <f t="shared" si="3"/>
        <v>159.57729257641921</v>
      </c>
      <c r="J41" s="45">
        <f>(I41/'AAU 20-21'!I41)-1</f>
        <v>3.3112470113919157E-2</v>
      </c>
      <c r="K41" s="18"/>
      <c r="M41" s="38">
        <f>684+273</f>
        <v>957</v>
      </c>
      <c r="N41" s="38">
        <f>272+216</f>
        <v>488</v>
      </c>
      <c r="O41" s="38">
        <f>204+183</f>
        <v>387</v>
      </c>
      <c r="P41" s="36">
        <f t="shared" si="0"/>
        <v>185849.4</v>
      </c>
      <c r="Q41" s="36">
        <f t="shared" si="0"/>
        <v>62610.400000000009</v>
      </c>
      <c r="R41" s="36">
        <f t="shared" si="0"/>
        <v>43885.8</v>
      </c>
      <c r="S41" s="36">
        <f t="shared" si="1"/>
        <v>1832</v>
      </c>
      <c r="T41" s="36">
        <f t="shared" si="2"/>
        <v>292345.59999999998</v>
      </c>
      <c r="U41" s="37">
        <f t="shared" si="4"/>
        <v>159.57729257641921</v>
      </c>
    </row>
    <row r="42" spans="1:21" ht="13.5" customHeight="1" x14ac:dyDescent="0.3">
      <c r="A42" s="19"/>
      <c r="C42" s="31">
        <v>32</v>
      </c>
      <c r="D42" s="1" t="s">
        <v>102</v>
      </c>
      <c r="E42" s="20">
        <v>157.30000000000001</v>
      </c>
      <c r="F42" s="20">
        <v>110.1</v>
      </c>
      <c r="G42" s="20">
        <v>100.1</v>
      </c>
      <c r="I42" s="20">
        <f t="shared" si="3"/>
        <v>132.94808625336927</v>
      </c>
      <c r="J42" s="45">
        <f>(I42/'AAU 20-21'!I42)-1</f>
        <v>2.8572458177932303E-2</v>
      </c>
      <c r="K42" s="18"/>
      <c r="M42" s="38">
        <f>776+205</f>
        <v>981</v>
      </c>
      <c r="N42" s="38">
        <f>315+167</f>
        <v>482</v>
      </c>
      <c r="O42" s="38">
        <f>227+165</f>
        <v>392</v>
      </c>
      <c r="P42" s="36">
        <f t="shared" si="0"/>
        <v>154311.30000000002</v>
      </c>
      <c r="Q42" s="36">
        <f t="shared" si="0"/>
        <v>53068.2</v>
      </c>
      <c r="R42" s="36">
        <f t="shared" si="0"/>
        <v>39239.199999999997</v>
      </c>
      <c r="S42" s="36">
        <f t="shared" si="1"/>
        <v>1855</v>
      </c>
      <c r="T42" s="36">
        <f t="shared" si="2"/>
        <v>246618.7</v>
      </c>
      <c r="U42" s="37">
        <f t="shared" si="4"/>
        <v>132.94808625336927</v>
      </c>
    </row>
    <row r="43" spans="1:21" ht="13.5" customHeight="1" x14ac:dyDescent="0.3">
      <c r="A43" s="19"/>
      <c r="C43" s="31">
        <v>33</v>
      </c>
      <c r="D43" s="1" t="s">
        <v>114</v>
      </c>
      <c r="E43" s="20">
        <v>138.6</v>
      </c>
      <c r="F43" s="20">
        <v>97.2</v>
      </c>
      <c r="G43" s="20">
        <v>92.1</v>
      </c>
      <c r="I43" s="20">
        <f t="shared" si="3"/>
        <v>112.7173669467787</v>
      </c>
      <c r="J43" s="45">
        <f>(I43/'AAU 20-21'!I43)-1</f>
        <v>4.4624322585155918E-2</v>
      </c>
      <c r="K43" s="18"/>
      <c r="M43" s="38">
        <f>315+124</f>
        <v>439</v>
      </c>
      <c r="N43" s="38">
        <f>187+140</f>
        <v>327</v>
      </c>
      <c r="O43" s="38">
        <f>170+135</f>
        <v>305</v>
      </c>
      <c r="P43" s="36">
        <f t="shared" si="0"/>
        <v>60845.399999999994</v>
      </c>
      <c r="Q43" s="36">
        <f t="shared" si="0"/>
        <v>31784.400000000001</v>
      </c>
      <c r="R43" s="36">
        <f t="shared" si="0"/>
        <v>28090.5</v>
      </c>
      <c r="S43" s="36">
        <f t="shared" si="1"/>
        <v>1071</v>
      </c>
      <c r="T43" s="36">
        <f t="shared" si="2"/>
        <v>120720.29999999999</v>
      </c>
      <c r="U43" s="37">
        <f t="shared" si="4"/>
        <v>112.7173669467787</v>
      </c>
    </row>
    <row r="44" spans="1:21" ht="13.5" customHeight="1" x14ac:dyDescent="0.3">
      <c r="A44" s="19"/>
      <c r="C44" s="31">
        <v>34</v>
      </c>
      <c r="D44" s="1" t="s">
        <v>38</v>
      </c>
      <c r="E44" s="20">
        <v>194.9</v>
      </c>
      <c r="F44" s="20">
        <v>125.6</v>
      </c>
      <c r="G44" s="20">
        <v>98</v>
      </c>
      <c r="I44" s="20">
        <f t="shared" si="3"/>
        <v>147.02676630434783</v>
      </c>
      <c r="J44" s="45">
        <f>(I44/'AAU 20-21'!I44)-1</f>
        <v>3.0782116032581852E-2</v>
      </c>
      <c r="K44" s="18"/>
      <c r="M44" s="38">
        <f>449+173</f>
        <v>622</v>
      </c>
      <c r="N44" s="38">
        <f>229+202</f>
        <v>431</v>
      </c>
      <c r="O44" s="38">
        <f>221+198</f>
        <v>419</v>
      </c>
      <c r="P44" s="36">
        <f t="shared" si="0"/>
        <v>121227.8</v>
      </c>
      <c r="Q44" s="36">
        <f t="shared" si="0"/>
        <v>54133.599999999999</v>
      </c>
      <c r="R44" s="36">
        <f t="shared" si="0"/>
        <v>41062</v>
      </c>
      <c r="S44" s="36">
        <f t="shared" si="1"/>
        <v>1472</v>
      </c>
      <c r="T44" s="36">
        <f t="shared" si="2"/>
        <v>216423.4</v>
      </c>
      <c r="U44" s="37">
        <f t="shared" si="4"/>
        <v>147.02676630434783</v>
      </c>
    </row>
    <row r="45" spans="1:21" ht="13.5" customHeight="1" x14ac:dyDescent="0.3">
      <c r="A45" s="19"/>
      <c r="C45" s="31">
        <v>35</v>
      </c>
      <c r="D45" s="1" t="s">
        <v>39</v>
      </c>
      <c r="E45" s="20">
        <v>155.1</v>
      </c>
      <c r="F45" s="20">
        <v>113.5</v>
      </c>
      <c r="G45" s="20">
        <v>101.3</v>
      </c>
      <c r="I45" s="20">
        <f t="shared" si="3"/>
        <v>129.49849865951742</v>
      </c>
      <c r="J45" s="45">
        <f>(I45/'AAU 20-21'!I45)-1</f>
        <v>1.2373951480872947E-2</v>
      </c>
      <c r="K45" s="18"/>
      <c r="M45" s="38">
        <f>516+325</f>
        <v>841</v>
      </c>
      <c r="N45" s="38">
        <f>311+291</f>
        <v>602</v>
      </c>
      <c r="O45" s="38">
        <f>180+242</f>
        <v>422</v>
      </c>
      <c r="P45" s="36">
        <f t="shared" si="0"/>
        <v>130439.09999999999</v>
      </c>
      <c r="Q45" s="36">
        <f t="shared" si="0"/>
        <v>68327</v>
      </c>
      <c r="R45" s="36">
        <f t="shared" si="0"/>
        <v>42748.6</v>
      </c>
      <c r="S45" s="36">
        <f t="shared" si="1"/>
        <v>1865</v>
      </c>
      <c r="T45" s="36">
        <f t="shared" si="2"/>
        <v>241514.69999999998</v>
      </c>
      <c r="U45" s="37">
        <f t="shared" si="4"/>
        <v>129.49849865951742</v>
      </c>
    </row>
    <row r="46" spans="1:21" ht="13.5" customHeight="1" x14ac:dyDescent="0.3">
      <c r="A46" s="19"/>
      <c r="C46" s="31">
        <v>36</v>
      </c>
      <c r="D46" s="1" t="s">
        <v>40</v>
      </c>
      <c r="E46" s="20">
        <v>167</v>
      </c>
      <c r="F46" s="20">
        <v>121</v>
      </c>
      <c r="G46" s="20">
        <v>105.5</v>
      </c>
      <c r="I46" s="20">
        <f t="shared" si="3"/>
        <v>141.27384523095381</v>
      </c>
      <c r="J46" s="45">
        <f>(I46/'AAU 20-21'!I46)-1</f>
        <v>3.9287024514463642E-2</v>
      </c>
      <c r="K46" s="18"/>
      <c r="M46" s="38">
        <f>597+289</f>
        <v>886</v>
      </c>
      <c r="N46" s="38">
        <f>174+158</f>
        <v>332</v>
      </c>
      <c r="O46" s="38">
        <f>214+235</f>
        <v>449</v>
      </c>
      <c r="P46" s="36">
        <f t="shared" si="0"/>
        <v>147962</v>
      </c>
      <c r="Q46" s="36">
        <f t="shared" si="0"/>
        <v>40172</v>
      </c>
      <c r="R46" s="36">
        <f t="shared" si="0"/>
        <v>47369.5</v>
      </c>
      <c r="S46" s="36">
        <f t="shared" si="1"/>
        <v>1667</v>
      </c>
      <c r="T46" s="36">
        <f t="shared" si="2"/>
        <v>235503.5</v>
      </c>
      <c r="U46" s="37">
        <f t="shared" si="4"/>
        <v>141.27384523095381</v>
      </c>
    </row>
    <row r="47" spans="1:21" ht="13.5" customHeight="1" x14ac:dyDescent="0.3">
      <c r="A47" s="19"/>
      <c r="K47" s="18"/>
    </row>
    <row r="48" spans="1:21" ht="13.5" customHeight="1" x14ac:dyDescent="0.3">
      <c r="A48" s="19"/>
      <c r="D48" s="44" t="s">
        <v>54</v>
      </c>
      <c r="E48" s="41">
        <f>P48/M48</f>
        <v>170.24411547002219</v>
      </c>
      <c r="F48" s="41">
        <f t="shared" ref="F48:G48" si="6">Q48/N48</f>
        <v>111.99938226502822</v>
      </c>
      <c r="G48" s="41">
        <f t="shared" si="6"/>
        <v>97.587465729349731</v>
      </c>
      <c r="H48" s="40"/>
      <c r="I48" s="41">
        <f>U48</f>
        <v>134.60070898167842</v>
      </c>
      <c r="J48" s="46">
        <f>(I48/'AAU 20-21'!I48)-1</f>
        <v>2.7738059466110743E-2</v>
      </c>
      <c r="K48" s="18"/>
      <c r="M48" s="39">
        <f>SUM(M11:M46)</f>
        <v>24318</v>
      </c>
      <c r="N48" s="39">
        <f t="shared" ref="N48" si="7">SUM(N11:N46)</f>
        <v>15055</v>
      </c>
      <c r="O48" s="39">
        <f>SUM(O11:O46)</f>
        <v>14225</v>
      </c>
      <c r="P48" s="39">
        <f>SUM(P11:P46)</f>
        <v>4139996.4</v>
      </c>
      <c r="Q48" s="39">
        <f>SUM(Q11:Q46)</f>
        <v>1686150.6999999997</v>
      </c>
      <c r="R48" s="39">
        <f t="shared" ref="R48" si="8">SUM(R11:R46)</f>
        <v>1388181.7</v>
      </c>
      <c r="S48" s="36">
        <f>M48+N48+O48</f>
        <v>53598</v>
      </c>
      <c r="T48" s="36">
        <f>P48+Q48+R48</f>
        <v>7214328.7999999998</v>
      </c>
      <c r="U48" s="37">
        <f>T48/S48</f>
        <v>134.60070898167842</v>
      </c>
    </row>
    <row r="49" spans="1:11" ht="13.5" customHeight="1" x14ac:dyDescent="0.3">
      <c r="A49" s="19"/>
      <c r="D49" s="44" t="s">
        <v>55</v>
      </c>
      <c r="E49" s="41">
        <f>MEDIAN(E11:E46)</f>
        <v>159.9</v>
      </c>
      <c r="F49" s="41">
        <f t="shared" ref="F49:G49" si="9">MEDIAN(F11:F46)</f>
        <v>110.7</v>
      </c>
      <c r="G49" s="41">
        <f t="shared" si="9"/>
        <v>98</v>
      </c>
      <c r="H49" s="40"/>
      <c r="I49" s="41">
        <f>MEDIAN(I11:I46)</f>
        <v>129.7702657106706</v>
      </c>
      <c r="J49" s="46">
        <f>(I49/'AAU 20-21'!I49)-1</f>
        <v>9.5457395447262616E-3</v>
      </c>
      <c r="K49" s="18"/>
    </row>
    <row r="50" spans="1:11" ht="13.5" customHeight="1" x14ac:dyDescent="0.3">
      <c r="A50" s="19"/>
      <c r="B50" s="22"/>
      <c r="C50" s="33"/>
      <c r="D50" s="22"/>
      <c r="E50" s="22"/>
      <c r="F50" s="22"/>
      <c r="G50" s="22"/>
      <c r="H50" s="22"/>
      <c r="I50" s="22"/>
      <c r="J50" s="22"/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19"/>
      <c r="B52" s="16" t="s">
        <v>99</v>
      </c>
      <c r="K52" s="18"/>
    </row>
    <row r="53" spans="1:11" ht="13.5" customHeight="1" x14ac:dyDescent="0.3">
      <c r="A53" s="19"/>
      <c r="K53" s="18"/>
    </row>
    <row r="54" spans="1:11" ht="13.5" customHeight="1" x14ac:dyDescent="0.3">
      <c r="A54" s="21"/>
      <c r="B54" s="42" t="s">
        <v>56</v>
      </c>
      <c r="C54" s="33"/>
      <c r="D54" s="22"/>
      <c r="E54" s="22"/>
      <c r="F54" s="22"/>
      <c r="G54" s="22"/>
      <c r="H54" s="22"/>
      <c r="I54" s="22"/>
      <c r="J54" s="43" t="s">
        <v>120</v>
      </c>
      <c r="K54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B6336-9B45-418A-9BFF-62B08FE6B896}">
  <dimension ref="A1:U54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117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130.6</v>
      </c>
      <c r="F11" s="20">
        <v>89.1</v>
      </c>
      <c r="G11" s="20">
        <v>76.099999999999994</v>
      </c>
      <c r="I11" s="20">
        <f>U11</f>
        <v>102.63113325031132</v>
      </c>
      <c r="J11" s="45">
        <f>(I11/'AAU 19-20'!I11)-1</f>
        <v>-8.7869616125174854E-2</v>
      </c>
      <c r="K11" s="18"/>
      <c r="M11" s="38">
        <f>456+218</f>
        <v>674</v>
      </c>
      <c r="N11" s="38">
        <f>257+195</f>
        <v>452</v>
      </c>
      <c r="O11" s="38">
        <f>229+251</f>
        <v>480</v>
      </c>
      <c r="P11" s="36">
        <f t="shared" ref="P11:R46" si="0">E11*M11</f>
        <v>88024.4</v>
      </c>
      <c r="Q11" s="36">
        <f t="shared" si="0"/>
        <v>40273.199999999997</v>
      </c>
      <c r="R11" s="36">
        <f t="shared" si="0"/>
        <v>36528</v>
      </c>
      <c r="S11" s="36">
        <f t="shared" ref="S11:S46" si="1">M11+N11+O11</f>
        <v>1606</v>
      </c>
      <c r="T11" s="36">
        <f t="shared" ref="T11:T46" si="2">P11+Q11+R11</f>
        <v>164825.59999999998</v>
      </c>
      <c r="U11" s="37">
        <f>T11/S11</f>
        <v>102.63113325031132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214.3</v>
      </c>
      <c r="F12" s="20">
        <v>144</v>
      </c>
      <c r="G12" s="20">
        <v>116.3</v>
      </c>
      <c r="I12" s="20">
        <f t="shared" ref="I12:I46" si="3">U12</f>
        <v>180.18984635938546</v>
      </c>
      <c r="J12" s="45">
        <f>(I12/'AAU 19-20'!I12)-1</f>
        <v>2.4566219574162496E-4</v>
      </c>
      <c r="K12" s="18"/>
      <c r="M12" s="38">
        <f>623+256</f>
        <v>879</v>
      </c>
      <c r="N12" s="38">
        <f>196+147</f>
        <v>343</v>
      </c>
      <c r="O12" s="38">
        <f>154+121</f>
        <v>275</v>
      </c>
      <c r="P12" s="36">
        <f>E12*M12</f>
        <v>188369.7</v>
      </c>
      <c r="Q12" s="36">
        <f t="shared" si="0"/>
        <v>49392</v>
      </c>
      <c r="R12" s="36">
        <f>G12*O12</f>
        <v>31982.5</v>
      </c>
      <c r="S12" s="36">
        <f>M12+N12+O12</f>
        <v>1497</v>
      </c>
      <c r="T12" s="36">
        <f>P12+Q12+R12</f>
        <v>269744.2</v>
      </c>
      <c r="U12" s="37">
        <f t="shared" ref="U12:U46" si="4">T12/S12</f>
        <v>180.18984635938546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183.4</v>
      </c>
      <c r="F13" s="20">
        <v>125.5</v>
      </c>
      <c r="G13" s="20">
        <v>110.4</v>
      </c>
      <c r="I13" s="20">
        <f t="shared" si="3"/>
        <v>156.16069405099151</v>
      </c>
      <c r="J13" s="45">
        <f>(I13/'AAU 19-20'!I13)-1</f>
        <v>1.3105581463327187E-2</v>
      </c>
      <c r="K13" s="18"/>
      <c r="M13" s="38">
        <f>545+282</f>
        <v>827</v>
      </c>
      <c r="N13" s="38">
        <f>153+128</f>
        <v>281</v>
      </c>
      <c r="O13" s="38">
        <f>155+149</f>
        <v>304</v>
      </c>
      <c r="P13" s="36">
        <f t="shared" si="0"/>
        <v>151671.80000000002</v>
      </c>
      <c r="Q13" s="36">
        <f t="shared" si="0"/>
        <v>35265.5</v>
      </c>
      <c r="R13" s="36">
        <f t="shared" si="0"/>
        <v>33561.599999999999</v>
      </c>
      <c r="S13" s="36">
        <f t="shared" si="1"/>
        <v>1412</v>
      </c>
      <c r="T13" s="36">
        <f t="shared" si="2"/>
        <v>220498.90000000002</v>
      </c>
      <c r="U13" s="37">
        <f t="shared" si="4"/>
        <v>156.16069405099151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192.1</v>
      </c>
      <c r="F14" s="20">
        <v>129.19999999999999</v>
      </c>
      <c r="G14" s="20">
        <v>109.8</v>
      </c>
      <c r="I14" s="20">
        <f t="shared" si="3"/>
        <v>160.25377192982455</v>
      </c>
      <c r="J14" s="45">
        <f>(I14/'AAU 19-20'!I14)-1</f>
        <v>2.2177649098206853E-2</v>
      </c>
      <c r="K14" s="18"/>
      <c r="M14" s="38">
        <f>444+195</f>
        <v>639</v>
      </c>
      <c r="N14" s="38">
        <f>123+131</f>
        <v>254</v>
      </c>
      <c r="O14" s="38">
        <f>120+127</f>
        <v>247</v>
      </c>
      <c r="P14" s="36">
        <f t="shared" si="0"/>
        <v>122751.9</v>
      </c>
      <c r="Q14" s="36">
        <f t="shared" si="0"/>
        <v>32816.799999999996</v>
      </c>
      <c r="R14" s="36">
        <f t="shared" si="0"/>
        <v>27120.6</v>
      </c>
      <c r="S14" s="36">
        <f t="shared" si="1"/>
        <v>1140</v>
      </c>
      <c r="T14" s="36">
        <f t="shared" si="2"/>
        <v>182689.3</v>
      </c>
      <c r="U14" s="37">
        <f t="shared" si="4"/>
        <v>160.25377192982455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234.2</v>
      </c>
      <c r="F15" s="20">
        <v>149.19999999999999</v>
      </c>
      <c r="G15" s="20">
        <v>114.4</v>
      </c>
      <c r="I15" s="20">
        <f t="shared" si="3"/>
        <v>191.38770541692023</v>
      </c>
      <c r="J15" s="45">
        <f>(I15/'AAU 19-20'!I15)-1</f>
        <v>2.7154296287591473E-2</v>
      </c>
      <c r="K15" s="18"/>
      <c r="M15" s="38">
        <f>650+328</f>
        <v>978</v>
      </c>
      <c r="N15" s="38">
        <f>143+125</f>
        <v>268</v>
      </c>
      <c r="O15" s="38">
        <f>221+176</f>
        <v>397</v>
      </c>
      <c r="P15" s="36">
        <f t="shared" si="0"/>
        <v>229047.59999999998</v>
      </c>
      <c r="Q15" s="36">
        <f t="shared" si="0"/>
        <v>39985.599999999999</v>
      </c>
      <c r="R15" s="36">
        <f t="shared" si="0"/>
        <v>45416.800000000003</v>
      </c>
      <c r="S15" s="36">
        <f t="shared" si="1"/>
        <v>1643</v>
      </c>
      <c r="T15" s="36">
        <f t="shared" si="2"/>
        <v>314449.99999999994</v>
      </c>
      <c r="U15" s="37">
        <f t="shared" si="4"/>
        <v>191.38770541692023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202.6</v>
      </c>
      <c r="F16" s="20">
        <v>132.5</v>
      </c>
      <c r="G16" s="20">
        <v>113.8</v>
      </c>
      <c r="I16" s="20">
        <f t="shared" si="3"/>
        <v>165.65858867223773</v>
      </c>
      <c r="J16" s="45">
        <f>(I16/'AAU 19-20'!I16)-1</f>
        <v>3.0252396581763819E-2</v>
      </c>
      <c r="K16" s="18"/>
      <c r="M16" s="38">
        <f>463+119</f>
        <v>582</v>
      </c>
      <c r="N16" s="38">
        <f>139+84</f>
        <v>223</v>
      </c>
      <c r="O16" s="38">
        <f>151+121</f>
        <v>272</v>
      </c>
      <c r="P16" s="36">
        <f t="shared" si="0"/>
        <v>117913.2</v>
      </c>
      <c r="Q16" s="36">
        <f t="shared" si="0"/>
        <v>29547.5</v>
      </c>
      <c r="R16" s="36">
        <f t="shared" si="0"/>
        <v>30953.599999999999</v>
      </c>
      <c r="S16" s="36">
        <f t="shared" si="1"/>
        <v>1077</v>
      </c>
      <c r="T16" s="36">
        <f t="shared" si="2"/>
        <v>178414.30000000002</v>
      </c>
      <c r="U16" s="37">
        <f t="shared" si="4"/>
        <v>165.65858867223773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203.8</v>
      </c>
      <c r="F17" s="20">
        <v>122.1</v>
      </c>
      <c r="G17" s="20">
        <v>109.9</v>
      </c>
      <c r="I17" s="20">
        <f t="shared" si="3"/>
        <v>165.90442176870749</v>
      </c>
      <c r="J17" s="45">
        <f>(I17/'AAU 19-20'!I17)-1</f>
        <v>9.2007187555940284E-3</v>
      </c>
      <c r="K17" s="18"/>
      <c r="M17" s="38">
        <f>341+164</f>
        <v>505</v>
      </c>
      <c r="N17" s="38">
        <f>88+74</f>
        <v>162</v>
      </c>
      <c r="O17" s="38">
        <f>121+94</f>
        <v>215</v>
      </c>
      <c r="P17" s="36">
        <f t="shared" si="0"/>
        <v>102919</v>
      </c>
      <c r="Q17" s="36">
        <f t="shared" si="0"/>
        <v>19780.2</v>
      </c>
      <c r="R17" s="36">
        <f t="shared" si="0"/>
        <v>23628.5</v>
      </c>
      <c r="S17" s="36">
        <f t="shared" si="1"/>
        <v>882</v>
      </c>
      <c r="T17" s="36">
        <f t="shared" si="2"/>
        <v>146327.70000000001</v>
      </c>
      <c r="U17" s="37">
        <f t="shared" si="4"/>
        <v>165.90442176870749</v>
      </c>
    </row>
    <row r="18" spans="1:21" ht="13.5" customHeight="1" x14ac:dyDescent="0.3">
      <c r="A18" s="19"/>
      <c r="C18" s="31">
        <v>8</v>
      </c>
      <c r="D18" s="1" t="s">
        <v>113</v>
      </c>
      <c r="E18" s="20">
        <v>179.3</v>
      </c>
      <c r="F18" s="20">
        <v>123.2</v>
      </c>
      <c r="G18" s="20">
        <v>103.1</v>
      </c>
      <c r="I18" s="20">
        <f t="shared" si="3"/>
        <v>148.13451327433629</v>
      </c>
      <c r="J18" s="45">
        <f>(I18/'AAU 19-20'!I18)-1</f>
        <v>1.917346015150323E-2</v>
      </c>
      <c r="K18" s="18"/>
      <c r="M18" s="38">
        <f>196+106</f>
        <v>302</v>
      </c>
      <c r="N18" s="38">
        <f>63+58</f>
        <v>121</v>
      </c>
      <c r="O18" s="38">
        <f>67+75</f>
        <v>142</v>
      </c>
      <c r="P18" s="36">
        <f>E18*M18</f>
        <v>54148.600000000006</v>
      </c>
      <c r="Q18" s="36">
        <f t="shared" si="0"/>
        <v>14907.2</v>
      </c>
      <c r="R18" s="36">
        <f t="shared" si="0"/>
        <v>14640.199999999999</v>
      </c>
      <c r="S18" s="36">
        <f>M18+N18+O18</f>
        <v>565</v>
      </c>
      <c r="T18" s="36">
        <f>P18+Q18+R18</f>
        <v>83696</v>
      </c>
      <c r="U18" s="37">
        <f>T18/S18</f>
        <v>148.13451327433629</v>
      </c>
    </row>
    <row r="19" spans="1:21" ht="13.5" customHeight="1" x14ac:dyDescent="0.3">
      <c r="A19" s="19"/>
      <c r="C19" s="31">
        <v>9</v>
      </c>
      <c r="D19" s="1" t="s">
        <v>18</v>
      </c>
      <c r="E19" s="20">
        <v>141.1</v>
      </c>
      <c r="F19" s="20">
        <v>100</v>
      </c>
      <c r="G19" s="20">
        <v>99.7</v>
      </c>
      <c r="I19" s="20">
        <f t="shared" si="3"/>
        <v>117.15690923957482</v>
      </c>
      <c r="J19" s="45">
        <f>(I19/'AAU 19-20'!I19)-1</f>
        <v>-5.4426844769396299E-2</v>
      </c>
      <c r="K19" s="18"/>
      <c r="M19" s="38">
        <f>370+143</f>
        <v>513</v>
      </c>
      <c r="N19" s="38">
        <f>211+161</f>
        <v>372</v>
      </c>
      <c r="O19" s="39">
        <f>192+146</f>
        <v>338</v>
      </c>
      <c r="P19" s="36">
        <f t="shared" si="0"/>
        <v>72384.3</v>
      </c>
      <c r="Q19" s="36">
        <f t="shared" si="0"/>
        <v>37200</v>
      </c>
      <c r="R19" s="36">
        <f t="shared" si="0"/>
        <v>33698.6</v>
      </c>
      <c r="S19" s="36">
        <f t="shared" si="1"/>
        <v>1223</v>
      </c>
      <c r="T19" s="36">
        <f t="shared" si="2"/>
        <v>143282.9</v>
      </c>
      <c r="U19" s="37">
        <f t="shared" si="4"/>
        <v>117.15690923957482</v>
      </c>
    </row>
    <row r="20" spans="1:21" ht="13.5" customHeight="1" x14ac:dyDescent="0.3">
      <c r="A20" s="19"/>
      <c r="C20" s="31">
        <v>10</v>
      </c>
      <c r="D20" s="1" t="s">
        <v>19</v>
      </c>
      <c r="E20" s="20">
        <v>154.69999999999999</v>
      </c>
      <c r="F20" s="20">
        <v>106.5</v>
      </c>
      <c r="G20" s="20">
        <v>90.1</v>
      </c>
      <c r="I20" s="20">
        <f t="shared" si="3"/>
        <v>121.06033934252386</v>
      </c>
      <c r="J20" s="45">
        <f>(I20/'AAU 19-20'!I20)-1</f>
        <v>3.2139339127890132E-4</v>
      </c>
      <c r="K20" s="18"/>
      <c r="M20" s="38">
        <f>582+198</f>
        <v>780</v>
      </c>
      <c r="N20" s="38">
        <f>280+208</f>
        <v>488</v>
      </c>
      <c r="O20" s="38">
        <f>320+298</f>
        <v>618</v>
      </c>
      <c r="P20" s="36">
        <f t="shared" si="0"/>
        <v>120665.99999999999</v>
      </c>
      <c r="Q20" s="36">
        <f t="shared" si="0"/>
        <v>51972</v>
      </c>
      <c r="R20" s="36">
        <f t="shared" si="0"/>
        <v>55681.799999999996</v>
      </c>
      <c r="S20" s="36">
        <f t="shared" si="1"/>
        <v>1886</v>
      </c>
      <c r="T20" s="36">
        <f t="shared" si="2"/>
        <v>228319.8</v>
      </c>
      <c r="U20" s="37">
        <f t="shared" si="4"/>
        <v>121.06033934252386</v>
      </c>
    </row>
    <row r="21" spans="1:21" ht="13.5" customHeight="1" x14ac:dyDescent="0.3">
      <c r="A21" s="19"/>
      <c r="C21" s="31">
        <v>11</v>
      </c>
      <c r="D21" s="1" t="s">
        <v>20</v>
      </c>
      <c r="E21" s="20">
        <v>165.9</v>
      </c>
      <c r="F21" s="20">
        <v>117.8</v>
      </c>
      <c r="G21" s="20">
        <v>108.3</v>
      </c>
      <c r="I21" s="20">
        <f t="shared" si="3"/>
        <v>138.95880195599022</v>
      </c>
      <c r="J21" s="45">
        <f>(I21/'AAU 19-20'!I21)-1</f>
        <v>5.8706149797675966E-3</v>
      </c>
      <c r="K21" s="18"/>
      <c r="M21" s="38">
        <f>333+61</f>
        <v>394</v>
      </c>
      <c r="N21" s="38">
        <f>177+74</f>
        <v>251</v>
      </c>
      <c r="O21" s="38">
        <f>105+68</f>
        <v>173</v>
      </c>
      <c r="P21" s="36">
        <f t="shared" si="0"/>
        <v>65364.600000000006</v>
      </c>
      <c r="Q21" s="36">
        <f t="shared" si="0"/>
        <v>29567.8</v>
      </c>
      <c r="R21" s="36">
        <f t="shared" si="0"/>
        <v>18735.899999999998</v>
      </c>
      <c r="S21" s="36">
        <f t="shared" si="1"/>
        <v>818</v>
      </c>
      <c r="T21" s="36">
        <f t="shared" si="2"/>
        <v>113668.3</v>
      </c>
      <c r="U21" s="37">
        <f t="shared" si="4"/>
        <v>138.95880195599022</v>
      </c>
    </row>
    <row r="22" spans="1:21" ht="13.5" customHeight="1" x14ac:dyDescent="0.3">
      <c r="A22" s="19"/>
      <c r="C22" s="31">
        <v>12</v>
      </c>
      <c r="D22" s="1" t="s">
        <v>21</v>
      </c>
      <c r="E22" s="20">
        <v>159</v>
      </c>
      <c r="F22" s="20">
        <v>108.9</v>
      </c>
      <c r="G22" s="20">
        <v>101.9</v>
      </c>
      <c r="I22" s="20">
        <f t="shared" si="3"/>
        <v>129.17077483099322</v>
      </c>
      <c r="J22" s="45">
        <f>(I22/'AAU 19-20'!I22)-1</f>
        <v>-5.5157290419317606E-3</v>
      </c>
      <c r="K22" s="18"/>
      <c r="M22" s="38">
        <f>628+229</f>
        <v>857</v>
      </c>
      <c r="N22" s="38">
        <f>284+217</f>
        <v>501</v>
      </c>
      <c r="O22" s="38">
        <f>308+257</f>
        <v>565</v>
      </c>
      <c r="P22" s="36">
        <f t="shared" si="0"/>
        <v>136263</v>
      </c>
      <c r="Q22" s="36">
        <f t="shared" si="0"/>
        <v>54558.9</v>
      </c>
      <c r="R22" s="36">
        <f t="shared" si="0"/>
        <v>57573.5</v>
      </c>
      <c r="S22" s="36">
        <f t="shared" si="1"/>
        <v>1923</v>
      </c>
      <c r="T22" s="36">
        <f t="shared" si="2"/>
        <v>248395.4</v>
      </c>
      <c r="U22" s="37">
        <f t="shared" si="4"/>
        <v>129.17077483099322</v>
      </c>
    </row>
    <row r="23" spans="1:21" ht="13.5" customHeight="1" x14ac:dyDescent="0.3">
      <c r="A23" s="19"/>
      <c r="C23" s="31">
        <v>13</v>
      </c>
      <c r="D23" s="1" t="s">
        <v>22</v>
      </c>
      <c r="E23" s="20">
        <v>141.30000000000001</v>
      </c>
      <c r="F23" s="20">
        <v>102.9</v>
      </c>
      <c r="G23" s="20">
        <v>102.2</v>
      </c>
      <c r="I23" s="20">
        <f t="shared" si="3"/>
        <v>119.3938888888889</v>
      </c>
      <c r="J23" s="45">
        <f>(I23/'AAU 19-20'!I23)-1</f>
        <v>-1.5160360431844211E-2</v>
      </c>
      <c r="K23" s="18"/>
      <c r="M23" s="38">
        <f>490+213</f>
        <v>703</v>
      </c>
      <c r="N23" s="38">
        <f>313+211</f>
        <v>524</v>
      </c>
      <c r="O23" s="38">
        <f>212+181</f>
        <v>393</v>
      </c>
      <c r="P23" s="36">
        <f t="shared" si="0"/>
        <v>99333.900000000009</v>
      </c>
      <c r="Q23" s="36">
        <f t="shared" si="0"/>
        <v>53919.600000000006</v>
      </c>
      <c r="R23" s="36">
        <f t="shared" si="0"/>
        <v>40164.6</v>
      </c>
      <c r="S23" s="36">
        <f t="shared" si="1"/>
        <v>1620</v>
      </c>
      <c r="T23" s="36">
        <f t="shared" si="2"/>
        <v>193418.1</v>
      </c>
      <c r="U23" s="37">
        <f t="shared" si="4"/>
        <v>119.3938888888889</v>
      </c>
    </row>
    <row r="24" spans="1:21" ht="13.5" customHeight="1" x14ac:dyDescent="0.3">
      <c r="A24" s="19"/>
      <c r="C24" s="31">
        <v>14</v>
      </c>
      <c r="D24" s="1" t="s">
        <v>23</v>
      </c>
      <c r="E24" s="20">
        <v>150.9</v>
      </c>
      <c r="F24" s="20">
        <v>96.5</v>
      </c>
      <c r="G24" s="20">
        <v>93.2</v>
      </c>
      <c r="I24" s="20">
        <f t="shared" si="3"/>
        <v>116.93917012448134</v>
      </c>
      <c r="J24" s="45">
        <f>(I24/'AAU 19-20'!I24)-1</f>
        <v>4.5712164456414905E-2</v>
      </c>
      <c r="K24" s="18"/>
      <c r="M24" s="38">
        <f>327+142</f>
        <v>469</v>
      </c>
      <c r="N24" s="38">
        <f>250+218</f>
        <v>468</v>
      </c>
      <c r="O24" s="38">
        <f>121+147</f>
        <v>268</v>
      </c>
      <c r="P24" s="36">
        <f t="shared" si="0"/>
        <v>70772.100000000006</v>
      </c>
      <c r="Q24" s="36">
        <f t="shared" si="0"/>
        <v>45162</v>
      </c>
      <c r="R24" s="36">
        <f t="shared" si="0"/>
        <v>24977.600000000002</v>
      </c>
      <c r="S24" s="36">
        <f t="shared" si="1"/>
        <v>1205</v>
      </c>
      <c r="T24" s="36">
        <f t="shared" si="2"/>
        <v>140911.70000000001</v>
      </c>
      <c r="U24" s="37">
        <f t="shared" si="4"/>
        <v>116.93917012448134</v>
      </c>
    </row>
    <row r="25" spans="1:21" ht="13.5" customHeight="1" x14ac:dyDescent="0.3">
      <c r="A25" s="19"/>
      <c r="C25" s="31">
        <v>15</v>
      </c>
      <c r="D25" s="1" t="s">
        <v>24</v>
      </c>
      <c r="E25" s="20">
        <v>130.4</v>
      </c>
      <c r="F25" s="20">
        <v>94.5</v>
      </c>
      <c r="G25" s="20">
        <v>82.6</v>
      </c>
      <c r="I25" s="20">
        <f t="shared" si="3"/>
        <v>104.52346666666668</v>
      </c>
      <c r="J25" s="45">
        <f>(I25/'AAU 19-20'!I25)-1</f>
        <v>1.5742332163291017E-3</v>
      </c>
      <c r="K25" s="18"/>
      <c r="M25" s="38">
        <f>420+143</f>
        <v>563</v>
      </c>
      <c r="N25" s="38">
        <f>284+218</f>
        <v>502</v>
      </c>
      <c r="O25" s="38">
        <f>246+189</f>
        <v>435</v>
      </c>
      <c r="P25" s="36">
        <f t="shared" si="0"/>
        <v>73415.199999999997</v>
      </c>
      <c r="Q25" s="36">
        <f t="shared" si="0"/>
        <v>47439</v>
      </c>
      <c r="R25" s="36">
        <f t="shared" si="0"/>
        <v>35931</v>
      </c>
      <c r="S25" s="36">
        <f t="shared" si="1"/>
        <v>1500</v>
      </c>
      <c r="T25" s="36">
        <f t="shared" si="2"/>
        <v>156785.20000000001</v>
      </c>
      <c r="U25" s="37">
        <f t="shared" si="4"/>
        <v>104.52346666666668</v>
      </c>
    </row>
    <row r="26" spans="1:21" ht="13.5" customHeight="1" x14ac:dyDescent="0.3">
      <c r="A26" s="19"/>
      <c r="C26" s="31">
        <v>16</v>
      </c>
      <c r="D26" s="1" t="s">
        <v>25</v>
      </c>
      <c r="E26" s="20">
        <v>122.9</v>
      </c>
      <c r="F26" s="20">
        <v>85.4</v>
      </c>
      <c r="G26" s="20">
        <v>82.3</v>
      </c>
      <c r="I26" s="20">
        <f t="shared" si="3"/>
        <v>99.863087248322145</v>
      </c>
      <c r="J26" s="45">
        <f>(I26/'AAU 19-20'!I26)-1</f>
        <v>-3.1548687356640959E-2</v>
      </c>
      <c r="K26" s="18"/>
      <c r="M26" s="38">
        <f>295+130</f>
        <v>425</v>
      </c>
      <c r="N26" s="38">
        <f>191+152</f>
        <v>343</v>
      </c>
      <c r="O26" s="38">
        <f>156+119</f>
        <v>275</v>
      </c>
      <c r="P26" s="36">
        <f t="shared" si="0"/>
        <v>52232.5</v>
      </c>
      <c r="Q26" s="36">
        <f t="shared" si="0"/>
        <v>29292.2</v>
      </c>
      <c r="R26" s="36">
        <f t="shared" si="0"/>
        <v>22632.5</v>
      </c>
      <c r="S26" s="36">
        <f t="shared" si="1"/>
        <v>1043</v>
      </c>
      <c r="T26" s="36">
        <f t="shared" si="2"/>
        <v>104157.2</v>
      </c>
      <c r="U26" s="37">
        <f t="shared" si="4"/>
        <v>99.863087248322145</v>
      </c>
    </row>
    <row r="27" spans="1:21" ht="13.5" customHeight="1" x14ac:dyDescent="0.3">
      <c r="A27" s="19"/>
      <c r="C27" s="31">
        <v>17</v>
      </c>
      <c r="D27" s="1" t="s">
        <v>26</v>
      </c>
      <c r="E27" s="20">
        <v>170.7</v>
      </c>
      <c r="F27" s="20">
        <v>116.4</v>
      </c>
      <c r="G27" s="20">
        <v>101.8</v>
      </c>
      <c r="I27" s="20">
        <f t="shared" si="3"/>
        <v>139.50054384772264</v>
      </c>
      <c r="J27" s="45">
        <f>(I27/'AAU 19-20'!I27)-1</f>
        <v>3.0441946518764418E-3</v>
      </c>
      <c r="K27" s="18"/>
      <c r="M27" s="38">
        <f>525+182</f>
        <v>707</v>
      </c>
      <c r="N27" s="38">
        <f>248+214</f>
        <v>462</v>
      </c>
      <c r="O27" s="38">
        <f>140+162</f>
        <v>302</v>
      </c>
      <c r="P27" s="36">
        <f t="shared" si="0"/>
        <v>120684.9</v>
      </c>
      <c r="Q27" s="36">
        <f t="shared" si="0"/>
        <v>53776.800000000003</v>
      </c>
      <c r="R27" s="36">
        <f t="shared" si="0"/>
        <v>30743.599999999999</v>
      </c>
      <c r="S27" s="36">
        <f t="shared" si="1"/>
        <v>1471</v>
      </c>
      <c r="T27" s="36">
        <f t="shared" si="2"/>
        <v>205205.30000000002</v>
      </c>
      <c r="U27" s="37">
        <f t="shared" si="4"/>
        <v>139.50054384772264</v>
      </c>
    </row>
    <row r="28" spans="1:21" ht="13.5" customHeight="1" x14ac:dyDescent="0.3">
      <c r="A28" s="19"/>
      <c r="C28" s="31">
        <v>18</v>
      </c>
      <c r="D28" s="1" t="s">
        <v>27</v>
      </c>
      <c r="E28" s="20">
        <v>177.1</v>
      </c>
      <c r="F28" s="20">
        <v>118</v>
      </c>
      <c r="G28" s="20">
        <v>99.9</v>
      </c>
      <c r="I28" s="20">
        <f t="shared" si="3"/>
        <v>141.82554094187526</v>
      </c>
      <c r="J28" s="45">
        <f>(I28/'AAU 19-20'!I28)-1</f>
        <v>-1.1519505165412114E-2</v>
      </c>
      <c r="K28" s="18"/>
      <c r="M28" s="38">
        <f>791+350</f>
        <v>1141</v>
      </c>
      <c r="N28" s="38">
        <f>317+276</f>
        <v>593</v>
      </c>
      <c r="O28" s="38">
        <f>320+303</f>
        <v>623</v>
      </c>
      <c r="P28" s="36">
        <f t="shared" si="0"/>
        <v>202071.1</v>
      </c>
      <c r="Q28" s="36">
        <f t="shared" si="0"/>
        <v>69974</v>
      </c>
      <c r="R28" s="36">
        <f t="shared" si="0"/>
        <v>62237.700000000004</v>
      </c>
      <c r="S28" s="36">
        <f t="shared" si="1"/>
        <v>2357</v>
      </c>
      <c r="T28" s="36">
        <f t="shared" si="2"/>
        <v>334282.8</v>
      </c>
      <c r="U28" s="37">
        <f t="shared" si="4"/>
        <v>141.82554094187526</v>
      </c>
    </row>
    <row r="29" spans="1:21" ht="13.5" customHeight="1" x14ac:dyDescent="0.3">
      <c r="A29" s="19"/>
      <c r="C29" s="31">
        <v>19</v>
      </c>
      <c r="D29" s="1" t="s">
        <v>28</v>
      </c>
      <c r="E29" s="20">
        <v>155.19999999999999</v>
      </c>
      <c r="F29" s="20">
        <v>102.7</v>
      </c>
      <c r="G29" s="20">
        <v>83.7</v>
      </c>
      <c r="I29" s="20">
        <f t="shared" si="3"/>
        <v>115.99724041159963</v>
      </c>
      <c r="J29" s="45">
        <f>(I29/'AAU 19-20'!I29)-1</f>
        <v>-2.0208253512441154E-2</v>
      </c>
      <c r="K29" s="18"/>
      <c r="M29" s="38">
        <f>581+220</f>
        <v>801</v>
      </c>
      <c r="N29" s="38">
        <f>339+281</f>
        <v>620</v>
      </c>
      <c r="O29" s="38">
        <f>344+373</f>
        <v>717</v>
      </c>
      <c r="P29" s="36">
        <f t="shared" si="0"/>
        <v>124315.2</v>
      </c>
      <c r="Q29" s="36">
        <f t="shared" si="0"/>
        <v>63674</v>
      </c>
      <c r="R29" s="36">
        <f t="shared" si="0"/>
        <v>60012.9</v>
      </c>
      <c r="S29" s="36">
        <f t="shared" si="1"/>
        <v>2138</v>
      </c>
      <c r="T29" s="36">
        <f t="shared" si="2"/>
        <v>248002.1</v>
      </c>
      <c r="U29" s="37">
        <f t="shared" si="4"/>
        <v>115.99724041159963</v>
      </c>
    </row>
    <row r="30" spans="1:21" ht="13.5" customHeight="1" x14ac:dyDescent="0.3">
      <c r="A30" s="19"/>
      <c r="C30" s="31">
        <v>20</v>
      </c>
      <c r="D30" s="1" t="s">
        <v>29</v>
      </c>
      <c r="E30" s="20">
        <v>147.9</v>
      </c>
      <c r="F30" s="20">
        <v>103.8</v>
      </c>
      <c r="G30" s="20">
        <v>93</v>
      </c>
      <c r="I30" s="20">
        <f t="shared" si="3"/>
        <v>120.93695652173913</v>
      </c>
      <c r="J30" s="45">
        <f>(I30/'AAU 19-20'!I30)-1</f>
        <v>-2.7388923116051789E-3</v>
      </c>
      <c r="K30" s="18"/>
      <c r="M30" s="38">
        <f>636+295</f>
        <v>931</v>
      </c>
      <c r="N30" s="38">
        <f>339+283</f>
        <v>622</v>
      </c>
      <c r="O30" s="38">
        <f>245+272</f>
        <v>517</v>
      </c>
      <c r="P30" s="36">
        <f t="shared" si="0"/>
        <v>137694.9</v>
      </c>
      <c r="Q30" s="36">
        <f t="shared" si="0"/>
        <v>64563.6</v>
      </c>
      <c r="R30" s="36">
        <f t="shared" si="0"/>
        <v>48081</v>
      </c>
      <c r="S30" s="36">
        <f t="shared" si="1"/>
        <v>2070</v>
      </c>
      <c r="T30" s="36">
        <f t="shared" si="2"/>
        <v>250339.5</v>
      </c>
      <c r="U30" s="37">
        <f t="shared" si="4"/>
        <v>120.93695652173913</v>
      </c>
    </row>
    <row r="31" spans="1:21" ht="13.5" customHeight="1" x14ac:dyDescent="0.3">
      <c r="A31" s="19"/>
      <c r="C31" s="31">
        <v>21</v>
      </c>
      <c r="D31" s="24" t="s">
        <v>30</v>
      </c>
      <c r="E31" s="25">
        <v>131.5</v>
      </c>
      <c r="F31" s="25">
        <v>88.4</v>
      </c>
      <c r="G31" s="25">
        <v>84.2</v>
      </c>
      <c r="H31" s="24"/>
      <c r="I31" s="25">
        <f t="shared" si="3"/>
        <v>101.7178510998308</v>
      </c>
      <c r="J31" s="47">
        <f>(I31/'AAU 19-20'!I31)-1</f>
        <v>4.5315980375710607E-2</v>
      </c>
      <c r="K31" s="18"/>
      <c r="M31" s="38">
        <f>282+119</f>
        <v>401</v>
      </c>
      <c r="N31" s="38">
        <f>230+184</f>
        <v>414</v>
      </c>
      <c r="O31" s="38">
        <f>163+204</f>
        <v>367</v>
      </c>
      <c r="P31" s="36">
        <f t="shared" si="0"/>
        <v>52731.5</v>
      </c>
      <c r="Q31" s="36">
        <f t="shared" si="0"/>
        <v>36597.600000000006</v>
      </c>
      <c r="R31" s="36">
        <f t="shared" si="0"/>
        <v>30901.4</v>
      </c>
      <c r="S31" s="36">
        <f t="shared" si="1"/>
        <v>1182</v>
      </c>
      <c r="T31" s="36">
        <f t="shared" si="2"/>
        <v>120230.5</v>
      </c>
      <c r="U31" s="37">
        <f t="shared" si="4"/>
        <v>101.7178510998308</v>
      </c>
    </row>
    <row r="32" spans="1:21" ht="13.5" customHeight="1" x14ac:dyDescent="0.3">
      <c r="A32" s="19"/>
      <c r="C32" s="31">
        <v>22</v>
      </c>
      <c r="D32" s="1" t="s">
        <v>45</v>
      </c>
      <c r="E32" s="20">
        <v>168.1</v>
      </c>
      <c r="F32" s="20">
        <v>107</v>
      </c>
      <c r="G32" s="20">
        <v>103.2</v>
      </c>
      <c r="I32" s="20">
        <f t="shared" si="3"/>
        <v>136.54078398665555</v>
      </c>
      <c r="J32" s="45">
        <f>(I32/'AAU 19-20'!I32)-1</f>
        <v>2.9488661106852776E-2</v>
      </c>
      <c r="K32" s="18"/>
      <c r="M32" s="38">
        <f>389+205</f>
        <v>594</v>
      </c>
      <c r="N32" s="38">
        <f>207+168</f>
        <v>375</v>
      </c>
      <c r="O32" s="38">
        <f>115+115</f>
        <v>230</v>
      </c>
      <c r="P32" s="36">
        <f t="shared" si="0"/>
        <v>99851.4</v>
      </c>
      <c r="Q32" s="36">
        <f t="shared" si="0"/>
        <v>40125</v>
      </c>
      <c r="R32" s="36">
        <f t="shared" si="0"/>
        <v>23736</v>
      </c>
      <c r="S32" s="36">
        <f t="shared" si="1"/>
        <v>1199</v>
      </c>
      <c r="T32" s="36">
        <f t="shared" si="2"/>
        <v>163712.4</v>
      </c>
      <c r="U32" s="37">
        <f t="shared" si="4"/>
        <v>136.54078398665555</v>
      </c>
    </row>
    <row r="33" spans="1:21" ht="13.5" customHeight="1" x14ac:dyDescent="0.3">
      <c r="A33" s="19"/>
      <c r="C33" s="31">
        <v>23</v>
      </c>
      <c r="D33" s="1" t="s">
        <v>31</v>
      </c>
      <c r="E33" s="20">
        <v>154.80000000000001</v>
      </c>
      <c r="F33" s="20">
        <v>106.9</v>
      </c>
      <c r="G33" s="20">
        <v>97.1</v>
      </c>
      <c r="I33" s="20">
        <f t="shared" si="3"/>
        <v>125.43924210526316</v>
      </c>
      <c r="J33" s="45">
        <f>(I33/'AAU 19-20'!I33)-1</f>
        <v>5.3219970584774678E-3</v>
      </c>
      <c r="K33" s="18"/>
      <c r="M33" s="38">
        <f>708+335</f>
        <v>1043</v>
      </c>
      <c r="N33" s="38">
        <f>383+344</f>
        <v>727</v>
      </c>
      <c r="O33" s="38">
        <f>287+318</f>
        <v>605</v>
      </c>
      <c r="P33" s="36">
        <f t="shared" si="0"/>
        <v>161456.40000000002</v>
      </c>
      <c r="Q33" s="36">
        <f t="shared" si="0"/>
        <v>77716.3</v>
      </c>
      <c r="R33" s="36">
        <f t="shared" si="0"/>
        <v>58745.5</v>
      </c>
      <c r="S33" s="36">
        <f t="shared" si="1"/>
        <v>2375</v>
      </c>
      <c r="T33" s="36">
        <f t="shared" si="2"/>
        <v>297918.2</v>
      </c>
      <c r="U33" s="37">
        <f t="shared" si="4"/>
        <v>125.43924210526316</v>
      </c>
    </row>
    <row r="34" spans="1:21" ht="13.5" customHeight="1" x14ac:dyDescent="0.3">
      <c r="A34" s="19"/>
      <c r="C34" s="31">
        <v>24</v>
      </c>
      <c r="D34" s="1" t="s">
        <v>32</v>
      </c>
      <c r="E34" s="20">
        <v>143.1</v>
      </c>
      <c r="F34" s="20">
        <v>104.3</v>
      </c>
      <c r="G34" s="20">
        <v>92</v>
      </c>
      <c r="I34" s="20">
        <f t="shared" si="3"/>
        <v>115.92691823899371</v>
      </c>
      <c r="J34" s="45">
        <f>(I34/'AAU 19-20'!I34)-1</f>
        <v>6.9743018437501858E-2</v>
      </c>
      <c r="K34" s="18"/>
      <c r="M34" s="38">
        <f>203+98</f>
        <v>301</v>
      </c>
      <c r="N34" s="38">
        <f>175+121</f>
        <v>296</v>
      </c>
      <c r="O34" s="38">
        <f>96+102</f>
        <v>198</v>
      </c>
      <c r="P34" s="36">
        <f t="shared" si="0"/>
        <v>43073.1</v>
      </c>
      <c r="Q34" s="36">
        <f t="shared" si="0"/>
        <v>30872.799999999999</v>
      </c>
      <c r="R34" s="36">
        <f t="shared" si="0"/>
        <v>18216</v>
      </c>
      <c r="S34" s="36">
        <f t="shared" si="1"/>
        <v>795</v>
      </c>
      <c r="T34" s="36">
        <f t="shared" si="2"/>
        <v>92161.9</v>
      </c>
      <c r="U34" s="37">
        <f t="shared" si="4"/>
        <v>115.92691823899371</v>
      </c>
    </row>
    <row r="35" spans="1:21" ht="13.5" customHeight="1" x14ac:dyDescent="0.3">
      <c r="A35" s="19"/>
      <c r="C35" s="31">
        <v>25</v>
      </c>
      <c r="D35" s="1" t="s">
        <v>33</v>
      </c>
      <c r="E35" s="20">
        <v>158.9</v>
      </c>
      <c r="F35" s="20">
        <v>103.7</v>
      </c>
      <c r="G35" s="20">
        <v>84.7</v>
      </c>
      <c r="I35" s="20">
        <f t="shared" si="3"/>
        <v>118.33400809716599</v>
      </c>
      <c r="J35" s="45">
        <f>(I35/'AAU 19-20'!I35)-1</f>
        <v>3.3138418589429008E-5</v>
      </c>
      <c r="K35" s="18"/>
      <c r="M35" s="38">
        <f>752+286</f>
        <v>1038</v>
      </c>
      <c r="N35" s="38">
        <f>425+331</f>
        <v>756</v>
      </c>
      <c r="O35" s="38">
        <f>466+457</f>
        <v>923</v>
      </c>
      <c r="P35" s="36">
        <f t="shared" si="0"/>
        <v>164938.20000000001</v>
      </c>
      <c r="Q35" s="36">
        <f t="shared" si="0"/>
        <v>78397.2</v>
      </c>
      <c r="R35" s="36">
        <f t="shared" si="0"/>
        <v>78178.100000000006</v>
      </c>
      <c r="S35" s="36">
        <f t="shared" si="1"/>
        <v>2717</v>
      </c>
      <c r="T35" s="36">
        <f t="shared" si="2"/>
        <v>321513.5</v>
      </c>
      <c r="U35" s="37">
        <f t="shared" si="4"/>
        <v>118.33400809716599</v>
      </c>
    </row>
    <row r="36" spans="1:21" ht="13.5" customHeight="1" x14ac:dyDescent="0.3">
      <c r="A36" s="19"/>
      <c r="C36" s="31">
        <v>26</v>
      </c>
      <c r="D36" s="1" t="s">
        <v>34</v>
      </c>
      <c r="E36" s="20">
        <v>161.80000000000001</v>
      </c>
      <c r="F36" s="20">
        <v>104.4</v>
      </c>
      <c r="G36" s="20">
        <v>89</v>
      </c>
      <c r="I36" s="20">
        <f t="shared" si="3"/>
        <v>117.58218793828893</v>
      </c>
      <c r="J36" s="45">
        <f>(I36/'AAU 19-20'!I36)-1</f>
        <v>-9.9437846607118852E-3</v>
      </c>
      <c r="K36" s="18"/>
      <c r="M36" s="38">
        <f>325+142</f>
        <v>467</v>
      </c>
      <c r="N36" s="38">
        <f>230+209</f>
        <v>439</v>
      </c>
      <c r="O36" s="38">
        <f>246+274</f>
        <v>520</v>
      </c>
      <c r="P36" s="36">
        <f t="shared" si="0"/>
        <v>75560.600000000006</v>
      </c>
      <c r="Q36" s="36">
        <f t="shared" si="0"/>
        <v>45831.600000000006</v>
      </c>
      <c r="R36" s="36">
        <f t="shared" si="0"/>
        <v>46280</v>
      </c>
      <c r="S36" s="36">
        <f t="shared" si="1"/>
        <v>1426</v>
      </c>
      <c r="T36" s="36">
        <f t="shared" si="2"/>
        <v>167672.20000000001</v>
      </c>
      <c r="U36" s="37">
        <f t="shared" si="4"/>
        <v>117.58218793828893</v>
      </c>
    </row>
    <row r="37" spans="1:21" ht="13.5" customHeight="1" x14ac:dyDescent="0.3">
      <c r="A37" s="19"/>
      <c r="C37" s="31">
        <v>27</v>
      </c>
      <c r="D37" s="1" t="s">
        <v>35</v>
      </c>
      <c r="E37" s="20">
        <v>148.30000000000001</v>
      </c>
      <c r="F37" s="20">
        <v>107.6</v>
      </c>
      <c r="G37" s="20">
        <v>93.8</v>
      </c>
      <c r="I37" s="20">
        <f t="shared" si="3"/>
        <v>120.9519357884797</v>
      </c>
      <c r="J37" s="45">
        <f>(I37/'AAU 19-20'!I37)-1</f>
        <v>3.8735553819124746E-4</v>
      </c>
      <c r="K37" s="18"/>
      <c r="M37" s="38">
        <f>703+219</f>
        <v>922</v>
      </c>
      <c r="N37" s="38">
        <f>322+204</f>
        <v>526</v>
      </c>
      <c r="O37" s="38">
        <f>378+292</f>
        <v>670</v>
      </c>
      <c r="P37" s="36">
        <f t="shared" si="0"/>
        <v>136732.6</v>
      </c>
      <c r="Q37" s="36">
        <f t="shared" si="0"/>
        <v>56597.599999999999</v>
      </c>
      <c r="R37" s="36">
        <f t="shared" si="0"/>
        <v>62846</v>
      </c>
      <c r="S37" s="36">
        <f t="shared" si="1"/>
        <v>2118</v>
      </c>
      <c r="T37" s="36">
        <f t="shared" si="2"/>
        <v>256176.2</v>
      </c>
      <c r="U37" s="37">
        <f t="shared" si="4"/>
        <v>120.9519357884797</v>
      </c>
    </row>
    <row r="38" spans="1:21" ht="13.5" customHeight="1" x14ac:dyDescent="0.3">
      <c r="A38" s="19"/>
      <c r="C38" s="31">
        <v>28</v>
      </c>
      <c r="D38" s="1" t="s">
        <v>36</v>
      </c>
      <c r="E38" s="20">
        <v>175.2</v>
      </c>
      <c r="F38" s="20">
        <v>113.8</v>
      </c>
      <c r="G38" s="20">
        <v>90.5</v>
      </c>
      <c r="I38" s="20">
        <f t="shared" si="3"/>
        <v>131.52120141342755</v>
      </c>
      <c r="J38" s="45">
        <f>(I38/'AAU 19-20'!I38)-1</f>
        <v>-5.5744248100044747E-3</v>
      </c>
      <c r="K38" s="18"/>
      <c r="M38" s="38">
        <f>555+260</f>
        <v>815</v>
      </c>
      <c r="N38" s="39">
        <f>236+289</f>
        <v>525</v>
      </c>
      <c r="O38" s="38">
        <f>280+361</f>
        <v>641</v>
      </c>
      <c r="P38" s="36">
        <f t="shared" si="0"/>
        <v>142788</v>
      </c>
      <c r="Q38" s="36">
        <f t="shared" si="0"/>
        <v>59745</v>
      </c>
      <c r="R38" s="36">
        <f t="shared" si="0"/>
        <v>58010.5</v>
      </c>
      <c r="S38" s="36">
        <f t="shared" si="1"/>
        <v>1981</v>
      </c>
      <c r="T38" s="36">
        <f t="shared" si="2"/>
        <v>260543.5</v>
      </c>
      <c r="U38" s="37">
        <f t="shared" si="4"/>
        <v>131.52120141342755</v>
      </c>
    </row>
    <row r="39" spans="1:21" ht="13.5" customHeight="1" x14ac:dyDescent="0.3">
      <c r="A39" s="19"/>
      <c r="C39" s="31">
        <v>29</v>
      </c>
      <c r="D39" s="1" t="s">
        <v>46</v>
      </c>
      <c r="E39" s="20">
        <v>144.1</v>
      </c>
      <c r="F39" s="20">
        <v>100.1</v>
      </c>
      <c r="G39" s="20">
        <v>80.8</v>
      </c>
      <c r="I39" s="20">
        <f t="shared" si="3"/>
        <v>108.67899231426132</v>
      </c>
      <c r="J39" s="45">
        <f>(I39/'AAU 19-20'!I39)-1</f>
        <v>-5.6713877751833897E-3</v>
      </c>
      <c r="K39" s="18"/>
      <c r="M39" s="38">
        <f>282+113</f>
        <v>395</v>
      </c>
      <c r="N39" s="38">
        <f>221+175</f>
        <v>396</v>
      </c>
      <c r="O39" s="38">
        <f>192+188</f>
        <v>380</v>
      </c>
      <c r="P39" s="36">
        <f t="shared" si="0"/>
        <v>56919.5</v>
      </c>
      <c r="Q39" s="36">
        <f t="shared" si="0"/>
        <v>39639.599999999999</v>
      </c>
      <c r="R39" s="36">
        <f t="shared" si="0"/>
        <v>30704</v>
      </c>
      <c r="S39" s="36">
        <f t="shared" si="1"/>
        <v>1171</v>
      </c>
      <c r="T39" s="36">
        <f t="shared" si="2"/>
        <v>127263.1</v>
      </c>
      <c r="U39" s="37">
        <f t="shared" si="4"/>
        <v>108.67899231426132</v>
      </c>
    </row>
    <row r="40" spans="1:21" ht="13.5" customHeight="1" x14ac:dyDescent="0.3">
      <c r="A40" s="19"/>
      <c r="C40" s="31">
        <v>30</v>
      </c>
      <c r="D40" s="1" t="s">
        <v>47</v>
      </c>
      <c r="E40" s="20">
        <v>166.7</v>
      </c>
      <c r="F40" s="20">
        <v>112.3</v>
      </c>
      <c r="G40" s="20">
        <v>94.3</v>
      </c>
      <c r="I40" s="20">
        <f t="shared" si="3"/>
        <v>129.51119820828669</v>
      </c>
      <c r="J40" s="45">
        <f>(I40/'AAU 19-20'!I40)-1</f>
        <v>1.3870019585685345E-2</v>
      </c>
      <c r="K40" s="18"/>
      <c r="M40" s="38">
        <f>269+85</f>
        <v>354</v>
      </c>
      <c r="N40" s="38">
        <f>190+133</f>
        <v>323</v>
      </c>
      <c r="O40" s="38">
        <f>117+99</f>
        <v>216</v>
      </c>
      <c r="P40" s="36">
        <f t="shared" si="0"/>
        <v>59011.799999999996</v>
      </c>
      <c r="Q40" s="36">
        <f t="shared" si="0"/>
        <v>36272.9</v>
      </c>
      <c r="R40" s="36">
        <f t="shared" si="0"/>
        <v>20368.8</v>
      </c>
      <c r="S40" s="36">
        <f t="shared" si="1"/>
        <v>893</v>
      </c>
      <c r="T40" s="36">
        <f t="shared" si="2"/>
        <v>115653.5</v>
      </c>
      <c r="U40" s="37">
        <f t="shared" si="4"/>
        <v>129.51119820828669</v>
      </c>
    </row>
    <row r="41" spans="1:21" ht="13.5" customHeight="1" x14ac:dyDescent="0.3">
      <c r="A41" s="19"/>
      <c r="C41" s="31">
        <v>31</v>
      </c>
      <c r="D41" s="1" t="s">
        <v>48</v>
      </c>
      <c r="E41" s="20">
        <v>188.6</v>
      </c>
      <c r="F41" s="20">
        <v>122.1</v>
      </c>
      <c r="G41" s="20">
        <v>110.6</v>
      </c>
      <c r="I41" s="20">
        <f t="shared" si="3"/>
        <v>154.46265260821309</v>
      </c>
      <c r="J41" s="45">
        <f>(I41/'AAU 19-20'!I41)-1</f>
        <v>1.8533936552129981E-2</v>
      </c>
      <c r="K41" s="18"/>
      <c r="M41" s="38">
        <f>677+261</f>
        <v>938</v>
      </c>
      <c r="N41" s="38">
        <f>280+231</f>
        <v>511</v>
      </c>
      <c r="O41" s="38">
        <f>185+168</f>
        <v>353</v>
      </c>
      <c r="P41" s="36">
        <f t="shared" si="0"/>
        <v>176906.8</v>
      </c>
      <c r="Q41" s="36">
        <f t="shared" si="0"/>
        <v>62393.1</v>
      </c>
      <c r="R41" s="36">
        <f t="shared" si="0"/>
        <v>39041.799999999996</v>
      </c>
      <c r="S41" s="36">
        <f t="shared" si="1"/>
        <v>1802</v>
      </c>
      <c r="T41" s="36">
        <f t="shared" si="2"/>
        <v>278341.7</v>
      </c>
      <c r="U41" s="37">
        <f t="shared" si="4"/>
        <v>154.46265260821309</v>
      </c>
    </row>
    <row r="42" spans="1:21" ht="13.5" customHeight="1" x14ac:dyDescent="0.3">
      <c r="A42" s="19"/>
      <c r="C42" s="31">
        <v>32</v>
      </c>
      <c r="D42" s="1" t="s">
        <v>102</v>
      </c>
      <c r="E42" s="20">
        <v>153.19999999999999</v>
      </c>
      <c r="F42" s="20">
        <v>105.8</v>
      </c>
      <c r="G42" s="20">
        <v>96.8</v>
      </c>
      <c r="I42" s="20">
        <f t="shared" si="3"/>
        <v>129.25495447241562</v>
      </c>
      <c r="J42" s="45">
        <f>(I42/'AAU 19-20'!I42)-1</f>
        <v>1.182371365861834E-2</v>
      </c>
      <c r="K42" s="18"/>
      <c r="M42" s="38">
        <f>801+195</f>
        <v>996</v>
      </c>
      <c r="N42" s="38">
        <f>317+174</f>
        <v>491</v>
      </c>
      <c r="O42" s="38">
        <f>218+162</f>
        <v>380</v>
      </c>
      <c r="P42" s="36">
        <f t="shared" si="0"/>
        <v>152587.19999999998</v>
      </c>
      <c r="Q42" s="36">
        <f t="shared" si="0"/>
        <v>51947.799999999996</v>
      </c>
      <c r="R42" s="36">
        <f t="shared" si="0"/>
        <v>36784</v>
      </c>
      <c r="S42" s="36">
        <f t="shared" si="1"/>
        <v>1867</v>
      </c>
      <c r="T42" s="36">
        <f t="shared" si="2"/>
        <v>241318.99999999997</v>
      </c>
      <c r="U42" s="37">
        <f t="shared" si="4"/>
        <v>129.25495447241562</v>
      </c>
    </row>
    <row r="43" spans="1:21" ht="13.5" customHeight="1" x14ac:dyDescent="0.3">
      <c r="A43" s="19"/>
      <c r="C43" s="31">
        <v>33</v>
      </c>
      <c r="D43" s="1" t="s">
        <v>114</v>
      </c>
      <c r="E43" s="20">
        <v>132.30000000000001</v>
      </c>
      <c r="F43" s="20">
        <v>93.4</v>
      </c>
      <c r="G43" s="20">
        <v>88</v>
      </c>
      <c r="I43" s="20">
        <f t="shared" si="3"/>
        <v>107.9022999080037</v>
      </c>
      <c r="J43" s="45">
        <f>(I43/'AAU 19-20'!I43)-1</f>
        <v>-5.9938187347194916E-3</v>
      </c>
      <c r="K43" s="18"/>
      <c r="M43" s="38">
        <f>324+124</f>
        <v>448</v>
      </c>
      <c r="N43" s="38">
        <f>187+144</f>
        <v>331</v>
      </c>
      <c r="O43" s="38">
        <f>176+132</f>
        <v>308</v>
      </c>
      <c r="P43" s="36">
        <f t="shared" si="0"/>
        <v>59270.400000000009</v>
      </c>
      <c r="Q43" s="36">
        <f t="shared" si="0"/>
        <v>30915.4</v>
      </c>
      <c r="R43" s="36">
        <f t="shared" si="0"/>
        <v>27104</v>
      </c>
      <c r="S43" s="36">
        <f t="shared" si="1"/>
        <v>1087</v>
      </c>
      <c r="T43" s="36">
        <f t="shared" si="2"/>
        <v>117289.80000000002</v>
      </c>
      <c r="U43" s="37">
        <f t="shared" si="4"/>
        <v>107.9022999080037</v>
      </c>
    </row>
    <row r="44" spans="1:21" ht="13.5" customHeight="1" x14ac:dyDescent="0.3">
      <c r="A44" s="19"/>
      <c r="C44" s="31">
        <v>34</v>
      </c>
      <c r="D44" s="1" t="s">
        <v>38</v>
      </c>
      <c r="E44" s="20">
        <v>187.7</v>
      </c>
      <c r="F44" s="20">
        <v>122.2</v>
      </c>
      <c r="G44" s="20">
        <v>98.3</v>
      </c>
      <c r="I44" s="20">
        <f t="shared" si="3"/>
        <v>142.63612456747404</v>
      </c>
      <c r="J44" s="45">
        <f>(I44/'AAU 19-20'!I44)-1</f>
        <v>1.5340481894246416E-2</v>
      </c>
      <c r="K44" s="18"/>
      <c r="M44" s="38">
        <f>437+166</f>
        <v>603</v>
      </c>
      <c r="N44" s="38">
        <f>241+184</f>
        <v>425</v>
      </c>
      <c r="O44" s="38">
        <f>218+199</f>
        <v>417</v>
      </c>
      <c r="P44" s="36">
        <f t="shared" si="0"/>
        <v>113183.09999999999</v>
      </c>
      <c r="Q44" s="36">
        <f t="shared" si="0"/>
        <v>51935</v>
      </c>
      <c r="R44" s="36">
        <f t="shared" si="0"/>
        <v>40991.1</v>
      </c>
      <c r="S44" s="36">
        <f t="shared" si="1"/>
        <v>1445</v>
      </c>
      <c r="T44" s="36">
        <f t="shared" si="2"/>
        <v>206109.19999999998</v>
      </c>
      <c r="U44" s="37">
        <f t="shared" si="4"/>
        <v>142.63612456747404</v>
      </c>
    </row>
    <row r="45" spans="1:21" ht="13.5" customHeight="1" x14ac:dyDescent="0.3">
      <c r="A45" s="19"/>
      <c r="C45" s="31">
        <v>35</v>
      </c>
      <c r="D45" s="1" t="s">
        <v>39</v>
      </c>
      <c r="E45" s="20">
        <v>153.80000000000001</v>
      </c>
      <c r="F45" s="20">
        <v>112.2</v>
      </c>
      <c r="G45" s="20">
        <v>101</v>
      </c>
      <c r="I45" s="20">
        <f t="shared" si="3"/>
        <v>127.91567628749293</v>
      </c>
      <c r="J45" s="45">
        <f>(I45/'AAU 19-20'!I45)-1</f>
        <v>-5.278646564866718E-2</v>
      </c>
      <c r="K45" s="18"/>
      <c r="M45" s="38">
        <f>483+296</f>
        <v>779</v>
      </c>
      <c r="N45" s="38">
        <f>292+282</f>
        <v>574</v>
      </c>
      <c r="O45" s="38">
        <f>184+230</f>
        <v>414</v>
      </c>
      <c r="P45" s="36">
        <f t="shared" si="0"/>
        <v>119810.20000000001</v>
      </c>
      <c r="Q45" s="36">
        <f t="shared" si="0"/>
        <v>64402.8</v>
      </c>
      <c r="R45" s="36">
        <f t="shared" si="0"/>
        <v>41814</v>
      </c>
      <c r="S45" s="36">
        <f t="shared" si="1"/>
        <v>1767</v>
      </c>
      <c r="T45" s="36">
        <f t="shared" si="2"/>
        <v>226027</v>
      </c>
      <c r="U45" s="37">
        <f t="shared" si="4"/>
        <v>127.91567628749293</v>
      </c>
    </row>
    <row r="46" spans="1:21" ht="13.5" customHeight="1" x14ac:dyDescent="0.3">
      <c r="A46" s="19"/>
      <c r="C46" s="31">
        <v>36</v>
      </c>
      <c r="D46" s="1" t="s">
        <v>40</v>
      </c>
      <c r="E46" s="20">
        <v>161</v>
      </c>
      <c r="F46" s="20">
        <v>117.8</v>
      </c>
      <c r="G46" s="20">
        <v>101.3</v>
      </c>
      <c r="I46" s="20">
        <f t="shared" si="3"/>
        <v>135.93342541436465</v>
      </c>
      <c r="J46" s="45">
        <f>(I46/'AAU 19-20'!I46)-1</f>
        <v>5.8086416080757042E-2</v>
      </c>
      <c r="K46" s="18"/>
      <c r="M46" s="38">
        <f>631+314</f>
        <v>945</v>
      </c>
      <c r="N46" s="38">
        <f>199+181</f>
        <v>380</v>
      </c>
      <c r="O46" s="38">
        <f>233+252</f>
        <v>485</v>
      </c>
      <c r="P46" s="36">
        <f t="shared" si="0"/>
        <v>152145</v>
      </c>
      <c r="Q46" s="36">
        <f t="shared" si="0"/>
        <v>44764</v>
      </c>
      <c r="R46" s="36">
        <f t="shared" si="0"/>
        <v>49130.5</v>
      </c>
      <c r="S46" s="36">
        <f t="shared" si="1"/>
        <v>1810</v>
      </c>
      <c r="T46" s="36">
        <f t="shared" si="2"/>
        <v>246039.5</v>
      </c>
      <c r="U46" s="37">
        <f t="shared" si="4"/>
        <v>135.93342541436465</v>
      </c>
    </row>
    <row r="47" spans="1:21" ht="13.5" customHeight="1" x14ac:dyDescent="0.3">
      <c r="A47" s="19"/>
      <c r="K47" s="18"/>
    </row>
    <row r="48" spans="1:21" ht="13.5" customHeight="1" x14ac:dyDescent="0.3">
      <c r="A48" s="19"/>
      <c r="D48" s="44" t="s">
        <v>54</v>
      </c>
      <c r="E48" s="41">
        <f>P48/M48</f>
        <v>165.8104213039783</v>
      </c>
      <c r="F48" s="41">
        <f t="shared" ref="F48:G48" si="5">Q48/N48</f>
        <v>108.95244800834476</v>
      </c>
      <c r="G48" s="41">
        <f t="shared" si="5"/>
        <v>95.28433472004366</v>
      </c>
      <c r="H48" s="40"/>
      <c r="I48" s="41">
        <f>U48</f>
        <v>130.9679132167206</v>
      </c>
      <c r="J48" s="46">
        <f>(I48/'AAU 19-20'!I48)-1</f>
        <v>3.7837815229702088E-3</v>
      </c>
      <c r="K48" s="18"/>
      <c r="M48" s="39">
        <f>SUM(M11:M46)</f>
        <v>24709</v>
      </c>
      <c r="N48" s="39">
        <f t="shared" ref="N48" si="6">SUM(N11:N46)</f>
        <v>15339</v>
      </c>
      <c r="O48" s="39">
        <f>SUM(O11:O46)</f>
        <v>14663</v>
      </c>
      <c r="P48" s="39">
        <f>SUM(P11:P46)</f>
        <v>4097009.7</v>
      </c>
      <c r="Q48" s="39">
        <f>SUM(Q11:Q46)</f>
        <v>1671221.6000000003</v>
      </c>
      <c r="R48" s="39">
        <f t="shared" ref="R48" si="7">SUM(R11:R46)</f>
        <v>1397154.2000000002</v>
      </c>
      <c r="S48" s="36">
        <f>M48+N48+O48</f>
        <v>54711</v>
      </c>
      <c r="T48" s="36">
        <f>P48+Q48+R48</f>
        <v>7165385.5000000009</v>
      </c>
      <c r="U48" s="37">
        <f>T48/S48</f>
        <v>130.9679132167206</v>
      </c>
    </row>
    <row r="49" spans="1:11" ht="13.5" customHeight="1" x14ac:dyDescent="0.3">
      <c r="A49" s="19"/>
      <c r="D49" s="44" t="s">
        <v>55</v>
      </c>
      <c r="E49" s="41">
        <f>MEDIAN(E11:E46)</f>
        <v>158.94999999999999</v>
      </c>
      <c r="F49" s="41">
        <f t="shared" ref="F49:G49" si="8">MEDIAN(F11:F46)</f>
        <v>107.3</v>
      </c>
      <c r="G49" s="41">
        <f t="shared" si="8"/>
        <v>97.699999999999989</v>
      </c>
      <c r="H49" s="40"/>
      <c r="I49" s="41">
        <f>MEDIAN(I11:I46)</f>
        <v>128.54322555924307</v>
      </c>
      <c r="J49" s="46">
        <f>(I49/'AAU 19-20'!I49)-1</f>
        <v>6.2722598309798983E-3</v>
      </c>
      <c r="K49" s="18"/>
    </row>
    <row r="50" spans="1:11" ht="13.5" customHeight="1" x14ac:dyDescent="0.3">
      <c r="A50" s="19"/>
      <c r="B50" s="22"/>
      <c r="C50" s="33"/>
      <c r="D50" s="22"/>
      <c r="E50" s="22"/>
      <c r="F50" s="22"/>
      <c r="G50" s="22"/>
      <c r="H50" s="22"/>
      <c r="I50" s="22"/>
      <c r="J50" s="22"/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19"/>
      <c r="B52" s="16" t="s">
        <v>99</v>
      </c>
      <c r="K52" s="18"/>
    </row>
    <row r="53" spans="1:11" ht="13.5" customHeight="1" x14ac:dyDescent="0.3">
      <c r="A53" s="19"/>
      <c r="K53" s="18"/>
    </row>
    <row r="54" spans="1:11" ht="13.5" customHeight="1" x14ac:dyDescent="0.3">
      <c r="A54" s="21"/>
      <c r="B54" s="42" t="s">
        <v>56</v>
      </c>
      <c r="C54" s="33"/>
      <c r="D54" s="22"/>
      <c r="E54" s="22"/>
      <c r="F54" s="22"/>
      <c r="G54" s="22"/>
      <c r="H54" s="22"/>
      <c r="I54" s="22"/>
      <c r="J54" s="43" t="s">
        <v>118</v>
      </c>
      <c r="K54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5B8F-6831-4393-8620-97749BA5B73D}">
  <dimension ref="A1:U55"/>
  <sheetViews>
    <sheetView workbookViewId="0">
      <selection activeCell="B51" sqref="B51"/>
    </sheetView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112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143.6</v>
      </c>
      <c r="F11" s="20">
        <v>99.8</v>
      </c>
      <c r="G11" s="20">
        <v>83.3</v>
      </c>
      <c r="I11" s="20">
        <f>U11</f>
        <v>112.51805121798876</v>
      </c>
      <c r="J11" s="45">
        <f>(I11/'AAU 18-19'!I11)-1</f>
        <v>1.1098385572670066E-2</v>
      </c>
      <c r="K11" s="18"/>
      <c r="M11" s="38">
        <f>453+204</f>
        <v>657</v>
      </c>
      <c r="N11" s="38">
        <f>250+184</f>
        <v>434</v>
      </c>
      <c r="O11" s="38">
        <f>254+256</f>
        <v>510</v>
      </c>
      <c r="P11" s="36">
        <f t="shared" ref="P11:R46" si="0">E11*M11</f>
        <v>94345.2</v>
      </c>
      <c r="Q11" s="36">
        <f t="shared" si="0"/>
        <v>43313.2</v>
      </c>
      <c r="R11" s="36">
        <f t="shared" si="0"/>
        <v>42483</v>
      </c>
      <c r="S11" s="36">
        <f t="shared" ref="S11:S46" si="1">M11+N11+O11</f>
        <v>1601</v>
      </c>
      <c r="T11" s="36">
        <f t="shared" ref="T11:T46" si="2">P11+Q11+R11</f>
        <v>180141.4</v>
      </c>
      <c r="U11" s="37">
        <f>T11/S11</f>
        <v>112.51805121798876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213.1</v>
      </c>
      <c r="F12" s="20">
        <v>142.80000000000001</v>
      </c>
      <c r="G12" s="20">
        <v>118.2</v>
      </c>
      <c r="I12" s="20">
        <f t="shared" ref="I12:I46" si="3">U12</f>
        <v>180.14559139784947</v>
      </c>
      <c r="J12" s="45">
        <f>(I12/'AAU 18-19'!I12)-1</f>
        <v>4.7302215336776365E-2</v>
      </c>
      <c r="K12" s="18"/>
      <c r="M12" s="38">
        <f>605+226</f>
        <v>831</v>
      </c>
      <c r="N12" s="38">
        <f>173+134</f>
        <v>307</v>
      </c>
      <c r="O12" s="38">
        <f>152+105</f>
        <v>257</v>
      </c>
      <c r="P12" s="36">
        <f>E12*M12</f>
        <v>177086.1</v>
      </c>
      <c r="Q12" s="36">
        <f t="shared" si="0"/>
        <v>43839.600000000006</v>
      </c>
      <c r="R12" s="36">
        <f>G12*O12</f>
        <v>30377.4</v>
      </c>
      <c r="S12" s="36">
        <f>M12+N12+O12</f>
        <v>1395</v>
      </c>
      <c r="T12" s="36">
        <f>P12+Q12+R12</f>
        <v>251303.1</v>
      </c>
      <c r="U12" s="37">
        <f t="shared" ref="U12:U46" si="4">T12/S12</f>
        <v>180.14559139784947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182.6</v>
      </c>
      <c r="F13" s="20">
        <v>125.3</v>
      </c>
      <c r="G13" s="20">
        <v>107.9</v>
      </c>
      <c r="I13" s="20">
        <f t="shared" si="3"/>
        <v>154.14059196617336</v>
      </c>
      <c r="J13" s="45">
        <f>(I13/'AAU 18-19'!I13)-1</f>
        <v>5.8828585335225059E-2</v>
      </c>
      <c r="K13" s="18"/>
      <c r="M13" s="38">
        <f>541+271</f>
        <v>812</v>
      </c>
      <c r="N13" s="38">
        <f>154+131</f>
        <v>285</v>
      </c>
      <c r="O13" s="38">
        <f>174+148</f>
        <v>322</v>
      </c>
      <c r="P13" s="36">
        <f t="shared" si="0"/>
        <v>148271.19999999998</v>
      </c>
      <c r="Q13" s="36">
        <f t="shared" si="0"/>
        <v>35710.5</v>
      </c>
      <c r="R13" s="36">
        <f t="shared" si="0"/>
        <v>34743.800000000003</v>
      </c>
      <c r="S13" s="36">
        <f t="shared" si="1"/>
        <v>1419</v>
      </c>
      <c r="T13" s="36">
        <f t="shared" si="2"/>
        <v>218725.5</v>
      </c>
      <c r="U13" s="37">
        <f t="shared" si="4"/>
        <v>154.14059196617336</v>
      </c>
    </row>
    <row r="14" spans="1:21" ht="13.5" customHeight="1" x14ac:dyDescent="0.3">
      <c r="A14" s="19"/>
      <c r="C14" s="31">
        <v>4</v>
      </c>
      <c r="D14" s="1" t="s">
        <v>14</v>
      </c>
      <c r="E14" s="20">
        <f>189.2</f>
        <v>189.2</v>
      </c>
      <c r="F14" s="20">
        <v>125.6</v>
      </c>
      <c r="G14" s="20">
        <v>106.2</v>
      </c>
      <c r="I14" s="20">
        <f t="shared" si="3"/>
        <v>156.77683039851715</v>
      </c>
      <c r="J14" s="45">
        <f>(I14/'AAU 18-19'!I14)-1</f>
        <v>5.2901495534369847E-2</v>
      </c>
      <c r="K14" s="18"/>
      <c r="M14" s="38">
        <f>421+179</f>
        <v>600</v>
      </c>
      <c r="N14" s="38">
        <f>127+119</f>
        <v>246</v>
      </c>
      <c r="O14" s="38">
        <f>118+115</f>
        <v>233</v>
      </c>
      <c r="P14" s="36">
        <f t="shared" si="0"/>
        <v>113520</v>
      </c>
      <c r="Q14" s="36">
        <f t="shared" si="0"/>
        <v>30897.599999999999</v>
      </c>
      <c r="R14" s="36">
        <f t="shared" si="0"/>
        <v>24744.600000000002</v>
      </c>
      <c r="S14" s="36">
        <f t="shared" si="1"/>
        <v>1079</v>
      </c>
      <c r="T14" s="36">
        <f t="shared" si="2"/>
        <v>169162.2</v>
      </c>
      <c r="U14" s="37">
        <f t="shared" si="4"/>
        <v>156.77683039851715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225</v>
      </c>
      <c r="F15" s="20">
        <v>148.9</v>
      </c>
      <c r="G15" s="20">
        <v>111.1</v>
      </c>
      <c r="I15" s="20">
        <f t="shared" si="3"/>
        <v>186.32809706257981</v>
      </c>
      <c r="J15" s="45">
        <f>(I15/'AAU 18-19'!I15)-1</f>
        <v>3.4326417136209875E-2</v>
      </c>
      <c r="K15" s="18"/>
      <c r="M15" s="38">
        <f>640+312</f>
        <v>952</v>
      </c>
      <c r="N15" s="38">
        <f>134+114</f>
        <v>248</v>
      </c>
      <c r="O15" s="38">
        <f>208+158</f>
        <v>366</v>
      </c>
      <c r="P15" s="36">
        <f t="shared" si="0"/>
        <v>214200</v>
      </c>
      <c r="Q15" s="36">
        <f t="shared" si="0"/>
        <v>36927.200000000004</v>
      </c>
      <c r="R15" s="36">
        <f t="shared" si="0"/>
        <v>40662.6</v>
      </c>
      <c r="S15" s="36">
        <f t="shared" si="1"/>
        <v>1566</v>
      </c>
      <c r="T15" s="36">
        <f t="shared" si="2"/>
        <v>291789.8</v>
      </c>
      <c r="U15" s="37">
        <f t="shared" si="4"/>
        <v>186.32809706257981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191.5</v>
      </c>
      <c r="F16" s="20">
        <v>130.80000000000001</v>
      </c>
      <c r="G16" s="20">
        <v>112.7</v>
      </c>
      <c r="I16" s="20">
        <f t="shared" si="3"/>
        <v>160.79417938931297</v>
      </c>
      <c r="J16" s="45">
        <f>(I16/'AAU 18-19'!I16)-1</f>
        <v>5.9223115752647271E-2</v>
      </c>
      <c r="K16" s="18"/>
      <c r="M16" s="38">
        <f>469+124</f>
        <v>593</v>
      </c>
      <c r="N16" s="38">
        <f>126+77</f>
        <v>203</v>
      </c>
      <c r="O16" s="38">
        <f>137+115</f>
        <v>252</v>
      </c>
      <c r="P16" s="36">
        <f t="shared" si="0"/>
        <v>113559.5</v>
      </c>
      <c r="Q16" s="36">
        <f t="shared" si="0"/>
        <v>26552.400000000001</v>
      </c>
      <c r="R16" s="36">
        <f t="shared" si="0"/>
        <v>28400.400000000001</v>
      </c>
      <c r="S16" s="36">
        <f t="shared" si="1"/>
        <v>1048</v>
      </c>
      <c r="T16" s="36">
        <f t="shared" si="2"/>
        <v>168512.3</v>
      </c>
      <c r="U16" s="37">
        <f t="shared" si="4"/>
        <v>160.79417938931297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200.2</v>
      </c>
      <c r="F17" s="20">
        <v>122.1</v>
      </c>
      <c r="G17" s="20">
        <v>108.4</v>
      </c>
      <c r="I17" s="20">
        <f t="shared" si="3"/>
        <v>164.39189814814813</v>
      </c>
      <c r="J17" s="45">
        <f>(I17/'AAU 18-19'!I17)-1</f>
        <v>5.5240252869959816E-2</v>
      </c>
      <c r="K17" s="18"/>
      <c r="M17" s="38">
        <f>344+160</f>
        <v>504</v>
      </c>
      <c r="N17" s="38">
        <f>82+72</f>
        <v>154</v>
      </c>
      <c r="O17" s="38">
        <f>117+89</f>
        <v>206</v>
      </c>
      <c r="P17" s="36">
        <f t="shared" si="0"/>
        <v>100900.79999999999</v>
      </c>
      <c r="Q17" s="36">
        <f t="shared" si="0"/>
        <v>18803.399999999998</v>
      </c>
      <c r="R17" s="36">
        <f t="shared" si="0"/>
        <v>22330.400000000001</v>
      </c>
      <c r="S17" s="36">
        <f t="shared" si="1"/>
        <v>864</v>
      </c>
      <c r="T17" s="36">
        <f t="shared" si="2"/>
        <v>142034.59999999998</v>
      </c>
      <c r="U17" s="37">
        <f t="shared" si="4"/>
        <v>164.39189814814813</v>
      </c>
    </row>
    <row r="18" spans="1:21" ht="13.5" customHeight="1" x14ac:dyDescent="0.3">
      <c r="A18" s="19"/>
      <c r="B18" s="48" t="s">
        <v>66</v>
      </c>
      <c r="C18" s="31">
        <v>8</v>
      </c>
      <c r="D18" s="1" t="s">
        <v>113</v>
      </c>
      <c r="E18" s="20">
        <v>178.2</v>
      </c>
      <c r="F18" s="20">
        <v>119</v>
      </c>
      <c r="G18" s="20">
        <v>103.3</v>
      </c>
      <c r="I18" s="20">
        <f t="shared" si="3"/>
        <v>145.34769503546102</v>
      </c>
      <c r="J18" s="45">
        <f>(I18/'AAU 18-19'!I18)-1</f>
        <v>4.1988944908707193E-2</v>
      </c>
      <c r="K18" s="18"/>
      <c r="M18" s="38">
        <f>192+98</f>
        <v>290</v>
      </c>
      <c r="N18" s="38">
        <f>66+61</f>
        <v>127</v>
      </c>
      <c r="O18" s="38">
        <f>78+69</f>
        <v>147</v>
      </c>
      <c r="P18" s="36">
        <f>E18*M18</f>
        <v>51678</v>
      </c>
      <c r="Q18" s="36">
        <f t="shared" ref="Q18" si="5">F18*N18</f>
        <v>15113</v>
      </c>
      <c r="R18" s="36">
        <f t="shared" ref="R18" si="6">G18*O18</f>
        <v>15185.1</v>
      </c>
      <c r="S18" s="36">
        <f>M18+N18+O18</f>
        <v>564</v>
      </c>
      <c r="T18" s="36">
        <f>P18+Q18+R18</f>
        <v>81976.100000000006</v>
      </c>
      <c r="U18" s="37">
        <f>T18/S18</f>
        <v>145.34769503546102</v>
      </c>
    </row>
    <row r="19" spans="1:21" ht="13.5" customHeight="1" x14ac:dyDescent="0.3">
      <c r="A19" s="19"/>
      <c r="C19" s="31">
        <v>9</v>
      </c>
      <c r="D19" s="1" t="s">
        <v>18</v>
      </c>
      <c r="E19" s="20">
        <v>150.69999999999999</v>
      </c>
      <c r="F19" s="20">
        <v>107</v>
      </c>
      <c r="G19" s="20">
        <v>101.9</v>
      </c>
      <c r="I19" s="20">
        <f t="shared" si="3"/>
        <v>123.90041806020066</v>
      </c>
      <c r="J19" s="45">
        <f>(I19/'AAU 18-19'!I19)-1</f>
        <v>2.4364223114839989E-2</v>
      </c>
      <c r="K19" s="18"/>
      <c r="M19" s="38">
        <f>366+134</f>
        <v>500</v>
      </c>
      <c r="N19" s="38">
        <f>207+168</f>
        <v>375</v>
      </c>
      <c r="O19" s="39">
        <f>187+134</f>
        <v>321</v>
      </c>
      <c r="P19" s="36">
        <f t="shared" si="0"/>
        <v>75350</v>
      </c>
      <c r="Q19" s="36">
        <f t="shared" si="0"/>
        <v>40125</v>
      </c>
      <c r="R19" s="36">
        <f t="shared" si="0"/>
        <v>32709.9</v>
      </c>
      <c r="S19" s="36">
        <f t="shared" si="1"/>
        <v>1196</v>
      </c>
      <c r="T19" s="36">
        <f t="shared" si="2"/>
        <v>148184.9</v>
      </c>
      <c r="U19" s="37">
        <f t="shared" si="4"/>
        <v>123.90041806020066</v>
      </c>
    </row>
    <row r="20" spans="1:21" ht="13.5" customHeight="1" x14ac:dyDescent="0.3">
      <c r="A20" s="19"/>
      <c r="C20" s="31">
        <v>10</v>
      </c>
      <c r="D20" s="1" t="s">
        <v>19</v>
      </c>
      <c r="E20" s="20">
        <v>156</v>
      </c>
      <c r="F20" s="20">
        <v>106.3</v>
      </c>
      <c r="G20" s="20">
        <v>89.2</v>
      </c>
      <c r="I20" s="20">
        <f t="shared" si="3"/>
        <v>121.02144385026736</v>
      </c>
      <c r="J20" s="45">
        <f>(I20/'AAU 18-19'!I20)-1</f>
        <v>2.2795673596279986E-2</v>
      </c>
      <c r="K20" s="18"/>
      <c r="M20" s="38">
        <f>575+185</f>
        <v>760</v>
      </c>
      <c r="N20" s="38">
        <f>299+212</f>
        <v>511</v>
      </c>
      <c r="O20" s="38">
        <f>319+280</f>
        <v>599</v>
      </c>
      <c r="P20" s="36">
        <f t="shared" si="0"/>
        <v>118560</v>
      </c>
      <c r="Q20" s="36">
        <f t="shared" si="0"/>
        <v>54319.299999999996</v>
      </c>
      <c r="R20" s="36">
        <f t="shared" si="0"/>
        <v>53430.8</v>
      </c>
      <c r="S20" s="36">
        <f t="shared" si="1"/>
        <v>1870</v>
      </c>
      <c r="T20" s="36">
        <f t="shared" si="2"/>
        <v>226310.09999999998</v>
      </c>
      <c r="U20" s="37">
        <f t="shared" si="4"/>
        <v>121.02144385026736</v>
      </c>
    </row>
    <row r="21" spans="1:21" ht="13.5" customHeight="1" x14ac:dyDescent="0.3">
      <c r="A21" s="19"/>
      <c r="C21" s="31">
        <v>11</v>
      </c>
      <c r="D21" s="1" t="s">
        <v>20</v>
      </c>
      <c r="E21" s="20">
        <v>166.8</v>
      </c>
      <c r="F21" s="20">
        <v>116.4</v>
      </c>
      <c r="G21" s="20">
        <v>105.6</v>
      </c>
      <c r="I21" s="20">
        <f t="shared" si="3"/>
        <v>138.14778947368424</v>
      </c>
      <c r="J21" s="45">
        <f>(I21/'AAU 18-19'!I21)-1</f>
        <v>-1.7191494088242498E-2</v>
      </c>
      <c r="K21" s="18"/>
      <c r="M21" s="38">
        <f>386+70</f>
        <v>456</v>
      </c>
      <c r="N21" s="38">
        <f>204+75</f>
        <v>279</v>
      </c>
      <c r="O21" s="38">
        <f>136+79</f>
        <v>215</v>
      </c>
      <c r="P21" s="36">
        <f t="shared" si="0"/>
        <v>76060.800000000003</v>
      </c>
      <c r="Q21" s="36">
        <f t="shared" si="0"/>
        <v>32475.600000000002</v>
      </c>
      <c r="R21" s="36">
        <f t="shared" si="0"/>
        <v>22704</v>
      </c>
      <c r="S21" s="36">
        <f t="shared" si="1"/>
        <v>950</v>
      </c>
      <c r="T21" s="36">
        <f t="shared" si="2"/>
        <v>131240.40000000002</v>
      </c>
      <c r="U21" s="37">
        <f t="shared" si="4"/>
        <v>138.14778947368424</v>
      </c>
    </row>
    <row r="22" spans="1:21" ht="13.5" customHeight="1" x14ac:dyDescent="0.3">
      <c r="A22" s="19"/>
      <c r="C22" s="31">
        <v>12</v>
      </c>
      <c r="D22" s="1" t="s">
        <v>21</v>
      </c>
      <c r="E22" s="20">
        <v>159.5</v>
      </c>
      <c r="F22" s="20">
        <v>109.5</v>
      </c>
      <c r="G22" s="20">
        <v>101.6</v>
      </c>
      <c r="I22" s="20">
        <f t="shared" si="3"/>
        <v>129.88719741796663</v>
      </c>
      <c r="J22" s="45">
        <f>(I22/'AAU 18-19'!I22)-1</f>
        <v>2.5447669981245369E-2</v>
      </c>
      <c r="K22" s="18"/>
      <c r="M22" s="38">
        <f>618+225</f>
        <v>843</v>
      </c>
      <c r="N22" s="38">
        <f>278+200</f>
        <v>478</v>
      </c>
      <c r="O22" s="38">
        <f>294+244</f>
        <v>538</v>
      </c>
      <c r="P22" s="36">
        <f t="shared" si="0"/>
        <v>134458.5</v>
      </c>
      <c r="Q22" s="36">
        <f t="shared" si="0"/>
        <v>52341</v>
      </c>
      <c r="R22" s="36">
        <f t="shared" si="0"/>
        <v>54660.799999999996</v>
      </c>
      <c r="S22" s="36">
        <f t="shared" si="1"/>
        <v>1859</v>
      </c>
      <c r="T22" s="36">
        <f t="shared" si="2"/>
        <v>241460.3</v>
      </c>
      <c r="U22" s="37">
        <f t="shared" si="4"/>
        <v>129.88719741796663</v>
      </c>
    </row>
    <row r="23" spans="1:21" ht="13.5" customHeight="1" x14ac:dyDescent="0.3">
      <c r="A23" s="19"/>
      <c r="C23" s="31">
        <v>13</v>
      </c>
      <c r="D23" s="1" t="s">
        <v>22</v>
      </c>
      <c r="E23" s="20">
        <v>143.5</v>
      </c>
      <c r="F23" s="20">
        <v>102</v>
      </c>
      <c r="G23" s="20">
        <v>105.5</v>
      </c>
      <c r="I23" s="20">
        <f t="shared" si="3"/>
        <v>121.23180677540778</v>
      </c>
      <c r="J23" s="45">
        <f>(I23/'AAU 18-19'!I23)-1</f>
        <v>1.5941696834833818E-2</v>
      </c>
      <c r="K23" s="18"/>
      <c r="M23" s="38">
        <f>504+205</f>
        <v>709</v>
      </c>
      <c r="N23" s="38">
        <f>305+228</f>
        <v>533</v>
      </c>
      <c r="O23" s="38">
        <f>198+154</f>
        <v>352</v>
      </c>
      <c r="P23" s="36">
        <f t="shared" si="0"/>
        <v>101741.5</v>
      </c>
      <c r="Q23" s="36">
        <f t="shared" si="0"/>
        <v>54366</v>
      </c>
      <c r="R23" s="36">
        <f t="shared" si="0"/>
        <v>37136</v>
      </c>
      <c r="S23" s="36">
        <f t="shared" si="1"/>
        <v>1594</v>
      </c>
      <c r="T23" s="36">
        <f t="shared" si="2"/>
        <v>193243.5</v>
      </c>
      <c r="U23" s="37">
        <f t="shared" si="4"/>
        <v>121.23180677540778</v>
      </c>
    </row>
    <row r="24" spans="1:21" ht="13.5" customHeight="1" x14ac:dyDescent="0.3">
      <c r="A24" s="19"/>
      <c r="C24" s="31">
        <v>14</v>
      </c>
      <c r="D24" s="1" t="s">
        <v>23</v>
      </c>
      <c r="E24" s="20">
        <v>145.5</v>
      </c>
      <c r="F24" s="20">
        <v>96.3</v>
      </c>
      <c r="G24" s="20">
        <v>85.9</v>
      </c>
      <c r="I24" s="20">
        <f t="shared" si="3"/>
        <v>111.82730210016156</v>
      </c>
      <c r="J24" s="45">
        <f>(I24/'AAU 18-19'!I24)-1</f>
        <v>1.5800682861772941E-3</v>
      </c>
      <c r="K24" s="18"/>
      <c r="M24" s="38">
        <f>325+138</f>
        <v>463</v>
      </c>
      <c r="N24" s="38">
        <f>240+193</f>
        <v>433</v>
      </c>
      <c r="O24" s="38">
        <f>165+177</f>
        <v>342</v>
      </c>
      <c r="P24" s="36">
        <f t="shared" si="0"/>
        <v>67366.5</v>
      </c>
      <c r="Q24" s="36">
        <f t="shared" si="0"/>
        <v>41697.9</v>
      </c>
      <c r="R24" s="36">
        <f t="shared" si="0"/>
        <v>29377.800000000003</v>
      </c>
      <c r="S24" s="36">
        <f t="shared" si="1"/>
        <v>1238</v>
      </c>
      <c r="T24" s="36">
        <f t="shared" si="2"/>
        <v>138442.20000000001</v>
      </c>
      <c r="U24" s="37">
        <f t="shared" si="4"/>
        <v>111.82730210016156</v>
      </c>
    </row>
    <row r="25" spans="1:21" ht="13.5" customHeight="1" x14ac:dyDescent="0.3">
      <c r="A25" s="19"/>
      <c r="C25" s="31">
        <v>15</v>
      </c>
      <c r="D25" s="1" t="s">
        <v>24</v>
      </c>
      <c r="E25" s="20">
        <v>132</v>
      </c>
      <c r="F25" s="20">
        <v>94.3</v>
      </c>
      <c r="G25" s="20">
        <v>84.1</v>
      </c>
      <c r="I25" s="20">
        <f t="shared" si="3"/>
        <v>104.35918097754292</v>
      </c>
      <c r="J25" s="45">
        <f>(I25/'AAU 18-19'!I25)-1</f>
        <v>-3.8241252327124831E-2</v>
      </c>
      <c r="K25" s="18"/>
      <c r="M25" s="38">
        <f>415+121</f>
        <v>536</v>
      </c>
      <c r="N25" s="38">
        <f>277+213</f>
        <v>490</v>
      </c>
      <c r="O25" s="38">
        <f>262+226</f>
        <v>488</v>
      </c>
      <c r="P25" s="36">
        <f t="shared" si="0"/>
        <v>70752</v>
      </c>
      <c r="Q25" s="36">
        <f t="shared" si="0"/>
        <v>46207</v>
      </c>
      <c r="R25" s="36">
        <f t="shared" si="0"/>
        <v>41040.799999999996</v>
      </c>
      <c r="S25" s="36">
        <f t="shared" si="1"/>
        <v>1514</v>
      </c>
      <c r="T25" s="36">
        <f t="shared" si="2"/>
        <v>157999.79999999999</v>
      </c>
      <c r="U25" s="37">
        <f t="shared" si="4"/>
        <v>104.35918097754292</v>
      </c>
    </row>
    <row r="26" spans="1:21" ht="13.5" customHeight="1" x14ac:dyDescent="0.3">
      <c r="A26" s="19"/>
      <c r="C26" s="31">
        <v>16</v>
      </c>
      <c r="D26" s="1" t="s">
        <v>25</v>
      </c>
      <c r="E26" s="20">
        <v>128.69999999999999</v>
      </c>
      <c r="F26" s="20">
        <v>87.6</v>
      </c>
      <c r="G26" s="20">
        <v>81.400000000000006</v>
      </c>
      <c r="I26" s="20">
        <f t="shared" si="3"/>
        <v>103.1162702188392</v>
      </c>
      <c r="J26" s="45">
        <f>(I26/'AAU 18-19'!I26)-1</f>
        <v>3.3077274370707066E-2</v>
      </c>
      <c r="K26" s="18"/>
      <c r="M26" s="38">
        <f>311+125</f>
        <v>436</v>
      </c>
      <c r="N26" s="38">
        <f>200+155</f>
        <v>355</v>
      </c>
      <c r="O26" s="38">
        <f>153+107</f>
        <v>260</v>
      </c>
      <c r="P26" s="36">
        <f t="shared" si="0"/>
        <v>56113.2</v>
      </c>
      <c r="Q26" s="36">
        <f t="shared" si="0"/>
        <v>31097.999999999996</v>
      </c>
      <c r="R26" s="36">
        <f t="shared" si="0"/>
        <v>21164</v>
      </c>
      <c r="S26" s="36">
        <f t="shared" si="1"/>
        <v>1051</v>
      </c>
      <c r="T26" s="36">
        <f t="shared" si="2"/>
        <v>108375.2</v>
      </c>
      <c r="U26" s="37">
        <f t="shared" si="4"/>
        <v>103.1162702188392</v>
      </c>
    </row>
    <row r="27" spans="1:21" ht="13.5" customHeight="1" x14ac:dyDescent="0.3">
      <c r="A27" s="19"/>
      <c r="C27" s="31">
        <v>17</v>
      </c>
      <c r="D27" s="1" t="s">
        <v>26</v>
      </c>
      <c r="E27" s="20">
        <v>170.1</v>
      </c>
      <c r="F27" s="20">
        <v>115.1</v>
      </c>
      <c r="G27" s="20">
        <v>102.9</v>
      </c>
      <c r="I27" s="20">
        <f t="shared" si="3"/>
        <v>139.07716588314304</v>
      </c>
      <c r="J27" s="45">
        <f>(I27/'AAU 18-19'!I27)-1</f>
        <v>5.3971205158630298E-2</v>
      </c>
      <c r="K27" s="18"/>
      <c r="M27" s="38">
        <f>538+181</f>
        <v>719</v>
      </c>
      <c r="N27" s="38">
        <f>258+197</f>
        <v>455</v>
      </c>
      <c r="O27" s="38">
        <f>140+175</f>
        <v>315</v>
      </c>
      <c r="P27" s="36">
        <f t="shared" si="0"/>
        <v>122301.9</v>
      </c>
      <c r="Q27" s="36">
        <f t="shared" si="0"/>
        <v>52370.5</v>
      </c>
      <c r="R27" s="36">
        <f t="shared" si="0"/>
        <v>32413.5</v>
      </c>
      <c r="S27" s="36">
        <f t="shared" si="1"/>
        <v>1489</v>
      </c>
      <c r="T27" s="36">
        <f t="shared" si="2"/>
        <v>207085.9</v>
      </c>
      <c r="U27" s="37">
        <f t="shared" si="4"/>
        <v>139.07716588314304</v>
      </c>
    </row>
    <row r="28" spans="1:21" ht="13.5" customHeight="1" x14ac:dyDescent="0.3">
      <c r="A28" s="19"/>
      <c r="C28" s="31">
        <v>18</v>
      </c>
      <c r="D28" s="1" t="s">
        <v>27</v>
      </c>
      <c r="E28" s="20">
        <v>178.5</v>
      </c>
      <c r="F28" s="20">
        <v>118.6</v>
      </c>
      <c r="G28" s="20">
        <v>100.8</v>
      </c>
      <c r="I28" s="20">
        <f t="shared" si="3"/>
        <v>143.47834042553194</v>
      </c>
      <c r="J28" s="45">
        <f>(I28/'AAU 18-19'!I28)-1</f>
        <v>2.1627297843306081E-2</v>
      </c>
      <c r="K28" s="18"/>
      <c r="M28" s="38">
        <f>809+348</f>
        <v>1157</v>
      </c>
      <c r="N28" s="38">
        <f>321+263</f>
        <v>584</v>
      </c>
      <c r="O28" s="38">
        <f>304+305</f>
        <v>609</v>
      </c>
      <c r="P28" s="36">
        <f t="shared" si="0"/>
        <v>206524.5</v>
      </c>
      <c r="Q28" s="36">
        <f t="shared" si="0"/>
        <v>69262.399999999994</v>
      </c>
      <c r="R28" s="36">
        <f t="shared" si="0"/>
        <v>61387.199999999997</v>
      </c>
      <c r="S28" s="36">
        <f t="shared" si="1"/>
        <v>2350</v>
      </c>
      <c r="T28" s="36">
        <f t="shared" si="2"/>
        <v>337174.10000000003</v>
      </c>
      <c r="U28" s="37">
        <f t="shared" si="4"/>
        <v>143.47834042553194</v>
      </c>
    </row>
    <row r="29" spans="1:21" ht="13.5" customHeight="1" x14ac:dyDescent="0.3">
      <c r="A29" s="19"/>
      <c r="C29" s="31">
        <v>19</v>
      </c>
      <c r="D29" s="1" t="s">
        <v>28</v>
      </c>
      <c r="E29" s="20">
        <v>160.9</v>
      </c>
      <c r="F29" s="20">
        <v>105.2</v>
      </c>
      <c r="G29" s="20">
        <v>84.3</v>
      </c>
      <c r="I29" s="20">
        <f t="shared" si="3"/>
        <v>118.38968926553673</v>
      </c>
      <c r="J29" s="45">
        <f>(I29/'AAU 18-19'!I29)-1</f>
        <v>1.4330606737214868E-2</v>
      </c>
      <c r="K29" s="18"/>
      <c r="M29" s="38">
        <f>568+210</f>
        <v>778</v>
      </c>
      <c r="N29" s="38">
        <f>348+265</f>
        <v>613</v>
      </c>
      <c r="O29" s="38">
        <f>361+372</f>
        <v>733</v>
      </c>
      <c r="P29" s="36">
        <f t="shared" si="0"/>
        <v>125180.20000000001</v>
      </c>
      <c r="Q29" s="36">
        <f t="shared" si="0"/>
        <v>64487.6</v>
      </c>
      <c r="R29" s="36">
        <f t="shared" si="0"/>
        <v>61791.9</v>
      </c>
      <c r="S29" s="36">
        <f t="shared" si="1"/>
        <v>2124</v>
      </c>
      <c r="T29" s="36">
        <f t="shared" si="2"/>
        <v>251459.7</v>
      </c>
      <c r="U29" s="37">
        <f t="shared" si="4"/>
        <v>118.38968926553673</v>
      </c>
    </row>
    <row r="30" spans="1:21" ht="13.5" customHeight="1" x14ac:dyDescent="0.3">
      <c r="A30" s="19"/>
      <c r="C30" s="31">
        <v>20</v>
      </c>
      <c r="D30" s="1" t="s">
        <v>29</v>
      </c>
      <c r="E30" s="20">
        <v>148.4</v>
      </c>
      <c r="F30" s="20">
        <v>105</v>
      </c>
      <c r="G30" s="20">
        <v>93.6</v>
      </c>
      <c r="I30" s="20">
        <f t="shared" si="3"/>
        <v>121.26909952606636</v>
      </c>
      <c r="J30" s="45">
        <f>(I30/'AAU 18-19'!I30)-1</f>
        <v>2.2420027412631827E-2</v>
      </c>
      <c r="K30" s="18"/>
      <c r="M30" s="38">
        <f>666+276</f>
        <v>942</v>
      </c>
      <c r="N30" s="38">
        <f>325+268</f>
        <v>593</v>
      </c>
      <c r="O30" s="38">
        <f>289+286</f>
        <v>575</v>
      </c>
      <c r="P30" s="36">
        <f t="shared" si="0"/>
        <v>139792.80000000002</v>
      </c>
      <c r="Q30" s="36">
        <f t="shared" si="0"/>
        <v>62265</v>
      </c>
      <c r="R30" s="36">
        <f t="shared" si="0"/>
        <v>53820</v>
      </c>
      <c r="S30" s="36">
        <f t="shared" si="1"/>
        <v>2110</v>
      </c>
      <c r="T30" s="36">
        <f t="shared" si="2"/>
        <v>255877.80000000002</v>
      </c>
      <c r="U30" s="37">
        <f t="shared" si="4"/>
        <v>121.26909952606636</v>
      </c>
    </row>
    <row r="31" spans="1:21" ht="13.5" customHeight="1" x14ac:dyDescent="0.3">
      <c r="A31" s="19"/>
      <c r="C31" s="31">
        <v>21</v>
      </c>
      <c r="D31" s="24" t="s">
        <v>30</v>
      </c>
      <c r="E31" s="25">
        <v>127.1</v>
      </c>
      <c r="F31" s="25">
        <v>87</v>
      </c>
      <c r="G31" s="25">
        <v>81.099999999999994</v>
      </c>
      <c r="H31" s="24"/>
      <c r="I31" s="25">
        <f t="shared" si="3"/>
        <v>97.308233117483823</v>
      </c>
      <c r="J31" s="47">
        <f>(I31/'AAU 18-19'!I31)-1</f>
        <v>2.1456284526931713E-2</v>
      </c>
      <c r="K31" s="18"/>
      <c r="M31" s="38">
        <f>232+99</f>
        <v>331</v>
      </c>
      <c r="N31" s="38">
        <f>217+172</f>
        <v>389</v>
      </c>
      <c r="O31" s="38">
        <f>162+199</f>
        <v>361</v>
      </c>
      <c r="P31" s="36">
        <f t="shared" si="0"/>
        <v>42070.1</v>
      </c>
      <c r="Q31" s="36">
        <f t="shared" si="0"/>
        <v>33843</v>
      </c>
      <c r="R31" s="36">
        <f t="shared" si="0"/>
        <v>29277.1</v>
      </c>
      <c r="S31" s="36">
        <f t="shared" si="1"/>
        <v>1081</v>
      </c>
      <c r="T31" s="36">
        <f t="shared" si="2"/>
        <v>105190.20000000001</v>
      </c>
      <c r="U31" s="37">
        <f t="shared" si="4"/>
        <v>97.308233117483823</v>
      </c>
    </row>
    <row r="32" spans="1:21" ht="13.5" customHeight="1" x14ac:dyDescent="0.3">
      <c r="A32" s="19"/>
      <c r="C32" s="31">
        <v>22</v>
      </c>
      <c r="D32" s="1" t="s">
        <v>45</v>
      </c>
      <c r="E32" s="20">
        <v>162.69999999999999</v>
      </c>
      <c r="F32" s="20">
        <v>104.8</v>
      </c>
      <c r="G32" s="20">
        <v>104.1</v>
      </c>
      <c r="I32" s="20">
        <f t="shared" si="3"/>
        <v>132.62971137521222</v>
      </c>
      <c r="J32" s="45">
        <f>(I32/'AAU 18-19'!I32)-1</f>
        <v>6.5970671943382797E-4</v>
      </c>
      <c r="K32" s="18"/>
      <c r="M32" s="38">
        <f>382+187</f>
        <v>569</v>
      </c>
      <c r="N32" s="38">
        <f>205+173</f>
        <v>378</v>
      </c>
      <c r="O32" s="38">
        <f>130+101</f>
        <v>231</v>
      </c>
      <c r="P32" s="36">
        <f t="shared" si="0"/>
        <v>92576.299999999988</v>
      </c>
      <c r="Q32" s="36">
        <f t="shared" si="0"/>
        <v>39614.400000000001</v>
      </c>
      <c r="R32" s="36">
        <f t="shared" si="0"/>
        <v>24047.1</v>
      </c>
      <c r="S32" s="36">
        <f t="shared" si="1"/>
        <v>1178</v>
      </c>
      <c r="T32" s="36">
        <f t="shared" si="2"/>
        <v>156237.79999999999</v>
      </c>
      <c r="U32" s="37">
        <f t="shared" si="4"/>
        <v>132.62971137521222</v>
      </c>
    </row>
    <row r="33" spans="1:21" ht="13.5" customHeight="1" x14ac:dyDescent="0.3">
      <c r="A33" s="19"/>
      <c r="C33" s="31">
        <v>23</v>
      </c>
      <c r="D33" s="1" t="s">
        <v>31</v>
      </c>
      <c r="E33" s="20">
        <v>154.69999999999999</v>
      </c>
      <c r="F33" s="20">
        <v>106.1</v>
      </c>
      <c r="G33" s="20">
        <v>96.2</v>
      </c>
      <c r="I33" s="20">
        <f t="shared" si="3"/>
        <v>124.77518891687657</v>
      </c>
      <c r="J33" s="45">
        <f>(I33/'AAU 18-19'!I33)-1</f>
        <v>2.7229743663976347E-2</v>
      </c>
      <c r="K33" s="18"/>
      <c r="M33" s="38">
        <f>718+323</f>
        <v>1041</v>
      </c>
      <c r="N33" s="38">
        <f>382+342</f>
        <v>724</v>
      </c>
      <c r="O33" s="38">
        <f>298+319</f>
        <v>617</v>
      </c>
      <c r="P33" s="36">
        <f t="shared" si="0"/>
        <v>161042.69999999998</v>
      </c>
      <c r="Q33" s="36">
        <f t="shared" si="0"/>
        <v>76816.399999999994</v>
      </c>
      <c r="R33" s="36">
        <f t="shared" si="0"/>
        <v>59355.4</v>
      </c>
      <c r="S33" s="36">
        <f t="shared" si="1"/>
        <v>2382</v>
      </c>
      <c r="T33" s="36">
        <f t="shared" si="2"/>
        <v>297214.5</v>
      </c>
      <c r="U33" s="37">
        <f t="shared" si="4"/>
        <v>124.77518891687657</v>
      </c>
    </row>
    <row r="34" spans="1:21" ht="13.5" customHeight="1" x14ac:dyDescent="0.3">
      <c r="A34" s="19"/>
      <c r="C34" s="31">
        <v>24</v>
      </c>
      <c r="D34" s="1" t="s">
        <v>32</v>
      </c>
      <c r="E34" s="20">
        <v>141.1</v>
      </c>
      <c r="F34" s="20">
        <v>89.8</v>
      </c>
      <c r="G34" s="20">
        <v>92.3</v>
      </c>
      <c r="I34" s="20">
        <f t="shared" si="3"/>
        <v>108.36894117647057</v>
      </c>
      <c r="J34" s="45">
        <f>(I34/'AAU 18-19'!I34)-1</f>
        <v>-3.2409382546700782E-2</v>
      </c>
      <c r="K34" s="18"/>
      <c r="M34" s="38">
        <f>202+95</f>
        <v>297</v>
      </c>
      <c r="N34" s="38">
        <f>168+166</f>
        <v>334</v>
      </c>
      <c r="O34" s="38">
        <f>116+103</f>
        <v>219</v>
      </c>
      <c r="P34" s="36">
        <f t="shared" si="0"/>
        <v>41906.699999999997</v>
      </c>
      <c r="Q34" s="36">
        <f t="shared" si="0"/>
        <v>29993.200000000001</v>
      </c>
      <c r="R34" s="36">
        <f t="shared" si="0"/>
        <v>20213.7</v>
      </c>
      <c r="S34" s="36">
        <f t="shared" si="1"/>
        <v>850</v>
      </c>
      <c r="T34" s="36">
        <f t="shared" si="2"/>
        <v>92113.599999999991</v>
      </c>
      <c r="U34" s="37">
        <f t="shared" si="4"/>
        <v>108.36894117647057</v>
      </c>
    </row>
    <row r="35" spans="1:21" ht="13.5" customHeight="1" x14ac:dyDescent="0.3">
      <c r="A35" s="19"/>
      <c r="C35" s="31">
        <v>25</v>
      </c>
      <c r="D35" s="1" t="s">
        <v>33</v>
      </c>
      <c r="E35" s="20">
        <v>159.6</v>
      </c>
      <c r="F35" s="20">
        <v>105.2</v>
      </c>
      <c r="G35" s="20">
        <v>83.2</v>
      </c>
      <c r="I35" s="20">
        <f t="shared" si="3"/>
        <v>118.33008682521705</v>
      </c>
      <c r="J35" s="45">
        <f>(I35/'AAU 18-19'!I35)-1</f>
        <v>2.0002121829381103E-2</v>
      </c>
      <c r="K35" s="18"/>
      <c r="M35" s="38">
        <f>741+268</f>
        <v>1009</v>
      </c>
      <c r="N35" s="38">
        <f>415+311</f>
        <v>726</v>
      </c>
      <c r="O35" s="38">
        <f>449+465</f>
        <v>914</v>
      </c>
      <c r="P35" s="36">
        <f t="shared" si="0"/>
        <v>161036.4</v>
      </c>
      <c r="Q35" s="36">
        <f t="shared" si="0"/>
        <v>76375.199999999997</v>
      </c>
      <c r="R35" s="36">
        <f t="shared" si="0"/>
        <v>76044.800000000003</v>
      </c>
      <c r="S35" s="36">
        <f t="shared" si="1"/>
        <v>2649</v>
      </c>
      <c r="T35" s="36">
        <f t="shared" si="2"/>
        <v>313456.39999999997</v>
      </c>
      <c r="U35" s="37">
        <f t="shared" si="4"/>
        <v>118.33008682521705</v>
      </c>
    </row>
    <row r="36" spans="1:21" ht="13.5" customHeight="1" x14ac:dyDescent="0.3">
      <c r="A36" s="19"/>
      <c r="C36" s="31">
        <v>26</v>
      </c>
      <c r="D36" s="1" t="s">
        <v>34</v>
      </c>
      <c r="E36" s="20">
        <v>162.5</v>
      </c>
      <c r="F36" s="20">
        <v>105.1</v>
      </c>
      <c r="G36" s="20">
        <v>89.4</v>
      </c>
      <c r="I36" s="20">
        <f t="shared" si="3"/>
        <v>118.76314305849189</v>
      </c>
      <c r="J36" s="45">
        <f>(I36/'AAU 18-19'!I36)-1</f>
        <v>2.5198787682585211E-2</v>
      </c>
      <c r="K36" s="18"/>
      <c r="M36" s="38">
        <f>341+139</f>
        <v>480</v>
      </c>
      <c r="N36" s="38">
        <f>220+199</f>
        <v>419</v>
      </c>
      <c r="O36" s="38">
        <f>258+262</f>
        <v>520</v>
      </c>
      <c r="P36" s="36">
        <f t="shared" si="0"/>
        <v>78000</v>
      </c>
      <c r="Q36" s="36">
        <f t="shared" si="0"/>
        <v>44036.899999999994</v>
      </c>
      <c r="R36" s="36">
        <f t="shared" si="0"/>
        <v>46488</v>
      </c>
      <c r="S36" s="36">
        <f t="shared" si="1"/>
        <v>1419</v>
      </c>
      <c r="T36" s="36">
        <f t="shared" si="2"/>
        <v>168524.9</v>
      </c>
      <c r="U36" s="37">
        <f t="shared" si="4"/>
        <v>118.76314305849189</v>
      </c>
    </row>
    <row r="37" spans="1:21" ht="13.5" customHeight="1" x14ac:dyDescent="0.3">
      <c r="A37" s="19"/>
      <c r="C37" s="31">
        <v>27</v>
      </c>
      <c r="D37" s="1" t="s">
        <v>35</v>
      </c>
      <c r="E37" s="20">
        <v>149.19999999999999</v>
      </c>
      <c r="F37" s="20">
        <v>107.6</v>
      </c>
      <c r="G37" s="20">
        <v>93.2</v>
      </c>
      <c r="I37" s="20">
        <f t="shared" si="3"/>
        <v>120.90510252742013</v>
      </c>
      <c r="J37" s="45">
        <f>(I37/'AAU 18-19'!I37)-1</f>
        <v>1.8757924851031671E-2</v>
      </c>
      <c r="K37" s="18"/>
      <c r="M37" s="38">
        <f>705+199</f>
        <v>904</v>
      </c>
      <c r="N37" s="38">
        <f>315+204</f>
        <v>519</v>
      </c>
      <c r="O37" s="38">
        <f>378+296</f>
        <v>674</v>
      </c>
      <c r="P37" s="36">
        <f t="shared" si="0"/>
        <v>134876.79999999999</v>
      </c>
      <c r="Q37" s="36">
        <f t="shared" si="0"/>
        <v>55844.399999999994</v>
      </c>
      <c r="R37" s="36">
        <f t="shared" si="0"/>
        <v>62816.800000000003</v>
      </c>
      <c r="S37" s="36">
        <f t="shared" si="1"/>
        <v>2097</v>
      </c>
      <c r="T37" s="36">
        <f t="shared" si="2"/>
        <v>253538</v>
      </c>
      <c r="U37" s="37">
        <f t="shared" si="4"/>
        <v>120.90510252742013</v>
      </c>
    </row>
    <row r="38" spans="1:21" ht="13.5" customHeight="1" x14ac:dyDescent="0.3">
      <c r="A38" s="19"/>
      <c r="C38" s="31">
        <v>28</v>
      </c>
      <c r="D38" s="1" t="s">
        <v>36</v>
      </c>
      <c r="E38" s="20">
        <v>175.4</v>
      </c>
      <c r="F38" s="20">
        <v>114.8</v>
      </c>
      <c r="G38" s="20">
        <v>90.3</v>
      </c>
      <c r="I38" s="20">
        <f t="shared" si="3"/>
        <v>132.25846628924344</v>
      </c>
      <c r="J38" s="45">
        <f>(I38/'AAU 18-19'!I38)-1</f>
        <v>3.2743749048509185E-2</v>
      </c>
      <c r="K38" s="18"/>
      <c r="M38" s="38">
        <f>555+253</f>
        <v>808</v>
      </c>
      <c r="N38" s="39">
        <f>239+282</f>
        <v>521</v>
      </c>
      <c r="O38" s="38">
        <f>269+345</f>
        <v>614</v>
      </c>
      <c r="P38" s="36">
        <f t="shared" si="0"/>
        <v>141723.20000000001</v>
      </c>
      <c r="Q38" s="36">
        <f t="shared" si="0"/>
        <v>59810.799999999996</v>
      </c>
      <c r="R38" s="36">
        <f t="shared" si="0"/>
        <v>55444.2</v>
      </c>
      <c r="S38" s="36">
        <f t="shared" si="1"/>
        <v>1943</v>
      </c>
      <c r="T38" s="36">
        <f t="shared" si="2"/>
        <v>256978.2</v>
      </c>
      <c r="U38" s="37">
        <f t="shared" si="4"/>
        <v>132.25846628924344</v>
      </c>
    </row>
    <row r="39" spans="1:21" ht="13.5" customHeight="1" x14ac:dyDescent="0.3">
      <c r="A39" s="19"/>
      <c r="C39" s="31">
        <v>29</v>
      </c>
      <c r="D39" s="1" t="s">
        <v>46</v>
      </c>
      <c r="E39" s="20">
        <v>145.19999999999999</v>
      </c>
      <c r="F39" s="20">
        <v>99.7</v>
      </c>
      <c r="G39" s="20">
        <v>82</v>
      </c>
      <c r="I39" s="20">
        <f t="shared" si="3"/>
        <v>109.2988685813751</v>
      </c>
      <c r="J39" s="45">
        <f>(I39/'AAU 18-19'!I39)-1</f>
        <v>8.9296660443596299E-3</v>
      </c>
      <c r="K39" s="18"/>
      <c r="M39" s="38">
        <f>288+103</f>
        <v>391</v>
      </c>
      <c r="N39" s="38">
        <f>206+170</f>
        <v>376</v>
      </c>
      <c r="O39" s="38">
        <f>203+179</f>
        <v>382</v>
      </c>
      <c r="P39" s="36">
        <f t="shared" si="0"/>
        <v>56773.2</v>
      </c>
      <c r="Q39" s="36">
        <f t="shared" si="0"/>
        <v>37487.200000000004</v>
      </c>
      <c r="R39" s="36">
        <f t="shared" si="0"/>
        <v>31324</v>
      </c>
      <c r="S39" s="36">
        <f t="shared" si="1"/>
        <v>1149</v>
      </c>
      <c r="T39" s="36">
        <f t="shared" si="2"/>
        <v>125584.4</v>
      </c>
      <c r="U39" s="37">
        <f t="shared" si="4"/>
        <v>109.2988685813751</v>
      </c>
    </row>
    <row r="40" spans="1:21" ht="13.5" customHeight="1" x14ac:dyDescent="0.3">
      <c r="A40" s="19"/>
      <c r="C40" s="31">
        <v>30</v>
      </c>
      <c r="D40" s="1" t="s">
        <v>47</v>
      </c>
      <c r="E40" s="20">
        <v>164.4</v>
      </c>
      <c r="F40" s="20">
        <v>110.8</v>
      </c>
      <c r="G40" s="20">
        <v>93.4</v>
      </c>
      <c r="I40" s="20">
        <f t="shared" si="3"/>
        <v>127.7394495412844</v>
      </c>
      <c r="J40" s="45">
        <f>(I40/'AAU 18-19'!I40)-1</f>
        <v>1.8126630174875036E-2</v>
      </c>
      <c r="K40" s="18"/>
      <c r="M40" s="38">
        <f>265+82</f>
        <v>347</v>
      </c>
      <c r="N40" s="38">
        <f>176+129</f>
        <v>305</v>
      </c>
      <c r="O40" s="38">
        <f>124+96</f>
        <v>220</v>
      </c>
      <c r="P40" s="36">
        <f t="shared" si="0"/>
        <v>57046.8</v>
      </c>
      <c r="Q40" s="36">
        <f t="shared" si="0"/>
        <v>33794</v>
      </c>
      <c r="R40" s="36">
        <f t="shared" si="0"/>
        <v>20548</v>
      </c>
      <c r="S40" s="36">
        <f t="shared" si="1"/>
        <v>872</v>
      </c>
      <c r="T40" s="36">
        <f t="shared" si="2"/>
        <v>111388.8</v>
      </c>
      <c r="U40" s="37">
        <f t="shared" si="4"/>
        <v>127.7394495412844</v>
      </c>
    </row>
    <row r="41" spans="1:21" ht="13.5" customHeight="1" x14ac:dyDescent="0.3">
      <c r="A41" s="19"/>
      <c r="C41" s="31">
        <v>31</v>
      </c>
      <c r="D41" s="1" t="s">
        <v>48</v>
      </c>
      <c r="E41" s="20">
        <v>183.8</v>
      </c>
      <c r="F41" s="20">
        <v>119.3</v>
      </c>
      <c r="G41" s="20">
        <v>109.1</v>
      </c>
      <c r="I41" s="20">
        <f t="shared" si="3"/>
        <v>151.65194508009156</v>
      </c>
      <c r="J41" s="45">
        <f>(I41/'AAU 18-19'!I41)-1</f>
        <v>4.5250191509393467E-2</v>
      </c>
      <c r="K41" s="18"/>
      <c r="M41" s="38">
        <f>679+249</f>
        <v>928</v>
      </c>
      <c r="N41" s="38">
        <f>280+216</f>
        <v>496</v>
      </c>
      <c r="O41" s="38">
        <f>166+158</f>
        <v>324</v>
      </c>
      <c r="P41" s="36">
        <f t="shared" si="0"/>
        <v>170566.40000000002</v>
      </c>
      <c r="Q41" s="36">
        <f t="shared" si="0"/>
        <v>59172.799999999996</v>
      </c>
      <c r="R41" s="36">
        <f t="shared" si="0"/>
        <v>35348.400000000001</v>
      </c>
      <c r="S41" s="36">
        <f t="shared" si="1"/>
        <v>1748</v>
      </c>
      <c r="T41" s="36">
        <f t="shared" si="2"/>
        <v>265087.60000000003</v>
      </c>
      <c r="U41" s="37">
        <f t="shared" si="4"/>
        <v>151.65194508009156</v>
      </c>
    </row>
    <row r="42" spans="1:21" ht="13.5" customHeight="1" x14ac:dyDescent="0.3">
      <c r="A42" s="19"/>
      <c r="C42" s="31">
        <v>32</v>
      </c>
      <c r="D42" s="1" t="s">
        <v>102</v>
      </c>
      <c r="E42" s="20">
        <v>152.69999999999999</v>
      </c>
      <c r="F42" s="20">
        <v>105.7</v>
      </c>
      <c r="G42" s="20">
        <v>95.5</v>
      </c>
      <c r="I42" s="20">
        <f t="shared" si="3"/>
        <v>127.74453961456102</v>
      </c>
      <c r="J42" s="45"/>
      <c r="K42" s="18"/>
      <c r="M42" s="38">
        <f>780+186</f>
        <v>966</v>
      </c>
      <c r="N42" s="38">
        <f>312+176</f>
        <v>488</v>
      </c>
      <c r="O42" s="38">
        <f>249+165</f>
        <v>414</v>
      </c>
      <c r="P42" s="36">
        <f t="shared" si="0"/>
        <v>147508.19999999998</v>
      </c>
      <c r="Q42" s="36">
        <f t="shared" si="0"/>
        <v>51581.599999999999</v>
      </c>
      <c r="R42" s="36">
        <f t="shared" si="0"/>
        <v>39537</v>
      </c>
      <c r="S42" s="36">
        <f t="shared" si="1"/>
        <v>1868</v>
      </c>
      <c r="T42" s="36">
        <f t="shared" si="2"/>
        <v>238626.8</v>
      </c>
      <c r="U42" s="37">
        <f t="shared" si="4"/>
        <v>127.74453961456102</v>
      </c>
    </row>
    <row r="43" spans="1:21" ht="13.5" customHeight="1" x14ac:dyDescent="0.3">
      <c r="A43" s="19"/>
      <c r="B43" s="48" t="s">
        <v>66</v>
      </c>
      <c r="C43" s="31">
        <v>33</v>
      </c>
      <c r="D43" s="1" t="s">
        <v>114</v>
      </c>
      <c r="E43" s="20">
        <v>132.30000000000001</v>
      </c>
      <c r="F43" s="20">
        <v>96.1</v>
      </c>
      <c r="G43" s="20">
        <v>86.8</v>
      </c>
      <c r="I43" s="20">
        <f t="shared" si="3"/>
        <v>108.55294659300183</v>
      </c>
      <c r="J43" s="45">
        <f>(I43/'AAU 18-19'!I43)-1</f>
        <v>-1.3732652583522742E-2</v>
      </c>
      <c r="K43" s="18"/>
      <c r="M43" s="38">
        <f>326+128</f>
        <v>454</v>
      </c>
      <c r="N43" s="38">
        <f>184+135</f>
        <v>319</v>
      </c>
      <c r="O43" s="38">
        <f>180+133</f>
        <v>313</v>
      </c>
      <c r="P43" s="36">
        <f t="shared" ref="P43" si="7">E43*M43</f>
        <v>60064.200000000004</v>
      </c>
      <c r="Q43" s="36">
        <f t="shared" ref="Q43" si="8">F43*N43</f>
        <v>30655.899999999998</v>
      </c>
      <c r="R43" s="36">
        <f t="shared" ref="R43" si="9">G43*O43</f>
        <v>27168.399999999998</v>
      </c>
      <c r="S43" s="36">
        <f t="shared" ref="S43" si="10">M43+N43+O43</f>
        <v>1086</v>
      </c>
      <c r="T43" s="36">
        <f t="shared" ref="T43" si="11">P43+Q43+R43</f>
        <v>117888.5</v>
      </c>
      <c r="U43" s="37">
        <f t="shared" ref="U43" si="12">T43/S43</f>
        <v>108.55294659300183</v>
      </c>
    </row>
    <row r="44" spans="1:21" ht="13.5" customHeight="1" x14ac:dyDescent="0.3">
      <c r="A44" s="19"/>
      <c r="C44" s="31">
        <v>34</v>
      </c>
      <c r="D44" s="1" t="s">
        <v>38</v>
      </c>
      <c r="E44" s="20">
        <v>185.1</v>
      </c>
      <c r="F44" s="20">
        <v>125.3</v>
      </c>
      <c r="G44" s="20">
        <v>97.1</v>
      </c>
      <c r="I44" s="20">
        <f t="shared" si="3"/>
        <v>140.48107714701601</v>
      </c>
      <c r="J44" s="45">
        <f>(I44/'AAU 18-19'!I44)-1</f>
        <v>2.5983012745062206E-2</v>
      </c>
      <c r="K44" s="18"/>
      <c r="M44" s="38">
        <f>407+146</f>
        <v>553</v>
      </c>
      <c r="N44" s="38">
        <f>227+161</f>
        <v>388</v>
      </c>
      <c r="O44" s="38">
        <f>222+211</f>
        <v>433</v>
      </c>
      <c r="P44" s="36">
        <f t="shared" si="0"/>
        <v>102360.3</v>
      </c>
      <c r="Q44" s="36">
        <f t="shared" si="0"/>
        <v>48616.4</v>
      </c>
      <c r="R44" s="36">
        <f t="shared" si="0"/>
        <v>42044.299999999996</v>
      </c>
      <c r="S44" s="36">
        <f t="shared" si="1"/>
        <v>1374</v>
      </c>
      <c r="T44" s="36">
        <f t="shared" si="2"/>
        <v>193021</v>
      </c>
      <c r="U44" s="37">
        <f t="shared" si="4"/>
        <v>140.48107714701601</v>
      </c>
    </row>
    <row r="45" spans="1:21" ht="13.5" customHeight="1" x14ac:dyDescent="0.3">
      <c r="A45" s="19"/>
      <c r="C45" s="31">
        <v>35</v>
      </c>
      <c r="D45" s="1" t="s">
        <v>39</v>
      </c>
      <c r="E45" s="20">
        <v>156.4</v>
      </c>
      <c r="F45" s="20">
        <v>119.3</v>
      </c>
      <c r="G45" s="20">
        <v>107.5</v>
      </c>
      <c r="I45" s="20">
        <f t="shared" si="3"/>
        <v>135.04418132611636</v>
      </c>
      <c r="J45" s="45">
        <f>(I45/'AAU 18-19'!I45)-1</f>
        <v>3.9288787638837475E-2</v>
      </c>
      <c r="K45" s="18"/>
      <c r="M45" s="38">
        <f>480+249</f>
        <v>729</v>
      </c>
      <c r="N45" s="38">
        <f>232+197</f>
        <v>429</v>
      </c>
      <c r="O45" s="38">
        <f>146+174</f>
        <v>320</v>
      </c>
      <c r="P45" s="36">
        <f t="shared" si="0"/>
        <v>114015.6</v>
      </c>
      <c r="Q45" s="36">
        <f t="shared" si="0"/>
        <v>51179.7</v>
      </c>
      <c r="R45" s="36">
        <f t="shared" si="0"/>
        <v>34400</v>
      </c>
      <c r="S45" s="36">
        <f t="shared" si="1"/>
        <v>1478</v>
      </c>
      <c r="T45" s="36">
        <f t="shared" si="2"/>
        <v>199595.3</v>
      </c>
      <c r="U45" s="37">
        <f t="shared" si="4"/>
        <v>135.04418132611636</v>
      </c>
    </row>
    <row r="46" spans="1:21" ht="13.5" customHeight="1" x14ac:dyDescent="0.3">
      <c r="A46" s="19"/>
      <c r="C46" s="31">
        <v>36</v>
      </c>
      <c r="D46" s="1" t="s">
        <v>40</v>
      </c>
      <c r="E46" s="20">
        <v>148.9</v>
      </c>
      <c r="F46" s="20">
        <v>112.5</v>
      </c>
      <c r="G46" s="20">
        <v>97.1</v>
      </c>
      <c r="I46" s="20">
        <f t="shared" si="3"/>
        <v>128.47100515463919</v>
      </c>
      <c r="J46" s="45">
        <f>(I46/'AAU 18-19'!I46)-1</f>
        <v>4.150514109698622E-2</v>
      </c>
      <c r="K46" s="18"/>
      <c r="M46" s="38">
        <f>569+274</f>
        <v>843</v>
      </c>
      <c r="N46" s="38">
        <f>179+147</f>
        <v>326</v>
      </c>
      <c r="O46" s="38">
        <f>193+190</f>
        <v>383</v>
      </c>
      <c r="P46" s="36">
        <f t="shared" si="0"/>
        <v>125522.70000000001</v>
      </c>
      <c r="Q46" s="36">
        <f t="shared" si="0"/>
        <v>36675</v>
      </c>
      <c r="R46" s="36">
        <f t="shared" si="0"/>
        <v>37189.299999999996</v>
      </c>
      <c r="S46" s="36">
        <f t="shared" si="1"/>
        <v>1552</v>
      </c>
      <c r="T46" s="36">
        <f t="shared" si="2"/>
        <v>199387</v>
      </c>
      <c r="U46" s="37">
        <f t="shared" si="4"/>
        <v>128.47100515463919</v>
      </c>
    </row>
    <row r="47" spans="1:21" ht="13.5" customHeight="1" x14ac:dyDescent="0.3">
      <c r="A47" s="19"/>
      <c r="K47" s="18"/>
    </row>
    <row r="48" spans="1:21" ht="13.5" customHeight="1" x14ac:dyDescent="0.3">
      <c r="A48" s="19"/>
      <c r="D48" s="44" t="s">
        <v>54</v>
      </c>
      <c r="E48" s="41">
        <f>P48/M48</f>
        <v>165.15843806846371</v>
      </c>
      <c r="F48" s="41">
        <f t="shared" ref="F48:G48" si="13">Q48/N48</f>
        <v>109.00735175202153</v>
      </c>
      <c r="G48" s="41">
        <f t="shared" si="13"/>
        <v>94.780883462514566</v>
      </c>
      <c r="H48" s="40"/>
      <c r="I48" s="41">
        <f>U48</f>
        <v>130.4742272464417</v>
      </c>
      <c r="J48" s="46">
        <f>(I48/'AAU 18-19'!I48)-1</f>
        <v>2.4452094975336625E-2</v>
      </c>
      <c r="K48" s="18"/>
      <c r="M48" s="39">
        <f>SUM(M11:M46)</f>
        <v>24188</v>
      </c>
      <c r="N48" s="39">
        <f t="shared" ref="N48" si="14">SUM(N11:N46)</f>
        <v>14840</v>
      </c>
      <c r="O48" s="39">
        <f>SUM(O11:O46)</f>
        <v>14579</v>
      </c>
      <c r="P48" s="39">
        <f>SUM(P11:P46)</f>
        <v>3994852.3000000003</v>
      </c>
      <c r="Q48" s="39">
        <f>SUM(Q11:Q46)</f>
        <v>1617669.0999999996</v>
      </c>
      <c r="R48" s="39">
        <f t="shared" ref="R48" si="15">SUM(R11:R46)</f>
        <v>1381810.4999999998</v>
      </c>
      <c r="S48" s="36">
        <f>M48+N48+O48</f>
        <v>53607</v>
      </c>
      <c r="T48" s="36">
        <f>P48+Q48+R48</f>
        <v>6994331.9000000004</v>
      </c>
      <c r="U48" s="37">
        <f>T48/S48</f>
        <v>130.4742272464417</v>
      </c>
    </row>
    <row r="49" spans="1:11" ht="13.5" customHeight="1" x14ac:dyDescent="0.3">
      <c r="A49" s="19"/>
      <c r="D49" s="44" t="s">
        <v>55</v>
      </c>
      <c r="E49" s="41">
        <f>MEDIAN(E11:E46)</f>
        <v>159.55000000000001</v>
      </c>
      <c r="F49" s="41">
        <f t="shared" ref="F49:G49" si="16">MEDIAN(F11:F46)</f>
        <v>107.3</v>
      </c>
      <c r="G49" s="41">
        <f t="shared" si="16"/>
        <v>96.65</v>
      </c>
      <c r="H49" s="40"/>
      <c r="I49" s="41">
        <f>MEDIAN(I11:I46)</f>
        <v>127.74199457792271</v>
      </c>
      <c r="J49" s="46">
        <f>(I49/'AAU 18-19'!I49)-1</f>
        <v>3.5595105111431602E-2</v>
      </c>
      <c r="K49" s="18"/>
    </row>
    <row r="50" spans="1:11" ht="13.5" customHeight="1" x14ac:dyDescent="0.3">
      <c r="A50" s="19"/>
      <c r="B50" s="22"/>
      <c r="C50" s="33"/>
      <c r="D50" s="22"/>
      <c r="E50" s="22"/>
      <c r="F50" s="22"/>
      <c r="G50" s="22"/>
      <c r="H50" s="22"/>
      <c r="I50" s="22"/>
      <c r="J50" s="22"/>
      <c r="K50" s="18"/>
    </row>
    <row r="51" spans="1:11" ht="13.5" customHeight="1" x14ac:dyDescent="0.3">
      <c r="A51" s="19"/>
      <c r="B51" s="1" t="s">
        <v>115</v>
      </c>
      <c r="K51" s="18"/>
    </row>
    <row r="52" spans="1:11" ht="13.5" customHeight="1" x14ac:dyDescent="0.3">
      <c r="A52" s="19"/>
      <c r="K52" s="18"/>
    </row>
    <row r="53" spans="1:11" ht="13.5" customHeight="1" x14ac:dyDescent="0.3">
      <c r="A53" s="19"/>
      <c r="B53" s="16" t="s">
        <v>99</v>
      </c>
      <c r="K53" s="18"/>
    </row>
    <row r="54" spans="1:11" ht="13.5" customHeight="1" x14ac:dyDescent="0.3">
      <c r="A54" s="19"/>
      <c r="K54" s="18"/>
    </row>
    <row r="55" spans="1:11" ht="13.5" customHeight="1" x14ac:dyDescent="0.3">
      <c r="A55" s="21"/>
      <c r="B55" s="42" t="s">
        <v>56</v>
      </c>
      <c r="C55" s="33"/>
      <c r="D55" s="22"/>
      <c r="E55" s="22"/>
      <c r="F55" s="22"/>
      <c r="G55" s="22"/>
      <c r="H55" s="22"/>
      <c r="I55" s="22"/>
      <c r="J55" s="43" t="s">
        <v>116</v>
      </c>
      <c r="K55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4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110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141</v>
      </c>
      <c r="F11" s="20">
        <v>98</v>
      </c>
      <c r="G11" s="20">
        <v>84.3</v>
      </c>
      <c r="I11" s="20">
        <f>U11</f>
        <v>111.28298969072166</v>
      </c>
      <c r="J11" s="45">
        <f>(I11/'AAU 17-18'!I11)-1</f>
        <v>5.1882980703938486E-2</v>
      </c>
      <c r="K11" s="18"/>
      <c r="M11" s="38">
        <f>452+188</f>
        <v>640</v>
      </c>
      <c r="N11" s="38">
        <f>238+170</f>
        <v>408</v>
      </c>
      <c r="O11" s="38">
        <f>253+251</f>
        <v>504</v>
      </c>
      <c r="P11" s="36">
        <f t="shared" ref="P11:R46" si="0">E11*M11</f>
        <v>90240</v>
      </c>
      <c r="Q11" s="36">
        <f t="shared" si="0"/>
        <v>39984</v>
      </c>
      <c r="R11" s="36">
        <f t="shared" si="0"/>
        <v>42487.199999999997</v>
      </c>
      <c r="S11" s="36">
        <f t="shared" ref="S11:S46" si="1">M11+N11+O11</f>
        <v>1552</v>
      </c>
      <c r="T11" s="36">
        <f t="shared" ref="T11:T46" si="2">P11+Q11+R11</f>
        <v>172711.2</v>
      </c>
      <c r="U11" s="37">
        <f>T11/S11</f>
        <v>111.28298969072166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201.7</v>
      </c>
      <c r="F12" s="20">
        <v>137.69999999999999</v>
      </c>
      <c r="G12" s="20">
        <v>115.4</v>
      </c>
      <c r="I12" s="20">
        <f t="shared" ref="I12:I46" si="3">U12</f>
        <v>172.00917630057799</v>
      </c>
      <c r="J12" s="45">
        <f>(I12/'AAU 17-18'!I12)-1</f>
        <v>5.0091795810212503E-2</v>
      </c>
      <c r="K12" s="18"/>
      <c r="M12" s="38">
        <f>601+227</f>
        <v>828</v>
      </c>
      <c r="N12" s="38">
        <f>173+136</f>
        <v>309</v>
      </c>
      <c r="O12" s="38">
        <f>154+93</f>
        <v>247</v>
      </c>
      <c r="P12" s="36">
        <f>E12*M12</f>
        <v>167007.59999999998</v>
      </c>
      <c r="Q12" s="36">
        <f t="shared" si="0"/>
        <v>42549.299999999996</v>
      </c>
      <c r="R12" s="36">
        <f>G12*O12</f>
        <v>28503.800000000003</v>
      </c>
      <c r="S12" s="36">
        <f>M12+N12+O12</f>
        <v>1384</v>
      </c>
      <c r="T12" s="36">
        <f>P12+Q12+R12</f>
        <v>238060.69999999995</v>
      </c>
      <c r="U12" s="37">
        <f t="shared" ref="U12:U46" si="4">T12/S12</f>
        <v>172.00917630057799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173</v>
      </c>
      <c r="F13" s="20">
        <v>118.7</v>
      </c>
      <c r="G13" s="20">
        <v>102.1</v>
      </c>
      <c r="I13" s="20">
        <f t="shared" si="3"/>
        <v>145.57653061224491</v>
      </c>
      <c r="J13" s="45">
        <f>(I13/'AAU 17-18'!I13)-1</f>
        <v>4.563947657543177E-2</v>
      </c>
      <c r="K13" s="18"/>
      <c r="M13" s="38">
        <f>534+242</f>
        <v>776</v>
      </c>
      <c r="N13" s="38">
        <f>150+129</f>
        <v>279</v>
      </c>
      <c r="O13" s="38">
        <f>178+139</f>
        <v>317</v>
      </c>
      <c r="P13" s="36">
        <f t="shared" si="0"/>
        <v>134248</v>
      </c>
      <c r="Q13" s="36">
        <f t="shared" si="0"/>
        <v>33117.300000000003</v>
      </c>
      <c r="R13" s="36">
        <f t="shared" si="0"/>
        <v>32365.699999999997</v>
      </c>
      <c r="S13" s="36">
        <f t="shared" si="1"/>
        <v>1372</v>
      </c>
      <c r="T13" s="36">
        <f t="shared" si="2"/>
        <v>199731</v>
      </c>
      <c r="U13" s="37">
        <f t="shared" si="4"/>
        <v>145.57653061224491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178.1</v>
      </c>
      <c r="F14" s="20">
        <v>119.8</v>
      </c>
      <c r="G14" s="20">
        <v>101.1</v>
      </c>
      <c r="I14" s="20">
        <f t="shared" si="3"/>
        <v>148.89980787704133</v>
      </c>
      <c r="J14" s="45">
        <f>(I14/'AAU 17-18'!I14)-1</f>
        <v>2.9458222727212657E-2</v>
      </c>
      <c r="K14" s="18"/>
      <c r="M14" s="38">
        <f>415+171</f>
        <v>586</v>
      </c>
      <c r="N14" s="38">
        <f>135+113</f>
        <v>248</v>
      </c>
      <c r="O14" s="38">
        <f>104+103</f>
        <v>207</v>
      </c>
      <c r="P14" s="36">
        <f t="shared" si="0"/>
        <v>104366.59999999999</v>
      </c>
      <c r="Q14" s="36">
        <f t="shared" si="0"/>
        <v>29710.399999999998</v>
      </c>
      <c r="R14" s="36">
        <f t="shared" si="0"/>
        <v>20927.699999999997</v>
      </c>
      <c r="S14" s="36">
        <f t="shared" si="1"/>
        <v>1041</v>
      </c>
      <c r="T14" s="36">
        <f t="shared" si="2"/>
        <v>155004.70000000001</v>
      </c>
      <c r="U14" s="37">
        <f t="shared" si="4"/>
        <v>148.89980787704133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214</v>
      </c>
      <c r="F15" s="20">
        <v>142</v>
      </c>
      <c r="G15" s="20">
        <v>108.6</v>
      </c>
      <c r="I15" s="20">
        <f t="shared" si="3"/>
        <v>180.14438573315718</v>
      </c>
      <c r="J15" s="45">
        <f>(I15/'AAU 17-18'!I15)-1</f>
        <v>3.8372777548759673E-2</v>
      </c>
      <c r="K15" s="18"/>
      <c r="M15" s="38">
        <f>651+300</f>
        <v>951</v>
      </c>
      <c r="N15" s="38">
        <f>137+105</f>
        <v>242</v>
      </c>
      <c r="O15" s="38">
        <f>185+136</f>
        <v>321</v>
      </c>
      <c r="P15" s="36">
        <f t="shared" si="0"/>
        <v>203514</v>
      </c>
      <c r="Q15" s="36">
        <f t="shared" si="0"/>
        <v>34364</v>
      </c>
      <c r="R15" s="36">
        <f t="shared" si="0"/>
        <v>34860.6</v>
      </c>
      <c r="S15" s="36">
        <f t="shared" si="1"/>
        <v>1514</v>
      </c>
      <c r="T15" s="36">
        <f t="shared" si="2"/>
        <v>272738.59999999998</v>
      </c>
      <c r="U15" s="37">
        <f t="shared" si="4"/>
        <v>180.14438573315718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178.9</v>
      </c>
      <c r="F16" s="20">
        <v>123.5</v>
      </c>
      <c r="G16" s="20">
        <v>106.3</v>
      </c>
      <c r="I16" s="20">
        <f t="shared" si="3"/>
        <v>151.80388059701491</v>
      </c>
      <c r="J16" s="45">
        <f>(I16/'AAU 17-18'!I16)-1</f>
        <v>4.6986293283758362E-2</v>
      </c>
      <c r="K16" s="18"/>
      <c r="M16" s="38">
        <f>463+120</f>
        <v>583</v>
      </c>
      <c r="N16" s="38">
        <f>126+72</f>
        <v>198</v>
      </c>
      <c r="O16" s="38">
        <f>127+97</f>
        <v>224</v>
      </c>
      <c r="P16" s="36">
        <f t="shared" si="0"/>
        <v>104298.7</v>
      </c>
      <c r="Q16" s="36">
        <f t="shared" si="0"/>
        <v>24453</v>
      </c>
      <c r="R16" s="36">
        <f t="shared" si="0"/>
        <v>23811.200000000001</v>
      </c>
      <c r="S16" s="36">
        <f t="shared" si="1"/>
        <v>1005</v>
      </c>
      <c r="T16" s="36">
        <f t="shared" si="2"/>
        <v>152562.9</v>
      </c>
      <c r="U16" s="37">
        <f t="shared" si="4"/>
        <v>151.80388059701491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187.5</v>
      </c>
      <c r="F17" s="20">
        <v>115.6</v>
      </c>
      <c r="G17" s="20">
        <v>100.3</v>
      </c>
      <c r="I17" s="20">
        <f t="shared" si="3"/>
        <v>155.78622754491019</v>
      </c>
      <c r="J17" s="45">
        <f>(I17/'AAU 17-18'!I17)-1</f>
        <v>5.3826875279435971E-2</v>
      </c>
      <c r="K17" s="18"/>
      <c r="M17" s="38">
        <f>348+157</f>
        <v>505</v>
      </c>
      <c r="N17" s="38">
        <f>79+71</f>
        <v>150</v>
      </c>
      <c r="O17" s="38">
        <f>99+81</f>
        <v>180</v>
      </c>
      <c r="P17" s="36">
        <f t="shared" si="0"/>
        <v>94687.5</v>
      </c>
      <c r="Q17" s="36">
        <f t="shared" si="0"/>
        <v>17340</v>
      </c>
      <c r="R17" s="36">
        <f t="shared" si="0"/>
        <v>18054</v>
      </c>
      <c r="S17" s="36">
        <f t="shared" si="1"/>
        <v>835</v>
      </c>
      <c r="T17" s="36">
        <f t="shared" si="2"/>
        <v>130081.5</v>
      </c>
      <c r="U17" s="37">
        <f t="shared" si="4"/>
        <v>155.78622754491019</v>
      </c>
    </row>
    <row r="18" spans="1:21" ht="13.5" hidden="1" customHeight="1" x14ac:dyDescent="0.3">
      <c r="A18" s="19"/>
      <c r="B18" s="49"/>
      <c r="D18" s="1" t="s">
        <v>113</v>
      </c>
      <c r="E18" s="20">
        <v>168.1</v>
      </c>
      <c r="F18" s="20">
        <v>114.5</v>
      </c>
      <c r="G18" s="20">
        <v>100.3</v>
      </c>
      <c r="I18" s="20">
        <f t="shared" si="3"/>
        <v>139.49063063063065</v>
      </c>
      <c r="J18" s="45"/>
      <c r="K18" s="18"/>
      <c r="M18" s="38">
        <f>195+99</f>
        <v>294</v>
      </c>
      <c r="N18" s="38">
        <f>69+59</f>
        <v>128</v>
      </c>
      <c r="O18" s="38">
        <f>73+60</f>
        <v>133</v>
      </c>
      <c r="P18" s="36">
        <f t="shared" ref="P18" si="5">E18*M18</f>
        <v>49421.4</v>
      </c>
      <c r="Q18" s="36">
        <f t="shared" ref="Q18" si="6">F18*N18</f>
        <v>14656</v>
      </c>
      <c r="R18" s="36">
        <f t="shared" ref="R18" si="7">G18*O18</f>
        <v>13339.9</v>
      </c>
      <c r="S18" s="36">
        <f t="shared" ref="S18" si="8">M18+N18+O18</f>
        <v>555</v>
      </c>
      <c r="T18" s="36">
        <f t="shared" ref="T18" si="9">P18+Q18+R18</f>
        <v>77417.3</v>
      </c>
      <c r="U18" s="37">
        <f t="shared" ref="U18" si="10">T18/S18</f>
        <v>139.49063063063065</v>
      </c>
    </row>
    <row r="19" spans="1:21" ht="13.5" customHeight="1" x14ac:dyDescent="0.3">
      <c r="A19" s="19"/>
      <c r="C19" s="31">
        <v>8</v>
      </c>
      <c r="D19" s="1" t="s">
        <v>18</v>
      </c>
      <c r="E19" s="20">
        <v>147.6</v>
      </c>
      <c r="F19" s="20">
        <f>104.2</f>
        <v>104.2</v>
      </c>
      <c r="G19" s="20">
        <v>99</v>
      </c>
      <c r="I19" s="20">
        <f t="shared" si="3"/>
        <v>120.95348047538201</v>
      </c>
      <c r="J19" s="45">
        <f>(I19/'AAU 17-18'!I18)-1</f>
        <v>3.3302307150042232E-2</v>
      </c>
      <c r="K19" s="18"/>
      <c r="M19" s="38">
        <f>361+131</f>
        <v>492</v>
      </c>
      <c r="N19" s="38">
        <f>216+159</f>
        <v>375</v>
      </c>
      <c r="O19" s="39">
        <f>182+129</f>
        <v>311</v>
      </c>
      <c r="P19" s="36">
        <f t="shared" si="0"/>
        <v>72619.199999999997</v>
      </c>
      <c r="Q19" s="36">
        <f t="shared" si="0"/>
        <v>39075</v>
      </c>
      <c r="R19" s="36">
        <f t="shared" si="0"/>
        <v>30789</v>
      </c>
      <c r="S19" s="36">
        <f t="shared" si="1"/>
        <v>1178</v>
      </c>
      <c r="T19" s="36">
        <f t="shared" si="2"/>
        <v>142483.20000000001</v>
      </c>
      <c r="U19" s="37">
        <f t="shared" si="4"/>
        <v>120.95348047538201</v>
      </c>
    </row>
    <row r="20" spans="1:21" ht="13.5" customHeight="1" x14ac:dyDescent="0.3">
      <c r="A20" s="19"/>
      <c r="C20" s="31">
        <v>9</v>
      </c>
      <c r="D20" s="1" t="s">
        <v>19</v>
      </c>
      <c r="E20" s="20">
        <v>149.9</v>
      </c>
      <c r="F20" s="20">
        <v>101.2</v>
      </c>
      <c r="G20" s="20">
        <v>86.4</v>
      </c>
      <c r="I20" s="20">
        <f t="shared" si="3"/>
        <v>118.32416481069043</v>
      </c>
      <c r="J20" s="45">
        <f>(I20/'AAU 17-18'!I19)-1</f>
        <v>-7.8395851142504247E-3</v>
      </c>
      <c r="K20" s="18"/>
      <c r="M20" s="38">
        <f>586+192</f>
        <v>778</v>
      </c>
      <c r="N20" s="38">
        <f>315+221</f>
        <v>536</v>
      </c>
      <c r="O20" s="38">
        <f>249+233</f>
        <v>482</v>
      </c>
      <c r="P20" s="36">
        <f t="shared" si="0"/>
        <v>116622.20000000001</v>
      </c>
      <c r="Q20" s="36">
        <f t="shared" si="0"/>
        <v>54243.200000000004</v>
      </c>
      <c r="R20" s="36">
        <f t="shared" si="0"/>
        <v>41644.800000000003</v>
      </c>
      <c r="S20" s="36">
        <f t="shared" si="1"/>
        <v>1796</v>
      </c>
      <c r="T20" s="36">
        <f t="shared" si="2"/>
        <v>212510.2</v>
      </c>
      <c r="U20" s="37">
        <f t="shared" si="4"/>
        <v>118.32416481069043</v>
      </c>
    </row>
    <row r="21" spans="1:21" ht="13.5" customHeight="1" x14ac:dyDescent="0.3">
      <c r="A21" s="19"/>
      <c r="C21" s="31">
        <v>10</v>
      </c>
      <c r="D21" s="1" t="s">
        <v>20</v>
      </c>
      <c r="E21" s="20">
        <v>169.3</v>
      </c>
      <c r="F21" s="20">
        <v>114.1</v>
      </c>
      <c r="G21" s="20">
        <v>104</v>
      </c>
      <c r="I21" s="20">
        <f t="shared" si="3"/>
        <v>140.56429980276135</v>
      </c>
      <c r="J21" s="45">
        <f>(I21/'AAU 17-18'!I20)-1</f>
        <v>7.7968174956428715E-3</v>
      </c>
      <c r="K21" s="18"/>
      <c r="M21" s="38">
        <f>432+90</f>
        <v>522</v>
      </c>
      <c r="N21" s="38">
        <f>221+75</f>
        <v>296</v>
      </c>
      <c r="O21" s="38">
        <f>131+65</f>
        <v>196</v>
      </c>
      <c r="P21" s="36">
        <f t="shared" si="0"/>
        <v>88374.6</v>
      </c>
      <c r="Q21" s="36">
        <f t="shared" si="0"/>
        <v>33773.599999999999</v>
      </c>
      <c r="R21" s="36">
        <f t="shared" si="0"/>
        <v>20384</v>
      </c>
      <c r="S21" s="36">
        <f t="shared" si="1"/>
        <v>1014</v>
      </c>
      <c r="T21" s="36">
        <f t="shared" si="2"/>
        <v>142532.20000000001</v>
      </c>
      <c r="U21" s="37">
        <f t="shared" si="4"/>
        <v>140.56429980276135</v>
      </c>
    </row>
    <row r="22" spans="1:21" ht="13.5" customHeight="1" x14ac:dyDescent="0.3">
      <c r="A22" s="19"/>
      <c r="C22" s="31">
        <v>11</v>
      </c>
      <c r="D22" s="1" t="s">
        <v>21</v>
      </c>
      <c r="E22" s="20">
        <v>156.1</v>
      </c>
      <c r="F22" s="20">
        <v>106.6</v>
      </c>
      <c r="G22" s="20">
        <v>97.9</v>
      </c>
      <c r="I22" s="20">
        <f t="shared" si="3"/>
        <v>126.66389638424178</v>
      </c>
      <c r="J22" s="45">
        <f>(I22/'AAU 17-18'!I21)-1</f>
        <v>3.1084339556371354E-2</v>
      </c>
      <c r="K22" s="18"/>
      <c r="M22" s="38">
        <f>632+211</f>
        <v>843</v>
      </c>
      <c r="N22" s="38">
        <f>289+198</f>
        <v>487</v>
      </c>
      <c r="O22" s="38">
        <f>288+235</f>
        <v>523</v>
      </c>
      <c r="P22" s="36">
        <f t="shared" si="0"/>
        <v>131592.29999999999</v>
      </c>
      <c r="Q22" s="36">
        <f t="shared" si="0"/>
        <v>51914.2</v>
      </c>
      <c r="R22" s="36">
        <f t="shared" si="0"/>
        <v>51201.700000000004</v>
      </c>
      <c r="S22" s="36">
        <f t="shared" si="1"/>
        <v>1853</v>
      </c>
      <c r="T22" s="36">
        <f t="shared" si="2"/>
        <v>234708.2</v>
      </c>
      <c r="U22" s="37">
        <f t="shared" si="4"/>
        <v>126.66389638424178</v>
      </c>
    </row>
    <row r="23" spans="1:21" ht="13.5" customHeight="1" x14ac:dyDescent="0.3">
      <c r="A23" s="19"/>
      <c r="C23" s="31">
        <v>12</v>
      </c>
      <c r="D23" s="1" t="s">
        <v>22</v>
      </c>
      <c r="E23" s="20">
        <v>142.1</v>
      </c>
      <c r="F23" s="20">
        <v>98.3</v>
      </c>
      <c r="G23" s="20">
        <v>104.6</v>
      </c>
      <c r="I23" s="20">
        <f t="shared" si="3"/>
        <v>119.32949218749998</v>
      </c>
      <c r="J23" s="45">
        <f>(I23/'AAU 17-18'!I22)-1</f>
        <v>1.1644868024965227E-2</v>
      </c>
      <c r="K23" s="18"/>
      <c r="M23" s="38">
        <f>502+187</f>
        <v>689</v>
      </c>
      <c r="N23" s="38">
        <f>284+226</f>
        <v>510</v>
      </c>
      <c r="O23" s="38">
        <f>199+138</f>
        <v>337</v>
      </c>
      <c r="P23" s="36">
        <f t="shared" si="0"/>
        <v>97906.9</v>
      </c>
      <c r="Q23" s="36">
        <f t="shared" si="0"/>
        <v>50133</v>
      </c>
      <c r="R23" s="36">
        <f t="shared" si="0"/>
        <v>35250.199999999997</v>
      </c>
      <c r="S23" s="36">
        <f t="shared" si="1"/>
        <v>1536</v>
      </c>
      <c r="T23" s="36">
        <f t="shared" si="2"/>
        <v>183290.09999999998</v>
      </c>
      <c r="U23" s="37">
        <f t="shared" si="4"/>
        <v>119.32949218749998</v>
      </c>
    </row>
    <row r="24" spans="1:21" ht="13.5" customHeight="1" x14ac:dyDescent="0.3">
      <c r="A24" s="19"/>
      <c r="C24" s="31">
        <v>13</v>
      </c>
      <c r="D24" s="1" t="s">
        <v>23</v>
      </c>
      <c r="E24" s="20">
        <v>141.9</v>
      </c>
      <c r="F24" s="20">
        <v>94.3</v>
      </c>
      <c r="G24" s="20">
        <v>87.1</v>
      </c>
      <c r="I24" s="20">
        <f t="shared" si="3"/>
        <v>111.65088607594936</v>
      </c>
      <c r="J24" s="45">
        <f>(I24/'AAU 17-18'!I23)-1</f>
        <v>-8.9515699989320963E-3</v>
      </c>
      <c r="K24" s="18"/>
      <c r="M24" s="38">
        <f>338+136</f>
        <v>474</v>
      </c>
      <c r="N24" s="38">
        <f>234+199</f>
        <v>433</v>
      </c>
      <c r="O24" s="38">
        <f>136+142</f>
        <v>278</v>
      </c>
      <c r="P24" s="36">
        <f t="shared" si="0"/>
        <v>67260.600000000006</v>
      </c>
      <c r="Q24" s="36">
        <f t="shared" si="0"/>
        <v>40831.9</v>
      </c>
      <c r="R24" s="36">
        <f t="shared" si="0"/>
        <v>24213.8</v>
      </c>
      <c r="S24" s="36">
        <f t="shared" si="1"/>
        <v>1185</v>
      </c>
      <c r="T24" s="36">
        <f t="shared" si="2"/>
        <v>132306.29999999999</v>
      </c>
      <c r="U24" s="37">
        <f t="shared" si="4"/>
        <v>111.65088607594936</v>
      </c>
    </row>
    <row r="25" spans="1:21" ht="13.5" customHeight="1" x14ac:dyDescent="0.3">
      <c r="A25" s="19"/>
      <c r="C25" s="31">
        <v>14</v>
      </c>
      <c r="D25" s="1" t="s">
        <v>24</v>
      </c>
      <c r="E25" s="20">
        <v>132.80000000000001</v>
      </c>
      <c r="F25" s="20">
        <v>99.9</v>
      </c>
      <c r="G25" s="20">
        <v>87.1</v>
      </c>
      <c r="I25" s="20">
        <f t="shared" si="3"/>
        <v>108.50868913857678</v>
      </c>
      <c r="J25" s="45">
        <f>(I25/'AAU 17-18'!I24)-1</f>
        <v>2.3189322576830707E-2</v>
      </c>
      <c r="K25" s="18"/>
      <c r="M25" s="38">
        <f>399+111</f>
        <v>510</v>
      </c>
      <c r="N25" s="38">
        <f>254+158</f>
        <v>412</v>
      </c>
      <c r="O25" s="38">
        <f>232+181</f>
        <v>413</v>
      </c>
      <c r="P25" s="36">
        <f t="shared" si="0"/>
        <v>67728</v>
      </c>
      <c r="Q25" s="36">
        <f t="shared" si="0"/>
        <v>41158.800000000003</v>
      </c>
      <c r="R25" s="36">
        <f t="shared" si="0"/>
        <v>35972.299999999996</v>
      </c>
      <c r="S25" s="36">
        <f t="shared" si="1"/>
        <v>1335</v>
      </c>
      <c r="T25" s="36">
        <f t="shared" si="2"/>
        <v>144859.1</v>
      </c>
      <c r="U25" s="37">
        <f t="shared" si="4"/>
        <v>108.50868913857678</v>
      </c>
    </row>
    <row r="26" spans="1:21" ht="13.5" customHeight="1" x14ac:dyDescent="0.3">
      <c r="A26" s="19"/>
      <c r="C26" s="31">
        <v>15</v>
      </c>
      <c r="D26" s="1" t="s">
        <v>25</v>
      </c>
      <c r="E26" s="20">
        <v>126</v>
      </c>
      <c r="F26" s="20">
        <v>85.5</v>
      </c>
      <c r="G26" s="20">
        <v>76.099999999999994</v>
      </c>
      <c r="I26" s="20">
        <f t="shared" si="3"/>
        <v>99.81467289719626</v>
      </c>
      <c r="J26" s="45">
        <f>(I26/'AAU 17-18'!I25)-1</f>
        <v>-2.331166018580022E-2</v>
      </c>
      <c r="K26" s="18"/>
      <c r="M26" s="38">
        <f>317+122</f>
        <v>439</v>
      </c>
      <c r="N26" s="38">
        <f>207+162</f>
        <v>369</v>
      </c>
      <c r="O26" s="38">
        <f>158+104</f>
        <v>262</v>
      </c>
      <c r="P26" s="36">
        <f t="shared" si="0"/>
        <v>55314</v>
      </c>
      <c r="Q26" s="36">
        <f t="shared" si="0"/>
        <v>31549.5</v>
      </c>
      <c r="R26" s="36">
        <f t="shared" si="0"/>
        <v>19938.199999999997</v>
      </c>
      <c r="S26" s="36">
        <f t="shared" si="1"/>
        <v>1070</v>
      </c>
      <c r="T26" s="36">
        <f t="shared" si="2"/>
        <v>106801.7</v>
      </c>
      <c r="U26" s="37">
        <f t="shared" si="4"/>
        <v>99.81467289719626</v>
      </c>
    </row>
    <row r="27" spans="1:21" ht="13.5" customHeight="1" x14ac:dyDescent="0.3">
      <c r="A27" s="19"/>
      <c r="C27" s="31">
        <v>16</v>
      </c>
      <c r="D27" s="1" t="s">
        <v>26</v>
      </c>
      <c r="E27" s="20">
        <v>161.6</v>
      </c>
      <c r="F27" s="20">
        <v>108.8</v>
      </c>
      <c r="G27" s="20">
        <v>96.4</v>
      </c>
      <c r="I27" s="20">
        <f t="shared" si="3"/>
        <v>131.95537525354968</v>
      </c>
      <c r="J27" s="45">
        <f>(I27/'AAU 17-18'!I26)-1</f>
        <v>3.4860541473795692E-3</v>
      </c>
      <c r="K27" s="18"/>
      <c r="M27" s="38">
        <f>546+178</f>
        <v>724</v>
      </c>
      <c r="N27" s="38">
        <f>256+178</f>
        <v>434</v>
      </c>
      <c r="O27" s="38">
        <f>152+169</f>
        <v>321</v>
      </c>
      <c r="P27" s="36">
        <f t="shared" si="0"/>
        <v>116998.39999999999</v>
      </c>
      <c r="Q27" s="36">
        <f t="shared" si="0"/>
        <v>47219.199999999997</v>
      </c>
      <c r="R27" s="36">
        <f t="shared" si="0"/>
        <v>30944.400000000001</v>
      </c>
      <c r="S27" s="36">
        <f t="shared" si="1"/>
        <v>1479</v>
      </c>
      <c r="T27" s="36">
        <f t="shared" si="2"/>
        <v>195161.99999999997</v>
      </c>
      <c r="U27" s="37">
        <f t="shared" si="4"/>
        <v>131.95537525354968</v>
      </c>
    </row>
    <row r="28" spans="1:21" ht="13.5" customHeight="1" x14ac:dyDescent="0.3">
      <c r="A28" s="19"/>
      <c r="C28" s="31">
        <v>17</v>
      </c>
      <c r="D28" s="1" t="s">
        <v>27</v>
      </c>
      <c r="E28" s="20">
        <v>175</v>
      </c>
      <c r="F28" s="20">
        <v>115.8</v>
      </c>
      <c r="G28" s="20">
        <v>98.5</v>
      </c>
      <c r="I28" s="20">
        <f t="shared" si="3"/>
        <v>140.44098148945329</v>
      </c>
      <c r="J28" s="45">
        <f>(I28/'AAU 17-18'!I27)-1</f>
        <v>2.9551302356525033E-2</v>
      </c>
      <c r="K28" s="18"/>
      <c r="M28" s="38">
        <f>807+337</f>
        <v>1144</v>
      </c>
      <c r="N28" s="38">
        <f>324+249</f>
        <v>573</v>
      </c>
      <c r="O28" s="38">
        <f>299+307</f>
        <v>606</v>
      </c>
      <c r="P28" s="36">
        <f t="shared" si="0"/>
        <v>200200</v>
      </c>
      <c r="Q28" s="36">
        <f t="shared" si="0"/>
        <v>66353.399999999994</v>
      </c>
      <c r="R28" s="36">
        <f t="shared" si="0"/>
        <v>59691</v>
      </c>
      <c r="S28" s="36">
        <f t="shared" si="1"/>
        <v>2323</v>
      </c>
      <c r="T28" s="36">
        <f t="shared" si="2"/>
        <v>326244.40000000002</v>
      </c>
      <c r="U28" s="37">
        <f t="shared" si="4"/>
        <v>140.44098148945329</v>
      </c>
    </row>
    <row r="29" spans="1:21" ht="13.5" customHeight="1" x14ac:dyDescent="0.3">
      <c r="A29" s="19"/>
      <c r="C29" s="31">
        <v>18</v>
      </c>
      <c r="D29" s="1" t="s">
        <v>28</v>
      </c>
      <c r="E29" s="20">
        <v>157.4</v>
      </c>
      <c r="F29" s="20">
        <v>103.1</v>
      </c>
      <c r="G29" s="20">
        <v>83.1</v>
      </c>
      <c r="I29" s="20">
        <f t="shared" si="3"/>
        <v>116.71706293706292</v>
      </c>
      <c r="J29" s="45">
        <f>(I29/'AAU 17-18'!I28)-1</f>
        <v>1.0495014810336878E-2</v>
      </c>
      <c r="K29" s="18"/>
      <c r="M29" s="38">
        <f>597+205</f>
        <v>802</v>
      </c>
      <c r="N29" s="38">
        <f>356+270</f>
        <v>626</v>
      </c>
      <c r="O29" s="38">
        <f>355+362</f>
        <v>717</v>
      </c>
      <c r="P29" s="36">
        <f t="shared" si="0"/>
        <v>126234.8</v>
      </c>
      <c r="Q29" s="36">
        <f t="shared" si="0"/>
        <v>64540.6</v>
      </c>
      <c r="R29" s="36">
        <f t="shared" si="0"/>
        <v>59582.7</v>
      </c>
      <c r="S29" s="36">
        <f t="shared" si="1"/>
        <v>2145</v>
      </c>
      <c r="T29" s="36">
        <f t="shared" si="2"/>
        <v>250358.09999999998</v>
      </c>
      <c r="U29" s="37">
        <f t="shared" si="4"/>
        <v>116.71706293706292</v>
      </c>
    </row>
    <row r="30" spans="1:21" ht="13.5" customHeight="1" x14ac:dyDescent="0.3">
      <c r="A30" s="19"/>
      <c r="C30" s="31">
        <v>19</v>
      </c>
      <c r="D30" s="1" t="s">
        <v>29</v>
      </c>
      <c r="E30" s="20">
        <v>145.69999999999999</v>
      </c>
      <c r="F30" s="20">
        <v>102.9</v>
      </c>
      <c r="G30" s="20">
        <v>90.9</v>
      </c>
      <c r="I30" s="20">
        <f t="shared" si="3"/>
        <v>118.60986314299197</v>
      </c>
      <c r="J30" s="45">
        <f>(I30/'AAU 17-18'!I29)-1</f>
        <v>1.5781992128632849E-2</v>
      </c>
      <c r="K30" s="18"/>
      <c r="M30" s="38">
        <f>669+270</f>
        <v>939</v>
      </c>
      <c r="N30" s="38">
        <f>337+268</f>
        <v>605</v>
      </c>
      <c r="O30" s="38">
        <f>291+284</f>
        <v>575</v>
      </c>
      <c r="P30" s="36">
        <f t="shared" si="0"/>
        <v>136812.29999999999</v>
      </c>
      <c r="Q30" s="36">
        <f t="shared" si="0"/>
        <v>62254.5</v>
      </c>
      <c r="R30" s="36">
        <f t="shared" si="0"/>
        <v>52267.5</v>
      </c>
      <c r="S30" s="36">
        <f t="shared" si="1"/>
        <v>2119</v>
      </c>
      <c r="T30" s="36">
        <f t="shared" si="2"/>
        <v>251334.3</v>
      </c>
      <c r="U30" s="37">
        <f t="shared" si="4"/>
        <v>118.60986314299197</v>
      </c>
    </row>
    <row r="31" spans="1:21" ht="13.5" customHeight="1" x14ac:dyDescent="0.3">
      <c r="A31" s="19"/>
      <c r="C31" s="31">
        <v>20</v>
      </c>
      <c r="D31" s="24" t="s">
        <v>30</v>
      </c>
      <c r="E31" s="25">
        <v>125.1</v>
      </c>
      <c r="F31" s="25">
        <v>83.4</v>
      </c>
      <c r="G31" s="25">
        <v>77.900000000000006</v>
      </c>
      <c r="H31" s="24"/>
      <c r="I31" s="25">
        <f t="shared" si="3"/>
        <v>95.264216972878387</v>
      </c>
      <c r="J31" s="47">
        <f>(I31/'AAU 17-18'!I30)-1</f>
        <v>3.3034135578529522E-2</v>
      </c>
      <c r="K31" s="18"/>
      <c r="M31" s="38">
        <f>261+113</f>
        <v>374</v>
      </c>
      <c r="N31" s="38">
        <f>225+174</f>
        <v>399</v>
      </c>
      <c r="O31" s="38">
        <f>172+198</f>
        <v>370</v>
      </c>
      <c r="P31" s="36">
        <f t="shared" si="0"/>
        <v>46787.4</v>
      </c>
      <c r="Q31" s="36">
        <f t="shared" si="0"/>
        <v>33276.600000000006</v>
      </c>
      <c r="R31" s="36">
        <f t="shared" si="0"/>
        <v>28823.000000000004</v>
      </c>
      <c r="S31" s="36">
        <f t="shared" si="1"/>
        <v>1143</v>
      </c>
      <c r="T31" s="36">
        <f t="shared" si="2"/>
        <v>108887</v>
      </c>
      <c r="U31" s="37">
        <f t="shared" si="4"/>
        <v>95.264216972878387</v>
      </c>
    </row>
    <row r="32" spans="1:21" ht="13.5" customHeight="1" x14ac:dyDescent="0.3">
      <c r="A32" s="19"/>
      <c r="C32" s="31">
        <v>21</v>
      </c>
      <c r="D32" s="1" t="s">
        <v>45</v>
      </c>
      <c r="E32" s="20">
        <v>163.30000000000001</v>
      </c>
      <c r="F32" s="20">
        <v>106.3</v>
      </c>
      <c r="G32" s="20">
        <v>101.9</v>
      </c>
      <c r="I32" s="20">
        <f t="shared" si="3"/>
        <v>132.54227234753552</v>
      </c>
      <c r="J32" s="45">
        <f>(I32/'AAU 17-18'!I31)-1</f>
        <v>2.5963128950062586E-2</v>
      </c>
      <c r="K32" s="18"/>
      <c r="M32" s="38">
        <f>383+187</f>
        <v>570</v>
      </c>
      <c r="N32" s="38">
        <f>213+169</f>
        <v>382</v>
      </c>
      <c r="O32" s="38">
        <f>132+113</f>
        <v>245</v>
      </c>
      <c r="P32" s="36">
        <f t="shared" si="0"/>
        <v>93081</v>
      </c>
      <c r="Q32" s="36">
        <f t="shared" si="0"/>
        <v>40606.6</v>
      </c>
      <c r="R32" s="36">
        <f t="shared" si="0"/>
        <v>24965.5</v>
      </c>
      <c r="S32" s="36">
        <f t="shared" si="1"/>
        <v>1197</v>
      </c>
      <c r="T32" s="36">
        <f t="shared" si="2"/>
        <v>158653.1</v>
      </c>
      <c r="U32" s="37">
        <f t="shared" si="4"/>
        <v>132.54227234753552</v>
      </c>
    </row>
    <row r="33" spans="1:21" ht="13.5" customHeight="1" x14ac:dyDescent="0.3">
      <c r="A33" s="19"/>
      <c r="C33" s="31">
        <v>22</v>
      </c>
      <c r="D33" s="1" t="s">
        <v>31</v>
      </c>
      <c r="E33" s="20">
        <v>152.19999999999999</v>
      </c>
      <c r="F33" s="20">
        <v>103.5</v>
      </c>
      <c r="G33" s="20">
        <v>92.3</v>
      </c>
      <c r="I33" s="20">
        <f t="shared" si="3"/>
        <v>121.46765578635015</v>
      </c>
      <c r="J33" s="45">
        <f>(I33/'AAU 17-18'!I32)-1</f>
        <v>2.1753104550464197E-2</v>
      </c>
      <c r="K33" s="18"/>
      <c r="M33" s="38">
        <f>717+298</f>
        <v>1015</v>
      </c>
      <c r="N33" s="38">
        <f>377+338</f>
        <v>715</v>
      </c>
      <c r="O33" s="38">
        <f>304+325</f>
        <v>629</v>
      </c>
      <c r="P33" s="36">
        <f t="shared" si="0"/>
        <v>154483</v>
      </c>
      <c r="Q33" s="36">
        <f t="shared" si="0"/>
        <v>74002.5</v>
      </c>
      <c r="R33" s="36">
        <f t="shared" si="0"/>
        <v>58056.7</v>
      </c>
      <c r="S33" s="36">
        <f t="shared" si="1"/>
        <v>2359</v>
      </c>
      <c r="T33" s="36">
        <f t="shared" si="2"/>
        <v>286542.2</v>
      </c>
      <c r="U33" s="37">
        <f t="shared" si="4"/>
        <v>121.46765578635015</v>
      </c>
    </row>
    <row r="34" spans="1:21" ht="13.5" customHeight="1" x14ac:dyDescent="0.3">
      <c r="A34" s="19"/>
      <c r="C34" s="31">
        <v>23</v>
      </c>
      <c r="D34" s="1" t="s">
        <v>32</v>
      </c>
      <c r="E34" s="20">
        <v>137.30000000000001</v>
      </c>
      <c r="F34" s="20">
        <v>100.9</v>
      </c>
      <c r="G34" s="20">
        <v>89.4</v>
      </c>
      <c r="I34" s="20">
        <f t="shared" si="3"/>
        <v>111.99875156054931</v>
      </c>
      <c r="J34" s="45">
        <f>(I34/'AAU 17-18'!I33)-1</f>
        <v>2.8469930766207519E-2</v>
      </c>
      <c r="K34" s="18"/>
      <c r="M34" s="38">
        <f>217+92</f>
        <v>309</v>
      </c>
      <c r="N34" s="38">
        <f>163+124</f>
        <v>287</v>
      </c>
      <c r="O34" s="38">
        <f>108+97</f>
        <v>205</v>
      </c>
      <c r="P34" s="36">
        <f t="shared" si="0"/>
        <v>42425.700000000004</v>
      </c>
      <c r="Q34" s="36">
        <f t="shared" si="0"/>
        <v>28958.300000000003</v>
      </c>
      <c r="R34" s="36">
        <f t="shared" si="0"/>
        <v>18327</v>
      </c>
      <c r="S34" s="36">
        <f t="shared" si="1"/>
        <v>801</v>
      </c>
      <c r="T34" s="36">
        <f t="shared" si="2"/>
        <v>89711</v>
      </c>
      <c r="U34" s="37">
        <f t="shared" si="4"/>
        <v>111.99875156054931</v>
      </c>
    </row>
    <row r="35" spans="1:21" ht="13.5" customHeight="1" x14ac:dyDescent="0.3">
      <c r="A35" s="19"/>
      <c r="C35" s="31">
        <v>24</v>
      </c>
      <c r="D35" s="1" t="s">
        <v>33</v>
      </c>
      <c r="E35" s="20">
        <v>155.5</v>
      </c>
      <c r="F35" s="20">
        <v>102.2</v>
      </c>
      <c r="G35" s="20">
        <v>80.7</v>
      </c>
      <c r="I35" s="20">
        <f t="shared" si="3"/>
        <v>116.00964771817453</v>
      </c>
      <c r="J35" s="45">
        <f>(I35/'AAU 17-18'!I34)-1</f>
        <v>-7.3551755116865292E-2</v>
      </c>
      <c r="K35" s="18"/>
      <c r="M35" s="38">
        <f>730+250</f>
        <v>980</v>
      </c>
      <c r="N35" s="38">
        <f>395+298</f>
        <v>693</v>
      </c>
      <c r="O35" s="38">
        <f>418+407</f>
        <v>825</v>
      </c>
      <c r="P35" s="36">
        <f t="shared" si="0"/>
        <v>152390</v>
      </c>
      <c r="Q35" s="36">
        <f t="shared" si="0"/>
        <v>70824.600000000006</v>
      </c>
      <c r="R35" s="36">
        <f t="shared" si="0"/>
        <v>66577.5</v>
      </c>
      <c r="S35" s="36">
        <f t="shared" si="1"/>
        <v>2498</v>
      </c>
      <c r="T35" s="36">
        <f t="shared" si="2"/>
        <v>289792.09999999998</v>
      </c>
      <c r="U35" s="37">
        <f t="shared" si="4"/>
        <v>116.00964771817453</v>
      </c>
    </row>
    <row r="36" spans="1:21" ht="13.5" customHeight="1" x14ac:dyDescent="0.3">
      <c r="A36" s="19"/>
      <c r="C36" s="31">
        <v>25</v>
      </c>
      <c r="D36" s="1" t="s">
        <v>34</v>
      </c>
      <c r="E36" s="20">
        <v>156.69999999999999</v>
      </c>
      <c r="F36" s="20">
        <v>103.2</v>
      </c>
      <c r="G36" s="20">
        <v>87</v>
      </c>
      <c r="I36" s="20">
        <f t="shared" si="3"/>
        <v>115.84401433691755</v>
      </c>
      <c r="J36" s="45">
        <f>(I36/'AAU 17-18'!I35)-1</f>
        <v>2.3159239325927228E-2</v>
      </c>
      <c r="K36" s="18"/>
      <c r="M36" s="38">
        <f>348+134</f>
        <v>482</v>
      </c>
      <c r="N36" s="38">
        <f>217+193</f>
        <v>410</v>
      </c>
      <c r="O36" s="38">
        <f>247+256</f>
        <v>503</v>
      </c>
      <c r="P36" s="36">
        <f t="shared" si="0"/>
        <v>75529.399999999994</v>
      </c>
      <c r="Q36" s="36">
        <f t="shared" si="0"/>
        <v>42312</v>
      </c>
      <c r="R36" s="36">
        <f t="shared" si="0"/>
        <v>43761</v>
      </c>
      <c r="S36" s="36">
        <f t="shared" si="1"/>
        <v>1395</v>
      </c>
      <c r="T36" s="36">
        <f t="shared" si="2"/>
        <v>161602.4</v>
      </c>
      <c r="U36" s="37">
        <f t="shared" si="4"/>
        <v>115.84401433691755</v>
      </c>
    </row>
    <row r="37" spans="1:21" ht="13.5" customHeight="1" x14ac:dyDescent="0.3">
      <c r="A37" s="19"/>
      <c r="C37" s="31">
        <v>26</v>
      </c>
      <c r="D37" s="1" t="s">
        <v>35</v>
      </c>
      <c r="E37" s="20">
        <v>146.1</v>
      </c>
      <c r="F37" s="20">
        <v>104.3</v>
      </c>
      <c r="G37" s="20">
        <v>91.9</v>
      </c>
      <c r="I37" s="20">
        <f t="shared" si="3"/>
        <v>118.67893203883496</v>
      </c>
      <c r="J37" s="45">
        <f>(I37/'AAU 17-18'!I36)-1</f>
        <v>2.4457521598816312E-2</v>
      </c>
      <c r="K37" s="18"/>
      <c r="M37" s="38">
        <f>702+195</f>
        <v>897</v>
      </c>
      <c r="N37" s="38">
        <f>336+192</f>
        <v>528</v>
      </c>
      <c r="O37" s="38">
        <f>345+290</f>
        <v>635</v>
      </c>
      <c r="P37" s="36">
        <f t="shared" si="0"/>
        <v>131051.7</v>
      </c>
      <c r="Q37" s="36">
        <f t="shared" si="0"/>
        <v>55070.400000000001</v>
      </c>
      <c r="R37" s="36">
        <f t="shared" si="0"/>
        <v>58356.5</v>
      </c>
      <c r="S37" s="36">
        <f t="shared" si="1"/>
        <v>2060</v>
      </c>
      <c r="T37" s="36">
        <f t="shared" si="2"/>
        <v>244478.6</v>
      </c>
      <c r="U37" s="37">
        <f t="shared" si="4"/>
        <v>118.67893203883496</v>
      </c>
    </row>
    <row r="38" spans="1:21" ht="13.5" customHeight="1" x14ac:dyDescent="0.3">
      <c r="A38" s="19"/>
      <c r="C38" s="31">
        <v>27</v>
      </c>
      <c r="D38" s="1" t="s">
        <v>36</v>
      </c>
      <c r="E38" s="20">
        <v>167.6</v>
      </c>
      <c r="F38" s="20">
        <v>109.4</v>
      </c>
      <c r="G38" s="20">
        <v>86.2</v>
      </c>
      <c r="I38" s="20">
        <f t="shared" si="3"/>
        <v>128.06513368983957</v>
      </c>
      <c r="J38" s="45">
        <f>(I38/'AAU 17-18'!I37)-1</f>
        <v>1.4294905394971469E-3</v>
      </c>
      <c r="K38" s="18"/>
      <c r="M38" s="38">
        <f>568+241</f>
        <v>809</v>
      </c>
      <c r="N38" s="39">
        <f>247+289</f>
        <v>536</v>
      </c>
      <c r="O38" s="38">
        <f>220+305</f>
        <v>525</v>
      </c>
      <c r="P38" s="36">
        <f t="shared" si="0"/>
        <v>135588.4</v>
      </c>
      <c r="Q38" s="36">
        <f t="shared" si="0"/>
        <v>58638.400000000001</v>
      </c>
      <c r="R38" s="36">
        <f t="shared" si="0"/>
        <v>45255</v>
      </c>
      <c r="S38" s="36">
        <f t="shared" si="1"/>
        <v>1870</v>
      </c>
      <c r="T38" s="36">
        <f t="shared" si="2"/>
        <v>239481.8</v>
      </c>
      <c r="U38" s="37">
        <f t="shared" si="4"/>
        <v>128.06513368983957</v>
      </c>
    </row>
    <row r="39" spans="1:21" ht="13.5" customHeight="1" x14ac:dyDescent="0.3">
      <c r="A39" s="19"/>
      <c r="C39" s="31">
        <v>28</v>
      </c>
      <c r="D39" s="1" t="s">
        <v>46</v>
      </c>
      <c r="E39" s="20">
        <v>143.9</v>
      </c>
      <c r="F39" s="20">
        <v>98.1</v>
      </c>
      <c r="G39" s="20">
        <v>83.7</v>
      </c>
      <c r="I39" s="20">
        <f t="shared" si="3"/>
        <v>108.33150442477877</v>
      </c>
      <c r="J39" s="45">
        <f>(I39/'AAU 17-18'!I38)-1</f>
        <v>5.1053136539815913E-2</v>
      </c>
      <c r="K39" s="18"/>
      <c r="M39" s="38">
        <f>281+95</f>
        <v>376</v>
      </c>
      <c r="N39" s="38">
        <f>207+154</f>
        <v>361</v>
      </c>
      <c r="O39" s="38">
        <f>210+183</f>
        <v>393</v>
      </c>
      <c r="P39" s="36">
        <f t="shared" si="0"/>
        <v>54106.400000000001</v>
      </c>
      <c r="Q39" s="36">
        <f t="shared" si="0"/>
        <v>35414.1</v>
      </c>
      <c r="R39" s="36">
        <f t="shared" si="0"/>
        <v>32894.1</v>
      </c>
      <c r="S39" s="36">
        <f t="shared" si="1"/>
        <v>1130</v>
      </c>
      <c r="T39" s="36">
        <f t="shared" si="2"/>
        <v>122414.6</v>
      </c>
      <c r="U39" s="37">
        <f t="shared" si="4"/>
        <v>108.33150442477877</v>
      </c>
    </row>
    <row r="40" spans="1:21" ht="13.5" customHeight="1" x14ac:dyDescent="0.3">
      <c r="A40" s="19"/>
      <c r="C40" s="31">
        <v>29</v>
      </c>
      <c r="D40" s="1" t="s">
        <v>47</v>
      </c>
      <c r="E40" s="20">
        <v>163.69999999999999</v>
      </c>
      <c r="F40" s="20">
        <v>109.5</v>
      </c>
      <c r="G40" s="20">
        <v>92.9</v>
      </c>
      <c r="I40" s="20">
        <f t="shared" si="3"/>
        <v>125.46518847006651</v>
      </c>
      <c r="J40" s="45">
        <f>(I40/'AAU 17-18'!I39)-1</f>
        <v>6.6323088353412496E-2</v>
      </c>
      <c r="K40" s="18"/>
      <c r="M40" s="38">
        <f>264+85</f>
        <v>349</v>
      </c>
      <c r="N40" s="38">
        <f>161+120</f>
        <v>281</v>
      </c>
      <c r="O40" s="38">
        <f>151+121</f>
        <v>272</v>
      </c>
      <c r="P40" s="36">
        <f t="shared" si="0"/>
        <v>57131.299999999996</v>
      </c>
      <c r="Q40" s="36">
        <f t="shared" si="0"/>
        <v>30769.5</v>
      </c>
      <c r="R40" s="36">
        <f t="shared" si="0"/>
        <v>25268.800000000003</v>
      </c>
      <c r="S40" s="36">
        <f t="shared" si="1"/>
        <v>902</v>
      </c>
      <c r="T40" s="36">
        <f t="shared" si="2"/>
        <v>113169.59999999999</v>
      </c>
      <c r="U40" s="37">
        <f t="shared" si="4"/>
        <v>125.46518847006651</v>
      </c>
    </row>
    <row r="41" spans="1:21" ht="13.5" customHeight="1" x14ac:dyDescent="0.3">
      <c r="A41" s="19"/>
      <c r="C41" s="31">
        <v>30</v>
      </c>
      <c r="D41" s="1" t="s">
        <v>48</v>
      </c>
      <c r="E41" s="20">
        <v>175.7</v>
      </c>
      <c r="F41" s="20">
        <v>115.1</v>
      </c>
      <c r="G41" s="20">
        <v>103.6</v>
      </c>
      <c r="I41" s="20">
        <f t="shared" si="3"/>
        <v>145.08674220963172</v>
      </c>
      <c r="J41" s="45">
        <f>(I41/'AAU 17-18'!I40)-1</f>
        <v>5.406489481457788E-2</v>
      </c>
      <c r="K41" s="18"/>
      <c r="M41" s="38">
        <f>692+244</f>
        <v>936</v>
      </c>
      <c r="N41" s="38">
        <f>285+214</f>
        <v>499</v>
      </c>
      <c r="O41" s="38">
        <f>181+149</f>
        <v>330</v>
      </c>
      <c r="P41" s="36">
        <f t="shared" si="0"/>
        <v>164455.19999999998</v>
      </c>
      <c r="Q41" s="36">
        <f t="shared" si="0"/>
        <v>57434.899999999994</v>
      </c>
      <c r="R41" s="36">
        <f t="shared" si="0"/>
        <v>34188</v>
      </c>
      <c r="S41" s="36">
        <f t="shared" si="1"/>
        <v>1765</v>
      </c>
      <c r="T41" s="36">
        <f t="shared" si="2"/>
        <v>256078.09999999998</v>
      </c>
      <c r="U41" s="37">
        <f t="shared" si="4"/>
        <v>145.08674220963172</v>
      </c>
    </row>
    <row r="42" spans="1:21" ht="13.5" customHeight="1" x14ac:dyDescent="0.3">
      <c r="A42" s="19"/>
      <c r="C42" s="31">
        <v>31</v>
      </c>
      <c r="D42" s="1" t="s">
        <v>102</v>
      </c>
      <c r="E42" s="20"/>
      <c r="F42" s="20"/>
      <c r="G42" s="20"/>
      <c r="I42" s="20"/>
      <c r="J42" s="45"/>
      <c r="K42" s="18"/>
      <c r="M42" s="38"/>
      <c r="N42" s="38"/>
      <c r="O42" s="38"/>
      <c r="P42" s="36">
        <f t="shared" si="0"/>
        <v>0</v>
      </c>
      <c r="Q42" s="36">
        <f t="shared" si="0"/>
        <v>0</v>
      </c>
      <c r="R42" s="36">
        <f t="shared" si="0"/>
        <v>0</v>
      </c>
      <c r="S42" s="36">
        <f t="shared" si="1"/>
        <v>0</v>
      </c>
      <c r="T42" s="36">
        <f t="shared" si="2"/>
        <v>0</v>
      </c>
      <c r="U42" s="37" t="e">
        <f t="shared" si="4"/>
        <v>#DIV/0!</v>
      </c>
    </row>
    <row r="43" spans="1:21" ht="13.5" hidden="1" customHeight="1" x14ac:dyDescent="0.3">
      <c r="A43" s="19"/>
      <c r="B43" s="49"/>
      <c r="D43" s="1" t="s">
        <v>114</v>
      </c>
      <c r="E43" s="20">
        <v>131.69999999999999</v>
      </c>
      <c r="F43" s="20">
        <v>96.7</v>
      </c>
      <c r="G43" s="20">
        <v>89.1</v>
      </c>
      <c r="I43" s="20">
        <f t="shared" si="3"/>
        <v>110.06442307692308</v>
      </c>
      <c r="J43" s="45"/>
      <c r="K43" s="18"/>
      <c r="M43" s="38">
        <f>336+123</f>
        <v>459</v>
      </c>
      <c r="N43" s="38">
        <f>167+129</f>
        <v>296</v>
      </c>
      <c r="O43" s="38">
        <f>164+121</f>
        <v>285</v>
      </c>
      <c r="P43" s="36">
        <f t="shared" ref="P43" si="11">E43*M43</f>
        <v>60450.299999999996</v>
      </c>
      <c r="Q43" s="36">
        <f t="shared" ref="Q43" si="12">F43*N43</f>
        <v>28623.200000000001</v>
      </c>
      <c r="R43" s="36">
        <f t="shared" ref="R43" si="13">G43*O43</f>
        <v>25393.5</v>
      </c>
      <c r="S43" s="36">
        <f t="shared" ref="S43" si="14">M43+N43+O43</f>
        <v>1040</v>
      </c>
      <c r="T43" s="36">
        <f t="shared" ref="T43" si="15">P43+Q43+R43</f>
        <v>114467</v>
      </c>
      <c r="U43" s="37">
        <f t="shared" ref="U43" si="16">T43/S43</f>
        <v>110.06442307692308</v>
      </c>
    </row>
    <row r="44" spans="1:21" ht="13.5" customHeight="1" x14ac:dyDescent="0.3">
      <c r="A44" s="19"/>
      <c r="C44" s="31">
        <v>32</v>
      </c>
      <c r="D44" s="1" t="s">
        <v>38</v>
      </c>
      <c r="E44" s="20">
        <v>182.6</v>
      </c>
      <c r="F44" s="20">
        <v>120.8</v>
      </c>
      <c r="G44" s="20">
        <v>93.5</v>
      </c>
      <c r="I44" s="20">
        <f t="shared" si="3"/>
        <v>136.92339483394835</v>
      </c>
      <c r="J44" s="45">
        <f>(I44/'AAU 17-18'!I42)-1</f>
        <v>2.3017896869201859E-2</v>
      </c>
      <c r="K44" s="18"/>
      <c r="M44" s="38">
        <f>413+134</f>
        <v>547</v>
      </c>
      <c r="N44" s="38">
        <f>216+154</f>
        <v>370</v>
      </c>
      <c r="O44" s="38">
        <f>224+214</f>
        <v>438</v>
      </c>
      <c r="P44" s="36">
        <f t="shared" si="0"/>
        <v>99882.2</v>
      </c>
      <c r="Q44" s="36">
        <f t="shared" si="0"/>
        <v>44696</v>
      </c>
      <c r="R44" s="36">
        <f t="shared" si="0"/>
        <v>40953</v>
      </c>
      <c r="S44" s="36">
        <f t="shared" si="1"/>
        <v>1355</v>
      </c>
      <c r="T44" s="36">
        <f t="shared" si="2"/>
        <v>185531.2</v>
      </c>
      <c r="U44" s="37">
        <f t="shared" si="4"/>
        <v>136.92339483394835</v>
      </c>
    </row>
    <row r="45" spans="1:21" ht="13.5" customHeight="1" x14ac:dyDescent="0.3">
      <c r="A45" s="19"/>
      <c r="C45" s="31">
        <v>33</v>
      </c>
      <c r="D45" s="1" t="s">
        <v>39</v>
      </c>
      <c r="E45" s="20">
        <v>151.4</v>
      </c>
      <c r="F45" s="20">
        <v>114.6</v>
      </c>
      <c r="G45" s="20">
        <v>102.5</v>
      </c>
      <c r="I45" s="20">
        <f t="shared" si="3"/>
        <v>129.93903420523139</v>
      </c>
      <c r="J45" s="45">
        <f>(I45/'AAU 17-18'!I43)-1</f>
        <v>4.2772242978617925E-2</v>
      </c>
      <c r="K45" s="18"/>
      <c r="M45" s="38">
        <f>471+258</f>
        <v>729</v>
      </c>
      <c r="N45" s="38">
        <f>231+204</f>
        <v>435</v>
      </c>
      <c r="O45" s="38">
        <f>155+172</f>
        <v>327</v>
      </c>
      <c r="P45" s="36">
        <f t="shared" si="0"/>
        <v>110370.6</v>
      </c>
      <c r="Q45" s="36">
        <f t="shared" si="0"/>
        <v>49851</v>
      </c>
      <c r="R45" s="36">
        <f t="shared" si="0"/>
        <v>33517.5</v>
      </c>
      <c r="S45" s="36">
        <f t="shared" si="1"/>
        <v>1491</v>
      </c>
      <c r="T45" s="36">
        <f t="shared" si="2"/>
        <v>193739.1</v>
      </c>
      <c r="U45" s="37">
        <f t="shared" si="4"/>
        <v>129.93903420523139</v>
      </c>
    </row>
    <row r="46" spans="1:21" ht="13.5" customHeight="1" x14ac:dyDescent="0.3">
      <c r="A46" s="19"/>
      <c r="C46" s="31">
        <v>34</v>
      </c>
      <c r="D46" s="1" t="s">
        <v>40</v>
      </c>
      <c r="E46" s="20">
        <v>142.6</v>
      </c>
      <c r="F46" s="20">
        <v>106.3</v>
      </c>
      <c r="G46" s="20">
        <v>92.9</v>
      </c>
      <c r="I46" s="20">
        <f t="shared" si="3"/>
        <v>123.35129236071224</v>
      </c>
      <c r="J46" s="45">
        <f>(I46/'AAU 17-18'!I44)-1</f>
        <v>4.112675125040921E-2</v>
      </c>
      <c r="K46" s="18"/>
      <c r="M46" s="38">
        <f>665+306</f>
        <v>971</v>
      </c>
      <c r="N46" s="38">
        <f>186+169</f>
        <v>355</v>
      </c>
      <c r="O46" s="38">
        <f>215+200</f>
        <v>415</v>
      </c>
      <c r="P46" s="36">
        <f t="shared" si="0"/>
        <v>138464.6</v>
      </c>
      <c r="Q46" s="36">
        <f t="shared" si="0"/>
        <v>37736.5</v>
      </c>
      <c r="R46" s="36">
        <f t="shared" si="0"/>
        <v>38553.5</v>
      </c>
      <c r="S46" s="36">
        <f t="shared" si="1"/>
        <v>1741</v>
      </c>
      <c r="T46" s="36">
        <f t="shared" si="2"/>
        <v>214754.6</v>
      </c>
      <c r="U46" s="37">
        <f t="shared" si="4"/>
        <v>123.35129236071224</v>
      </c>
    </row>
    <row r="47" spans="1:21" ht="13.5" customHeight="1" x14ac:dyDescent="0.3">
      <c r="A47" s="19"/>
      <c r="K47" s="18"/>
    </row>
    <row r="48" spans="1:21" ht="13.5" customHeight="1" x14ac:dyDescent="0.3">
      <c r="A48" s="19"/>
      <c r="D48" s="44" t="s">
        <v>54</v>
      </c>
      <c r="E48" s="41">
        <f>P48/M48</f>
        <v>160.43410942457766</v>
      </c>
      <c r="F48" s="41">
        <f t="shared" ref="F48:G48" si="17">Q48/N48</f>
        <v>106.41973173314506</v>
      </c>
      <c r="G48" s="41">
        <f t="shared" si="17"/>
        <v>92.326787690945324</v>
      </c>
      <c r="H48" s="40"/>
      <c r="I48" s="41">
        <f>U48</f>
        <v>127.36000822916257</v>
      </c>
      <c r="J48" s="46">
        <f>(I48/'AAU 17-18'!I46)-1</f>
        <v>2.0768026639290005E-2</v>
      </c>
      <c r="K48" s="18"/>
      <c r="M48" s="39">
        <f>SUM(M11:M46)</f>
        <v>23322</v>
      </c>
      <c r="N48" s="39">
        <f t="shared" ref="N48:O48" si="18">SUM(N11:N46)</f>
        <v>14165</v>
      </c>
      <c r="O48" s="39">
        <f t="shared" si="18"/>
        <v>13551</v>
      </c>
      <c r="P48" s="39">
        <f>SUM(P11:P46)</f>
        <v>3741644.3000000003</v>
      </c>
      <c r="Q48" s="39">
        <f t="shared" ref="Q48:R48" si="19">SUM(Q11:Q46)</f>
        <v>1507435.4999999998</v>
      </c>
      <c r="R48" s="39">
        <f t="shared" si="19"/>
        <v>1251120.3</v>
      </c>
      <c r="S48" s="36">
        <f>M48+N48+O48</f>
        <v>51038</v>
      </c>
      <c r="T48" s="36">
        <f>P48+Q48+R48</f>
        <v>6500200.0999999996</v>
      </c>
      <c r="U48" s="37">
        <f>T48/S48</f>
        <v>127.36000822916257</v>
      </c>
    </row>
    <row r="49" spans="1:11" ht="13.5" customHeight="1" x14ac:dyDescent="0.3">
      <c r="A49" s="19"/>
      <c r="D49" s="44" t="s">
        <v>55</v>
      </c>
      <c r="E49" s="41">
        <f>MEDIAN(E11:E46)</f>
        <v>156.1</v>
      </c>
      <c r="F49" s="41">
        <f t="shared" ref="F49:G49" si="20">MEDIAN(F11:F46)</f>
        <v>106.3</v>
      </c>
      <c r="G49" s="41">
        <f t="shared" si="20"/>
        <v>92.9</v>
      </c>
      <c r="H49" s="40"/>
      <c r="I49" s="41">
        <f>MEDIAN(I11:I46)</f>
        <v>123.35129236071224</v>
      </c>
      <c r="J49" s="46">
        <f>(I49/'AAU 17-18'!I47)-1</f>
        <v>2.8018868397175822E-2</v>
      </c>
      <c r="K49" s="18"/>
    </row>
    <row r="50" spans="1:11" ht="13.5" customHeight="1" x14ac:dyDescent="0.3">
      <c r="A50" s="19"/>
      <c r="B50" s="22"/>
      <c r="C50" s="33"/>
      <c r="D50" s="22"/>
      <c r="E50" s="22"/>
      <c r="F50" s="22"/>
      <c r="G50" s="22"/>
      <c r="H50" s="22"/>
      <c r="I50" s="22"/>
      <c r="J50" s="22"/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19"/>
      <c r="B52" s="16" t="s">
        <v>99</v>
      </c>
      <c r="K52" s="18"/>
    </row>
    <row r="53" spans="1:11" ht="13.5" customHeight="1" x14ac:dyDescent="0.3">
      <c r="A53" s="19"/>
      <c r="K53" s="18"/>
    </row>
    <row r="54" spans="1:11" ht="13.5" customHeight="1" x14ac:dyDescent="0.3">
      <c r="A54" s="21"/>
      <c r="B54" s="42" t="s">
        <v>56</v>
      </c>
      <c r="C54" s="33"/>
      <c r="D54" s="22"/>
      <c r="E54" s="22"/>
      <c r="F54" s="22"/>
      <c r="G54" s="22"/>
      <c r="H54" s="22"/>
      <c r="I54" s="22"/>
      <c r="J54" s="43" t="s">
        <v>111</v>
      </c>
      <c r="K54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108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132.1</v>
      </c>
      <c r="F11" s="20">
        <v>94.4</v>
      </c>
      <c r="G11" s="20">
        <v>79.7</v>
      </c>
      <c r="I11" s="20">
        <f>U11</f>
        <v>105.79407760381211</v>
      </c>
      <c r="J11" s="45">
        <f>(I11/'AAU 16-17'!I11)-1</f>
        <v>1.3578272126242963E-2</v>
      </c>
      <c r="K11" s="18"/>
      <c r="M11" s="38">
        <f>434+187</f>
        <v>621</v>
      </c>
      <c r="N11" s="38">
        <f>240+154</f>
        <v>394</v>
      </c>
      <c r="O11" s="38">
        <f>225+229</f>
        <v>454</v>
      </c>
      <c r="P11" s="36">
        <f t="shared" ref="P11:R44" si="0">E11*M11</f>
        <v>82034.099999999991</v>
      </c>
      <c r="Q11" s="36">
        <f t="shared" si="0"/>
        <v>37193.600000000006</v>
      </c>
      <c r="R11" s="36">
        <f t="shared" si="0"/>
        <v>36183.800000000003</v>
      </c>
      <c r="S11" s="36">
        <f t="shared" ref="S11:S44" si="1">M11+N11+O11</f>
        <v>1469</v>
      </c>
      <c r="T11" s="36">
        <f t="shared" ref="T11:T44" si="2">P11+Q11+R11</f>
        <v>155411.5</v>
      </c>
      <c r="U11" s="37">
        <f>T11/S11</f>
        <v>105.79407760381211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191.2</v>
      </c>
      <c r="F12" s="20">
        <v>131.5</v>
      </c>
      <c r="G12" s="20">
        <v>111</v>
      </c>
      <c r="I12" s="20">
        <f t="shared" ref="I12:I44" si="3">U12</f>
        <v>163.80394265232974</v>
      </c>
      <c r="J12" s="45">
        <f>(I12/'AAU 16-17'!I12)-1</f>
        <v>3.3672701439690256E-2</v>
      </c>
      <c r="K12" s="18"/>
      <c r="M12" s="38">
        <f>613+227</f>
        <v>840</v>
      </c>
      <c r="N12" s="38">
        <f>171+136</f>
        <v>307</v>
      </c>
      <c r="O12" s="38">
        <f>158+90</f>
        <v>248</v>
      </c>
      <c r="P12" s="36">
        <f>E12*M12</f>
        <v>160608</v>
      </c>
      <c r="Q12" s="36">
        <f t="shared" si="0"/>
        <v>40370.5</v>
      </c>
      <c r="R12" s="36">
        <f>G12*O12</f>
        <v>27528</v>
      </c>
      <c r="S12" s="36">
        <f>M12+N12+O12</f>
        <v>1395</v>
      </c>
      <c r="T12" s="36">
        <f>P12+Q12+R12</f>
        <v>228506.5</v>
      </c>
      <c r="U12" s="37">
        <f t="shared" ref="U12:U44" si="4">T12/S12</f>
        <v>163.80394265232974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165.6</v>
      </c>
      <c r="F13" s="20">
        <v>113.3</v>
      </c>
      <c r="G13" s="20">
        <v>96.1</v>
      </c>
      <c r="I13" s="20">
        <f t="shared" si="3"/>
        <v>139.22248908296942</v>
      </c>
      <c r="J13" s="45">
        <f>(I13/'AAU 16-17'!I13)-1</f>
        <v>2.6884981328598734E-2</v>
      </c>
      <c r="K13" s="18"/>
      <c r="M13" s="38">
        <f>548+233</f>
        <v>781</v>
      </c>
      <c r="N13" s="38">
        <f>155+134</f>
        <v>289</v>
      </c>
      <c r="O13" s="38">
        <f>167+137</f>
        <v>304</v>
      </c>
      <c r="P13" s="36">
        <f t="shared" si="0"/>
        <v>129333.59999999999</v>
      </c>
      <c r="Q13" s="36">
        <f t="shared" si="0"/>
        <v>32743.7</v>
      </c>
      <c r="R13" s="36">
        <f t="shared" si="0"/>
        <v>29214.399999999998</v>
      </c>
      <c r="S13" s="36">
        <f t="shared" si="1"/>
        <v>1374</v>
      </c>
      <c r="T13" s="36">
        <f t="shared" si="2"/>
        <v>191291.69999999998</v>
      </c>
      <c r="U13" s="37">
        <f t="shared" si="4"/>
        <v>139.22248908296942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171.3</v>
      </c>
      <c r="F14" s="20">
        <v>115.2</v>
      </c>
      <c r="G14" s="20">
        <v>96.1</v>
      </c>
      <c r="I14" s="20">
        <f t="shared" si="3"/>
        <v>144.63900000000001</v>
      </c>
      <c r="J14" s="45">
        <f>(I14/'AAU 16-17'!I14)-1</f>
        <v>4.0990418914407467E-2</v>
      </c>
      <c r="K14" s="18"/>
      <c r="M14" s="38">
        <f>414+170</f>
        <v>584</v>
      </c>
      <c r="N14" s="38">
        <f>132+110</f>
        <v>242</v>
      </c>
      <c r="O14" s="38">
        <f>84+90</f>
        <v>174</v>
      </c>
      <c r="P14" s="36">
        <f t="shared" si="0"/>
        <v>100039.20000000001</v>
      </c>
      <c r="Q14" s="36">
        <f t="shared" si="0"/>
        <v>27878.400000000001</v>
      </c>
      <c r="R14" s="36">
        <f t="shared" si="0"/>
        <v>16721.399999999998</v>
      </c>
      <c r="S14" s="36">
        <f t="shared" si="1"/>
        <v>1000</v>
      </c>
      <c r="T14" s="36">
        <f t="shared" si="2"/>
        <v>144639</v>
      </c>
      <c r="U14" s="37">
        <f t="shared" si="4"/>
        <v>144.63900000000001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204</v>
      </c>
      <c r="F15" s="20">
        <v>133.69999999999999</v>
      </c>
      <c r="G15" s="20">
        <v>106</v>
      </c>
      <c r="I15" s="20">
        <f t="shared" si="3"/>
        <v>173.4872</v>
      </c>
      <c r="J15" s="45">
        <f>(I15/'AAU 16-17'!I15)-1</f>
        <v>4.3088379903373442E-2</v>
      </c>
      <c r="K15" s="18"/>
      <c r="M15" s="38">
        <f>670+294</f>
        <v>964</v>
      </c>
      <c r="N15" s="38">
        <f>135+109</f>
        <v>244</v>
      </c>
      <c r="O15" s="38">
        <f>172+120</f>
        <v>292</v>
      </c>
      <c r="P15" s="36">
        <f t="shared" si="0"/>
        <v>196656</v>
      </c>
      <c r="Q15" s="36">
        <f t="shared" si="0"/>
        <v>32622.799999999996</v>
      </c>
      <c r="R15" s="36">
        <f t="shared" si="0"/>
        <v>30952</v>
      </c>
      <c r="S15" s="36">
        <f t="shared" si="1"/>
        <v>1500</v>
      </c>
      <c r="T15" s="36">
        <f t="shared" si="2"/>
        <v>260230.8</v>
      </c>
      <c r="U15" s="37">
        <f t="shared" si="4"/>
        <v>173.4872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171.2</v>
      </c>
      <c r="F16" s="20">
        <v>115</v>
      </c>
      <c r="G16" s="20">
        <v>100.8</v>
      </c>
      <c r="I16" s="20">
        <f t="shared" si="3"/>
        <v>144.99127789046653</v>
      </c>
      <c r="J16" s="45">
        <f>(I16/'AAU 16-17'!I16)-1</f>
        <v>3.7023338188001853E-2</v>
      </c>
      <c r="K16" s="18"/>
      <c r="M16" s="38">
        <f>466+114</f>
        <v>580</v>
      </c>
      <c r="N16" s="38">
        <f>124+69</f>
        <v>193</v>
      </c>
      <c r="O16" s="38">
        <f>120+93</f>
        <v>213</v>
      </c>
      <c r="P16" s="36">
        <f t="shared" si="0"/>
        <v>99296</v>
      </c>
      <c r="Q16" s="36">
        <f t="shared" si="0"/>
        <v>22195</v>
      </c>
      <c r="R16" s="36">
        <f t="shared" si="0"/>
        <v>21470.399999999998</v>
      </c>
      <c r="S16" s="36">
        <f t="shared" si="1"/>
        <v>986</v>
      </c>
      <c r="T16" s="36">
        <f t="shared" si="2"/>
        <v>142961.4</v>
      </c>
      <c r="U16" s="37">
        <f t="shared" si="4"/>
        <v>144.99127789046653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176.1</v>
      </c>
      <c r="F17" s="20">
        <v>107.8</v>
      </c>
      <c r="G17" s="20">
        <v>92.8</v>
      </c>
      <c r="I17" s="20">
        <f t="shared" si="3"/>
        <v>147.82905162064824</v>
      </c>
      <c r="J17" s="45">
        <f>(I17/'AAU 16-17'!I17)-1</f>
        <v>3.5148495001285918E-2</v>
      </c>
      <c r="K17" s="18"/>
      <c r="M17" s="38">
        <f>367+157</f>
        <v>524</v>
      </c>
      <c r="N17" s="38">
        <f>77+69</f>
        <v>146</v>
      </c>
      <c r="O17" s="38">
        <f>91+72</f>
        <v>163</v>
      </c>
      <c r="P17" s="36">
        <f t="shared" si="0"/>
        <v>92276.4</v>
      </c>
      <c r="Q17" s="36">
        <f t="shared" si="0"/>
        <v>15738.8</v>
      </c>
      <c r="R17" s="36">
        <f t="shared" si="0"/>
        <v>15126.4</v>
      </c>
      <c r="S17" s="36">
        <f t="shared" si="1"/>
        <v>833</v>
      </c>
      <c r="T17" s="36">
        <f t="shared" si="2"/>
        <v>123141.59999999999</v>
      </c>
      <c r="U17" s="37">
        <f t="shared" si="4"/>
        <v>147.82905162064824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142.6</v>
      </c>
      <c r="F18" s="20">
        <v>102.9</v>
      </c>
      <c r="G18" s="20">
        <v>94.5</v>
      </c>
      <c r="I18" s="20">
        <f t="shared" si="3"/>
        <v>117.05526992287918</v>
      </c>
      <c r="J18" s="45">
        <f>(I18/'AAU 16-17'!I18)-1</f>
        <v>2.53449328859916E-2</v>
      </c>
      <c r="K18" s="18"/>
      <c r="M18" s="38">
        <f>357+123</f>
        <v>480</v>
      </c>
      <c r="N18" s="38">
        <f>222+163</f>
        <v>385</v>
      </c>
      <c r="O18" s="39">
        <f>181+121</f>
        <v>302</v>
      </c>
      <c r="P18" s="36">
        <f t="shared" si="0"/>
        <v>68448</v>
      </c>
      <c r="Q18" s="36">
        <f t="shared" si="0"/>
        <v>39616.5</v>
      </c>
      <c r="R18" s="36">
        <f t="shared" si="0"/>
        <v>28539</v>
      </c>
      <c r="S18" s="36">
        <f t="shared" si="1"/>
        <v>1167</v>
      </c>
      <c r="T18" s="36">
        <f t="shared" si="2"/>
        <v>136603.5</v>
      </c>
      <c r="U18" s="37">
        <f t="shared" si="4"/>
        <v>117.05526992287918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149.1</v>
      </c>
      <c r="F19" s="20">
        <v>100</v>
      </c>
      <c r="G19" s="20">
        <v>88.2</v>
      </c>
      <c r="I19" s="20">
        <f t="shared" si="3"/>
        <v>119.25910672853828</v>
      </c>
      <c r="J19" s="45">
        <f>(I19/'AAU 16-17'!I19)-1</f>
        <v>0.1034570884481083</v>
      </c>
      <c r="K19" s="18"/>
      <c r="M19" s="38">
        <f>587+188</f>
        <v>775</v>
      </c>
      <c r="N19" s="38">
        <f>317+221</f>
        <v>538</v>
      </c>
      <c r="O19" s="38">
        <f>213+198</f>
        <v>411</v>
      </c>
      <c r="P19" s="36">
        <f t="shared" si="0"/>
        <v>115552.5</v>
      </c>
      <c r="Q19" s="36">
        <f t="shared" si="0"/>
        <v>53800</v>
      </c>
      <c r="R19" s="36">
        <f t="shared" si="0"/>
        <v>36250.200000000004</v>
      </c>
      <c r="S19" s="36">
        <f t="shared" si="1"/>
        <v>1724</v>
      </c>
      <c r="T19" s="36">
        <f t="shared" si="2"/>
        <v>205602.7</v>
      </c>
      <c r="U19" s="37">
        <f t="shared" si="4"/>
        <v>119.25910672853828</v>
      </c>
    </row>
    <row r="20" spans="1:21" ht="13.5" customHeight="1" x14ac:dyDescent="0.3">
      <c r="A20" s="19"/>
      <c r="C20" s="31">
        <v>10</v>
      </c>
      <c r="D20" s="1" t="s">
        <v>20</v>
      </c>
      <c r="E20" s="20">
        <v>168.4</v>
      </c>
      <c r="F20" s="20">
        <v>113.1</v>
      </c>
      <c r="G20" s="20">
        <v>103</v>
      </c>
      <c r="I20" s="20">
        <f t="shared" si="3"/>
        <v>139.47682445759369</v>
      </c>
      <c r="J20" s="45">
        <f>(I20/'AAU 16-17'!I20)-1</f>
        <v>3.7619583823788716E-2</v>
      </c>
      <c r="K20" s="18"/>
      <c r="M20" s="38">
        <f>431+89</f>
        <v>520</v>
      </c>
      <c r="N20" s="38">
        <f>218+77</f>
        <v>295</v>
      </c>
      <c r="O20" s="38">
        <f>135+64</f>
        <v>199</v>
      </c>
      <c r="P20" s="36">
        <f t="shared" si="0"/>
        <v>87568</v>
      </c>
      <c r="Q20" s="36">
        <f t="shared" si="0"/>
        <v>33364.5</v>
      </c>
      <c r="R20" s="36">
        <f t="shared" si="0"/>
        <v>20497</v>
      </c>
      <c r="S20" s="36">
        <f t="shared" si="1"/>
        <v>1014</v>
      </c>
      <c r="T20" s="36">
        <f t="shared" si="2"/>
        <v>141429.5</v>
      </c>
      <c r="U20" s="37">
        <f t="shared" si="4"/>
        <v>139.47682445759369</v>
      </c>
    </row>
    <row r="21" spans="1:21" ht="13.5" customHeight="1" x14ac:dyDescent="0.3">
      <c r="A21" s="19"/>
      <c r="C21" s="31">
        <v>11</v>
      </c>
      <c r="D21" s="1" t="s">
        <v>21</v>
      </c>
      <c r="E21" s="20">
        <v>150.5</v>
      </c>
      <c r="F21" s="20">
        <v>104.2</v>
      </c>
      <c r="G21" s="20">
        <v>95.5</v>
      </c>
      <c r="I21" s="20">
        <f t="shared" si="3"/>
        <v>122.84533042053522</v>
      </c>
      <c r="J21" s="45">
        <f>(I21/'AAU 16-17'!I21)-1</f>
        <v>3.2334073939106256E-2</v>
      </c>
      <c r="K21" s="18"/>
      <c r="M21" s="38">
        <f>622+211</f>
        <v>833</v>
      </c>
      <c r="N21" s="38">
        <f>286+203</f>
        <v>489</v>
      </c>
      <c r="O21" s="38">
        <f>288+221</f>
        <v>509</v>
      </c>
      <c r="P21" s="36">
        <f t="shared" si="0"/>
        <v>125366.5</v>
      </c>
      <c r="Q21" s="36">
        <f t="shared" si="0"/>
        <v>50953.8</v>
      </c>
      <c r="R21" s="36">
        <f t="shared" si="0"/>
        <v>48609.5</v>
      </c>
      <c r="S21" s="36">
        <f t="shared" si="1"/>
        <v>1831</v>
      </c>
      <c r="T21" s="36">
        <f t="shared" si="2"/>
        <v>224929.8</v>
      </c>
      <c r="U21" s="37">
        <f t="shared" si="4"/>
        <v>122.84533042053522</v>
      </c>
    </row>
    <row r="22" spans="1:21" ht="13.5" customHeight="1" x14ac:dyDescent="0.3">
      <c r="A22" s="19"/>
      <c r="C22" s="31">
        <v>12</v>
      </c>
      <c r="D22" s="1" t="s">
        <v>22</v>
      </c>
      <c r="E22" s="20">
        <v>142.19999999999999</v>
      </c>
      <c r="F22" s="20">
        <v>97.3</v>
      </c>
      <c r="G22" s="20">
        <v>99.9</v>
      </c>
      <c r="I22" s="20">
        <f t="shared" si="3"/>
        <v>117.95591116917046</v>
      </c>
      <c r="J22" s="45">
        <f>(I22/'AAU 16-17'!I22)-1</f>
        <v>2.2723656301234518E-2</v>
      </c>
      <c r="K22" s="18"/>
      <c r="M22" s="38">
        <f>501+183</f>
        <v>684</v>
      </c>
      <c r="N22" s="38">
        <f>281+215</f>
        <v>496</v>
      </c>
      <c r="O22" s="38">
        <f>202+149</f>
        <v>351</v>
      </c>
      <c r="P22" s="36">
        <f t="shared" si="0"/>
        <v>97264.799999999988</v>
      </c>
      <c r="Q22" s="36">
        <f t="shared" si="0"/>
        <v>48260.799999999996</v>
      </c>
      <c r="R22" s="36">
        <f t="shared" si="0"/>
        <v>35064.9</v>
      </c>
      <c r="S22" s="36">
        <f t="shared" si="1"/>
        <v>1531</v>
      </c>
      <c r="T22" s="36">
        <f t="shared" si="2"/>
        <v>180590.49999999997</v>
      </c>
      <c r="U22" s="37">
        <f t="shared" si="4"/>
        <v>117.95591116917046</v>
      </c>
    </row>
    <row r="23" spans="1:21" ht="13.5" customHeight="1" x14ac:dyDescent="0.3">
      <c r="A23" s="19"/>
      <c r="C23" s="31">
        <v>13</v>
      </c>
      <c r="D23" s="1" t="s">
        <v>23</v>
      </c>
      <c r="E23" s="20">
        <v>141.1</v>
      </c>
      <c r="F23" s="20">
        <v>96.4</v>
      </c>
      <c r="G23" s="20">
        <v>87.8</v>
      </c>
      <c r="I23" s="20">
        <f t="shared" si="3"/>
        <v>112.65936426116839</v>
      </c>
      <c r="J23" s="45">
        <f>(I23/'AAU 16-17'!I23)-1</f>
        <v>2.048619082270875E-2</v>
      </c>
      <c r="K23" s="18"/>
      <c r="M23" s="38">
        <f>343+136</f>
        <v>479</v>
      </c>
      <c r="N23" s="38">
        <f>219+177</f>
        <v>396</v>
      </c>
      <c r="O23" s="38">
        <f>146+143</f>
        <v>289</v>
      </c>
      <c r="P23" s="36">
        <f t="shared" si="0"/>
        <v>67586.899999999994</v>
      </c>
      <c r="Q23" s="36">
        <f t="shared" si="0"/>
        <v>38174.400000000001</v>
      </c>
      <c r="R23" s="36">
        <f t="shared" si="0"/>
        <v>25374.2</v>
      </c>
      <c r="S23" s="36">
        <f t="shared" si="1"/>
        <v>1164</v>
      </c>
      <c r="T23" s="36">
        <f t="shared" si="2"/>
        <v>131135.5</v>
      </c>
      <c r="U23" s="37">
        <f t="shared" si="4"/>
        <v>112.65936426116839</v>
      </c>
    </row>
    <row r="24" spans="1:21" ht="13.5" customHeight="1" x14ac:dyDescent="0.3">
      <c r="A24" s="19"/>
      <c r="C24" s="31">
        <v>14</v>
      </c>
      <c r="D24" s="1" t="s">
        <v>24</v>
      </c>
      <c r="E24" s="20">
        <v>130.5</v>
      </c>
      <c r="F24" s="20">
        <v>98</v>
      </c>
      <c r="G24" s="20">
        <v>84.4</v>
      </c>
      <c r="I24" s="20">
        <f t="shared" si="3"/>
        <v>106.04947368421051</v>
      </c>
      <c r="J24" s="45">
        <f>(I24/'AAU 16-17'!I24)-1</f>
        <v>-5.7074853821493798E-3</v>
      </c>
      <c r="K24" s="18"/>
      <c r="M24" s="38">
        <f>396+110</f>
        <v>506</v>
      </c>
      <c r="N24" s="38">
        <f>256+146</f>
        <v>402</v>
      </c>
      <c r="O24" s="38">
        <f>224+198</f>
        <v>422</v>
      </c>
      <c r="P24" s="36">
        <f t="shared" si="0"/>
        <v>66033</v>
      </c>
      <c r="Q24" s="36">
        <f t="shared" si="0"/>
        <v>39396</v>
      </c>
      <c r="R24" s="36">
        <f t="shared" si="0"/>
        <v>35616.800000000003</v>
      </c>
      <c r="S24" s="36">
        <f t="shared" si="1"/>
        <v>1330</v>
      </c>
      <c r="T24" s="36">
        <f t="shared" si="2"/>
        <v>141045.79999999999</v>
      </c>
      <c r="U24" s="37">
        <f t="shared" si="4"/>
        <v>106.04947368421051</v>
      </c>
    </row>
    <row r="25" spans="1:21" ht="13.5" customHeight="1" x14ac:dyDescent="0.3">
      <c r="A25" s="19"/>
      <c r="C25" s="31">
        <v>15</v>
      </c>
      <c r="D25" s="1" t="s">
        <v>25</v>
      </c>
      <c r="E25" s="20">
        <v>128.6</v>
      </c>
      <c r="F25" s="20">
        <v>84.9</v>
      </c>
      <c r="G25" s="20">
        <v>76.8</v>
      </c>
      <c r="I25" s="20">
        <f t="shared" si="3"/>
        <v>102.19705593719333</v>
      </c>
      <c r="J25" s="45">
        <f>(I25/'AAU 16-17'!I25)-1</f>
        <v>-7.2464096645666887E-3</v>
      </c>
      <c r="K25" s="18"/>
      <c r="M25" s="38">
        <f>328+115</f>
        <v>443</v>
      </c>
      <c r="N25" s="38">
        <f>206+156</f>
        <v>362</v>
      </c>
      <c r="O25" s="38">
        <f>139+75</f>
        <v>214</v>
      </c>
      <c r="P25" s="36">
        <f t="shared" si="0"/>
        <v>56969.799999999996</v>
      </c>
      <c r="Q25" s="36">
        <f t="shared" si="0"/>
        <v>30733.800000000003</v>
      </c>
      <c r="R25" s="36">
        <f t="shared" si="0"/>
        <v>16435.2</v>
      </c>
      <c r="S25" s="36">
        <f t="shared" si="1"/>
        <v>1019</v>
      </c>
      <c r="T25" s="36">
        <f t="shared" si="2"/>
        <v>104138.8</v>
      </c>
      <c r="U25" s="37">
        <f t="shared" si="4"/>
        <v>102.19705593719333</v>
      </c>
    </row>
    <row r="26" spans="1:21" ht="13.5" customHeight="1" x14ac:dyDescent="0.3">
      <c r="A26" s="19"/>
      <c r="C26" s="31">
        <v>16</v>
      </c>
      <c r="D26" s="1" t="s">
        <v>26</v>
      </c>
      <c r="E26" s="20">
        <v>160.80000000000001</v>
      </c>
      <c r="F26" s="20">
        <v>108.7</v>
      </c>
      <c r="G26" s="20">
        <v>95.4</v>
      </c>
      <c r="I26" s="20">
        <f t="shared" si="3"/>
        <v>131.4969696969697</v>
      </c>
      <c r="J26" s="45">
        <f>(I26/'AAU 16-17'!I26)-1</f>
        <v>1.6596041489818081E-3</v>
      </c>
      <c r="K26" s="18"/>
      <c r="M26" s="38">
        <f>554+179</f>
        <v>733</v>
      </c>
      <c r="N26" s="38">
        <f>261+165</f>
        <v>426</v>
      </c>
      <c r="O26" s="38">
        <f>149+177</f>
        <v>326</v>
      </c>
      <c r="P26" s="36">
        <f t="shared" si="0"/>
        <v>117866.40000000001</v>
      </c>
      <c r="Q26" s="36">
        <f t="shared" si="0"/>
        <v>46306.200000000004</v>
      </c>
      <c r="R26" s="36">
        <f t="shared" si="0"/>
        <v>31100.400000000001</v>
      </c>
      <c r="S26" s="36">
        <f t="shared" si="1"/>
        <v>1485</v>
      </c>
      <c r="T26" s="36">
        <f t="shared" si="2"/>
        <v>195273</v>
      </c>
      <c r="U26" s="37">
        <f t="shared" si="4"/>
        <v>131.4969696969697</v>
      </c>
    </row>
    <row r="27" spans="1:21" ht="13.5" customHeight="1" x14ac:dyDescent="0.3">
      <c r="A27" s="19"/>
      <c r="C27" s="31">
        <v>17</v>
      </c>
      <c r="D27" s="1" t="s">
        <v>27</v>
      </c>
      <c r="E27" s="20">
        <v>170.2</v>
      </c>
      <c r="F27" s="20">
        <v>113.2</v>
      </c>
      <c r="G27" s="20">
        <v>95.6</v>
      </c>
      <c r="I27" s="20">
        <f t="shared" si="3"/>
        <v>136.40989154013013</v>
      </c>
      <c r="J27" s="45">
        <f>(I27/'AAU 16-17'!I27)-1</f>
        <v>1.3935839102641845E-2</v>
      </c>
      <c r="K27" s="18"/>
      <c r="M27" s="38">
        <f>799+327</f>
        <v>1126</v>
      </c>
      <c r="N27" s="38">
        <f>330+242</f>
        <v>572</v>
      </c>
      <c r="O27" s="38">
        <f>307+300</f>
        <v>607</v>
      </c>
      <c r="P27" s="36">
        <f t="shared" si="0"/>
        <v>191645.19999999998</v>
      </c>
      <c r="Q27" s="36">
        <f t="shared" si="0"/>
        <v>64750.400000000001</v>
      </c>
      <c r="R27" s="36">
        <f t="shared" si="0"/>
        <v>58029.2</v>
      </c>
      <c r="S27" s="36">
        <f t="shared" si="1"/>
        <v>2305</v>
      </c>
      <c r="T27" s="36">
        <f t="shared" si="2"/>
        <v>314424.8</v>
      </c>
      <c r="U27" s="37">
        <f t="shared" si="4"/>
        <v>136.40989154013013</v>
      </c>
    </row>
    <row r="28" spans="1:21" ht="13.5" customHeight="1" x14ac:dyDescent="0.3">
      <c r="A28" s="19"/>
      <c r="C28" s="31">
        <v>18</v>
      </c>
      <c r="D28" s="1" t="s">
        <v>28</v>
      </c>
      <c r="E28" s="20">
        <v>154.6</v>
      </c>
      <c r="F28" s="20">
        <v>101.9</v>
      </c>
      <c r="G28" s="20">
        <v>82.6</v>
      </c>
      <c r="I28" s="20">
        <f t="shared" si="3"/>
        <v>115.50483795209018</v>
      </c>
      <c r="J28" s="45">
        <f>(I28/'AAU 16-17'!I28)-1</f>
        <v>2.4897072063841286E-2</v>
      </c>
      <c r="K28" s="18"/>
      <c r="M28" s="38">
        <f>610+200</f>
        <v>810</v>
      </c>
      <c r="N28" s="38">
        <f>351+257</f>
        <v>608</v>
      </c>
      <c r="O28" s="38">
        <f>352+359</f>
        <v>711</v>
      </c>
      <c r="P28" s="36">
        <f t="shared" si="0"/>
        <v>125226</v>
      </c>
      <c r="Q28" s="36">
        <f t="shared" si="0"/>
        <v>61955.200000000004</v>
      </c>
      <c r="R28" s="36">
        <f t="shared" si="0"/>
        <v>58728.6</v>
      </c>
      <c r="S28" s="36">
        <f t="shared" si="1"/>
        <v>2129</v>
      </c>
      <c r="T28" s="36">
        <f t="shared" si="2"/>
        <v>245909.80000000002</v>
      </c>
      <c r="U28" s="37">
        <f t="shared" si="4"/>
        <v>115.50483795209018</v>
      </c>
    </row>
    <row r="29" spans="1:21" ht="13.5" customHeight="1" x14ac:dyDescent="0.3">
      <c r="A29" s="19"/>
      <c r="C29" s="31">
        <v>19</v>
      </c>
      <c r="D29" s="1" t="s">
        <v>29</v>
      </c>
      <c r="E29" s="20">
        <v>143.4</v>
      </c>
      <c r="F29" s="20">
        <v>100.5</v>
      </c>
      <c r="G29" s="20">
        <v>89</v>
      </c>
      <c r="I29" s="20">
        <f t="shared" si="3"/>
        <v>116.7670465337132</v>
      </c>
      <c r="J29" s="45">
        <f>(I29/'AAU 16-17'!I29)-1</f>
        <v>1.375434010440757E-2</v>
      </c>
      <c r="K29" s="18"/>
      <c r="M29" s="38">
        <f>669+277</f>
        <v>946</v>
      </c>
      <c r="N29" s="38">
        <f>333+277</f>
        <v>610</v>
      </c>
      <c r="O29" s="38">
        <f>286+264</f>
        <v>550</v>
      </c>
      <c r="P29" s="36">
        <f t="shared" si="0"/>
        <v>135656.4</v>
      </c>
      <c r="Q29" s="36">
        <f t="shared" si="0"/>
        <v>61305</v>
      </c>
      <c r="R29" s="36">
        <f t="shared" si="0"/>
        <v>48950</v>
      </c>
      <c r="S29" s="36">
        <f t="shared" si="1"/>
        <v>2106</v>
      </c>
      <c r="T29" s="36">
        <f t="shared" si="2"/>
        <v>245911.4</v>
      </c>
      <c r="U29" s="37">
        <f t="shared" si="4"/>
        <v>116.7670465337132</v>
      </c>
    </row>
    <row r="30" spans="1:21" ht="13.5" customHeight="1" x14ac:dyDescent="0.3">
      <c r="A30" s="19"/>
      <c r="C30" s="31">
        <v>20</v>
      </c>
      <c r="D30" s="24" t="s">
        <v>30</v>
      </c>
      <c r="E30" s="25">
        <v>123</v>
      </c>
      <c r="F30" s="25">
        <v>80</v>
      </c>
      <c r="G30" s="25">
        <v>71.400000000000006</v>
      </c>
      <c r="H30" s="24"/>
      <c r="I30" s="25">
        <f t="shared" si="3"/>
        <v>92.217879053461886</v>
      </c>
      <c r="J30" s="47">
        <f>(I30/'AAU 16-17'!I30)-1</f>
        <v>1.0081638588093522E-2</v>
      </c>
      <c r="K30" s="18"/>
      <c r="M30" s="38">
        <f>275+119</f>
        <v>394</v>
      </c>
      <c r="N30" s="38">
        <f>231+167</f>
        <v>398</v>
      </c>
      <c r="O30" s="38">
        <f>165+184</f>
        <v>349</v>
      </c>
      <c r="P30" s="36">
        <f t="shared" si="0"/>
        <v>48462</v>
      </c>
      <c r="Q30" s="36">
        <f t="shared" si="0"/>
        <v>31840</v>
      </c>
      <c r="R30" s="36">
        <f t="shared" si="0"/>
        <v>24918.600000000002</v>
      </c>
      <c r="S30" s="36">
        <f t="shared" si="1"/>
        <v>1141</v>
      </c>
      <c r="T30" s="36">
        <f t="shared" si="2"/>
        <v>105220.6</v>
      </c>
      <c r="U30" s="37">
        <f t="shared" si="4"/>
        <v>92.217879053461886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159.30000000000001</v>
      </c>
      <c r="F31" s="20">
        <v>105.7</v>
      </c>
      <c r="G31" s="20">
        <v>95.7</v>
      </c>
      <c r="I31" s="20">
        <f t="shared" si="3"/>
        <v>129.18814390842192</v>
      </c>
      <c r="J31" s="45">
        <f>(I31/'AAU 16-17'!I31)-1</f>
        <v>3.841731666097159E-2</v>
      </c>
      <c r="K31" s="18"/>
      <c r="M31" s="38">
        <f>395+190</f>
        <v>585</v>
      </c>
      <c r="N31" s="38">
        <f>210+165</f>
        <v>375</v>
      </c>
      <c r="O31" s="38">
        <f>140+123</f>
        <v>263</v>
      </c>
      <c r="P31" s="36">
        <f t="shared" si="0"/>
        <v>93190.5</v>
      </c>
      <c r="Q31" s="36">
        <f t="shared" si="0"/>
        <v>39637.5</v>
      </c>
      <c r="R31" s="36">
        <f t="shared" si="0"/>
        <v>25169.100000000002</v>
      </c>
      <c r="S31" s="36">
        <f t="shared" si="1"/>
        <v>1223</v>
      </c>
      <c r="T31" s="36">
        <f t="shared" si="2"/>
        <v>157997.1</v>
      </c>
      <c r="U31" s="37">
        <f t="shared" si="4"/>
        <v>129.18814390842192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150</v>
      </c>
      <c r="F32" s="20">
        <v>101.3</v>
      </c>
      <c r="G32" s="20">
        <v>89.4</v>
      </c>
      <c r="I32" s="20">
        <f t="shared" si="3"/>
        <v>118.8816116588084</v>
      </c>
      <c r="J32" s="45">
        <f>(I32/'AAU 16-17'!I32)-1</f>
        <v>7.3360981233914213E-3</v>
      </c>
      <c r="K32" s="18"/>
      <c r="M32" s="38">
        <f>708+286</f>
        <v>994</v>
      </c>
      <c r="N32" s="38">
        <f>390+328</f>
        <v>718</v>
      </c>
      <c r="O32" s="38">
        <f>304+317</f>
        <v>621</v>
      </c>
      <c r="P32" s="36">
        <f t="shared" si="0"/>
        <v>149100</v>
      </c>
      <c r="Q32" s="36">
        <f t="shared" si="0"/>
        <v>72733.399999999994</v>
      </c>
      <c r="R32" s="36">
        <f t="shared" si="0"/>
        <v>55517.4</v>
      </c>
      <c r="S32" s="36">
        <f t="shared" si="1"/>
        <v>2333</v>
      </c>
      <c r="T32" s="36">
        <f t="shared" si="2"/>
        <v>277350.8</v>
      </c>
      <c r="U32" s="37">
        <f t="shared" si="4"/>
        <v>118.8816116588084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134.80000000000001</v>
      </c>
      <c r="F33" s="20">
        <v>98.1</v>
      </c>
      <c r="G33" s="20">
        <v>84.9</v>
      </c>
      <c r="I33" s="20">
        <f t="shared" si="3"/>
        <v>108.89842105263158</v>
      </c>
      <c r="J33" s="45">
        <f>(I33/'AAU 16-17'!I33)-1</f>
        <v>3.7134404529218346E-2</v>
      </c>
      <c r="K33" s="18"/>
      <c r="M33" s="38">
        <f>201+87</f>
        <v>288</v>
      </c>
      <c r="N33" s="38">
        <f>167+126</f>
        <v>293</v>
      </c>
      <c r="O33" s="38">
        <f>96+83</f>
        <v>179</v>
      </c>
      <c r="P33" s="36">
        <f t="shared" si="0"/>
        <v>38822.400000000001</v>
      </c>
      <c r="Q33" s="36">
        <f t="shared" si="0"/>
        <v>28743.3</v>
      </c>
      <c r="R33" s="36">
        <f t="shared" si="0"/>
        <v>15197.1</v>
      </c>
      <c r="S33" s="36">
        <f t="shared" si="1"/>
        <v>760</v>
      </c>
      <c r="T33" s="36">
        <f t="shared" si="2"/>
        <v>82762.8</v>
      </c>
      <c r="U33" s="37">
        <f t="shared" si="4"/>
        <v>108.89842105263158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157</v>
      </c>
      <c r="F34" s="20">
        <v>107.3</v>
      </c>
      <c r="G34" s="20">
        <v>90.4</v>
      </c>
      <c r="I34" s="20">
        <f t="shared" si="3"/>
        <v>125.219782496116</v>
      </c>
      <c r="J34" s="45">
        <f>(I34/'AAU 16-17'!I34)-1</f>
        <v>3.9457223403114305E-3</v>
      </c>
      <c r="K34" s="18"/>
      <c r="M34" s="38">
        <f>671+199</f>
        <v>870</v>
      </c>
      <c r="N34" s="38">
        <f>330+220</f>
        <v>550</v>
      </c>
      <c r="O34" s="38">
        <f>288+223</f>
        <v>511</v>
      </c>
      <c r="P34" s="36">
        <f t="shared" si="0"/>
        <v>136590</v>
      </c>
      <c r="Q34" s="36">
        <f t="shared" si="0"/>
        <v>59015</v>
      </c>
      <c r="R34" s="36">
        <f t="shared" si="0"/>
        <v>46194.400000000001</v>
      </c>
      <c r="S34" s="36">
        <f t="shared" si="1"/>
        <v>1931</v>
      </c>
      <c r="T34" s="36">
        <f t="shared" si="2"/>
        <v>241799.4</v>
      </c>
      <c r="U34" s="37">
        <f t="shared" si="4"/>
        <v>125.219782496116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153</v>
      </c>
      <c r="F35" s="20">
        <v>101.1</v>
      </c>
      <c r="G35" s="20">
        <v>85.6</v>
      </c>
      <c r="I35" s="20">
        <f t="shared" si="3"/>
        <v>113.22188168210975</v>
      </c>
      <c r="J35" s="45">
        <f>(I35/'AAU 16-17'!I35)-1</f>
        <v>4.2720866117577083E-2</v>
      </c>
      <c r="K35" s="18"/>
      <c r="M35" s="38">
        <f>355+125</f>
        <v>480</v>
      </c>
      <c r="N35" s="38">
        <f>225+188</f>
        <v>413</v>
      </c>
      <c r="O35" s="38">
        <f>257+253</f>
        <v>510</v>
      </c>
      <c r="P35" s="36">
        <f t="shared" si="0"/>
        <v>73440</v>
      </c>
      <c r="Q35" s="36">
        <f t="shared" si="0"/>
        <v>41754.299999999996</v>
      </c>
      <c r="R35" s="36">
        <f t="shared" si="0"/>
        <v>43656</v>
      </c>
      <c r="S35" s="36">
        <f t="shared" si="1"/>
        <v>1403</v>
      </c>
      <c r="T35" s="36">
        <f t="shared" si="2"/>
        <v>158850.29999999999</v>
      </c>
      <c r="U35" s="37">
        <f t="shared" si="4"/>
        <v>113.22188168210975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142.4</v>
      </c>
      <c r="F36" s="20">
        <v>101.2</v>
      </c>
      <c r="G36" s="20">
        <v>89.7</v>
      </c>
      <c r="I36" s="20">
        <f t="shared" si="3"/>
        <v>115.84563492063494</v>
      </c>
      <c r="J36" s="45">
        <f>(I36/'AAU 16-17'!I36)-1</f>
        <v>-1.2399912594600382E-2</v>
      </c>
      <c r="K36" s="18"/>
      <c r="M36" s="38">
        <f>700+183</f>
        <v>883</v>
      </c>
      <c r="N36" s="38">
        <f>336+201</f>
        <v>537</v>
      </c>
      <c r="O36" s="38">
        <f>337+259</f>
        <v>596</v>
      </c>
      <c r="P36" s="36">
        <f t="shared" si="0"/>
        <v>125739.20000000001</v>
      </c>
      <c r="Q36" s="36">
        <f t="shared" si="0"/>
        <v>54344.4</v>
      </c>
      <c r="R36" s="36">
        <f t="shared" si="0"/>
        <v>53461.200000000004</v>
      </c>
      <c r="S36" s="36">
        <f t="shared" si="1"/>
        <v>2016</v>
      </c>
      <c r="T36" s="36">
        <f t="shared" si="2"/>
        <v>233544.80000000002</v>
      </c>
      <c r="U36" s="37">
        <f t="shared" si="4"/>
        <v>115.84563492063494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165.9</v>
      </c>
      <c r="F37" s="20">
        <v>109.6</v>
      </c>
      <c r="G37" s="20">
        <v>86.3</v>
      </c>
      <c r="I37" s="20">
        <f t="shared" si="3"/>
        <v>127.88232711306256</v>
      </c>
      <c r="J37" s="45">
        <f>(I37/'AAU 16-17'!I37)-1</f>
        <v>9.292753186880498E-3</v>
      </c>
      <c r="K37" s="18"/>
      <c r="M37" s="38">
        <f>564+235</f>
        <v>799</v>
      </c>
      <c r="N37" s="39">
        <f>237+285</f>
        <v>522</v>
      </c>
      <c r="O37" s="38">
        <f>204+297</f>
        <v>501</v>
      </c>
      <c r="P37" s="36">
        <f t="shared" si="0"/>
        <v>132554.1</v>
      </c>
      <c r="Q37" s="36">
        <f t="shared" si="0"/>
        <v>57211.199999999997</v>
      </c>
      <c r="R37" s="36">
        <f t="shared" si="0"/>
        <v>43236.299999999996</v>
      </c>
      <c r="S37" s="36">
        <f t="shared" si="1"/>
        <v>1822</v>
      </c>
      <c r="T37" s="36">
        <f t="shared" si="2"/>
        <v>233001.59999999998</v>
      </c>
      <c r="U37" s="37">
        <f t="shared" si="4"/>
        <v>127.88232711306256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136.19999999999999</v>
      </c>
      <c r="F38" s="20">
        <v>92.9</v>
      </c>
      <c r="G38" s="20">
        <v>81.3</v>
      </c>
      <c r="I38" s="20">
        <f t="shared" si="3"/>
        <v>103.06948398576513</v>
      </c>
      <c r="J38" s="45">
        <f>(I38/'AAU 16-17'!I38)-1</f>
        <v>-8.8169511419499136E-3</v>
      </c>
      <c r="K38" s="18"/>
      <c r="M38" s="38">
        <f>273+96</f>
        <v>369</v>
      </c>
      <c r="N38" s="38">
        <f>205+158</f>
        <v>363</v>
      </c>
      <c r="O38" s="38">
        <f>215+177</f>
        <v>392</v>
      </c>
      <c r="P38" s="36">
        <f t="shared" si="0"/>
        <v>50257.799999999996</v>
      </c>
      <c r="Q38" s="36">
        <f t="shared" si="0"/>
        <v>33722.700000000004</v>
      </c>
      <c r="R38" s="36">
        <f t="shared" si="0"/>
        <v>31869.599999999999</v>
      </c>
      <c r="S38" s="36">
        <f t="shared" si="1"/>
        <v>1124</v>
      </c>
      <c r="T38" s="36">
        <f t="shared" si="2"/>
        <v>115850.1</v>
      </c>
      <c r="U38" s="37">
        <f t="shared" si="4"/>
        <v>103.06948398576513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152.9</v>
      </c>
      <c r="F39" s="20">
        <v>104.3</v>
      </c>
      <c r="G39" s="20">
        <v>88.7</v>
      </c>
      <c r="I39" s="20">
        <f t="shared" si="3"/>
        <v>117.66151351351351</v>
      </c>
      <c r="J39" s="45">
        <f>(I39/'AAU 16-17'!I39)-1</f>
        <v>9.6384066851022965E-3</v>
      </c>
      <c r="K39" s="18"/>
      <c r="M39" s="38">
        <f>271+78</f>
        <v>349</v>
      </c>
      <c r="N39" s="38">
        <f>156+125</f>
        <v>281</v>
      </c>
      <c r="O39" s="38">
        <f>166+129</f>
        <v>295</v>
      </c>
      <c r="P39" s="36">
        <f t="shared" si="0"/>
        <v>53362.1</v>
      </c>
      <c r="Q39" s="36">
        <f t="shared" si="0"/>
        <v>29308.3</v>
      </c>
      <c r="R39" s="36">
        <f t="shared" si="0"/>
        <v>26166.5</v>
      </c>
      <c r="S39" s="36">
        <f t="shared" si="1"/>
        <v>925</v>
      </c>
      <c r="T39" s="36">
        <f t="shared" si="2"/>
        <v>108836.9</v>
      </c>
      <c r="U39" s="37">
        <f t="shared" si="4"/>
        <v>117.66151351351351</v>
      </c>
    </row>
    <row r="40" spans="1:21" ht="13.5" customHeight="1" x14ac:dyDescent="0.3">
      <c r="A40" s="19"/>
      <c r="C40" s="31">
        <v>30</v>
      </c>
      <c r="D40" s="1" t="s">
        <v>48</v>
      </c>
      <c r="E40" s="20">
        <v>165.6</v>
      </c>
      <c r="F40" s="20">
        <v>107.6</v>
      </c>
      <c r="G40" s="20">
        <v>101.5</v>
      </c>
      <c r="I40" s="20">
        <f t="shared" ref="I40" si="5">U40</f>
        <v>137.64498080087768</v>
      </c>
      <c r="J40" s="45"/>
      <c r="K40" s="18"/>
      <c r="M40" s="38">
        <f>729+249</f>
        <v>978</v>
      </c>
      <c r="N40" s="38">
        <f>298+227</f>
        <v>525</v>
      </c>
      <c r="O40" s="38">
        <f>188+132</f>
        <v>320</v>
      </c>
      <c r="P40" s="36">
        <f t="shared" si="0"/>
        <v>161956.79999999999</v>
      </c>
      <c r="Q40" s="36">
        <f t="shared" si="0"/>
        <v>56490</v>
      </c>
      <c r="R40" s="36">
        <f t="shared" si="0"/>
        <v>32480</v>
      </c>
      <c r="S40" s="36">
        <f t="shared" si="1"/>
        <v>1823</v>
      </c>
      <c r="T40" s="36">
        <f t="shared" si="2"/>
        <v>250926.8</v>
      </c>
      <c r="U40" s="37">
        <f t="shared" si="4"/>
        <v>137.64498080087768</v>
      </c>
    </row>
    <row r="41" spans="1:21" ht="13.5" customHeight="1" x14ac:dyDescent="0.3">
      <c r="A41" s="19"/>
      <c r="C41" s="31">
        <v>31</v>
      </c>
      <c r="D41" s="1" t="s">
        <v>102</v>
      </c>
      <c r="E41" s="20">
        <v>143.4</v>
      </c>
      <c r="F41" s="20">
        <v>100.8</v>
      </c>
      <c r="G41" s="20">
        <v>89.4</v>
      </c>
      <c r="I41" s="20">
        <f t="shared" si="3"/>
        <v>120.71954765751211</v>
      </c>
      <c r="J41" s="45">
        <f>(I41/'AAU 16-17'!I41)-1</f>
        <v>5.3227029133398052E-3</v>
      </c>
      <c r="K41" s="18"/>
      <c r="M41" s="38">
        <f>787+179</f>
        <v>966</v>
      </c>
      <c r="N41" s="38">
        <f>354+172</f>
        <v>526</v>
      </c>
      <c r="O41" s="38">
        <f>224+141</f>
        <v>365</v>
      </c>
      <c r="P41" s="36">
        <f t="shared" si="0"/>
        <v>138524.4</v>
      </c>
      <c r="Q41" s="36">
        <f t="shared" si="0"/>
        <v>53020.799999999996</v>
      </c>
      <c r="R41" s="36">
        <f t="shared" si="0"/>
        <v>32631.000000000004</v>
      </c>
      <c r="S41" s="36">
        <f t="shared" si="1"/>
        <v>1857</v>
      </c>
      <c r="T41" s="36">
        <f t="shared" si="2"/>
        <v>224176.19999999998</v>
      </c>
      <c r="U41" s="37">
        <f t="shared" si="4"/>
        <v>120.71954765751211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177.3</v>
      </c>
      <c r="F42" s="20">
        <v>118.7</v>
      </c>
      <c r="G42" s="20">
        <v>90.6</v>
      </c>
      <c r="I42" s="20">
        <f t="shared" si="3"/>
        <v>133.84261922785768</v>
      </c>
      <c r="J42" s="45">
        <f>(I42/'AAU 16-17'!I42)-1</f>
        <v>-1.7851906583029153E-2</v>
      </c>
      <c r="K42" s="18"/>
      <c r="M42" s="38">
        <f>409+128</f>
        <v>537</v>
      </c>
      <c r="N42" s="38">
        <f>217+159</f>
        <v>376</v>
      </c>
      <c r="O42" s="38">
        <f>203+205</f>
        <v>408</v>
      </c>
      <c r="P42" s="36">
        <f t="shared" si="0"/>
        <v>95210.1</v>
      </c>
      <c r="Q42" s="36">
        <f t="shared" si="0"/>
        <v>44631.200000000004</v>
      </c>
      <c r="R42" s="36">
        <f t="shared" si="0"/>
        <v>36964.799999999996</v>
      </c>
      <c r="S42" s="36">
        <f t="shared" si="1"/>
        <v>1321</v>
      </c>
      <c r="T42" s="36">
        <f t="shared" si="2"/>
        <v>176806.1</v>
      </c>
      <c r="U42" s="37">
        <f t="shared" si="4"/>
        <v>133.84261922785768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144.80000000000001</v>
      </c>
      <c r="F43" s="20">
        <v>110.1</v>
      </c>
      <c r="G43" s="20">
        <v>101.9</v>
      </c>
      <c r="I43" s="20">
        <f t="shared" si="3"/>
        <v>124.60921843687375</v>
      </c>
      <c r="J43" s="45">
        <f>(I43/'AAU 16-17'!I43)-1</f>
        <v>5.0929947462766245E-2</v>
      </c>
      <c r="K43" s="18"/>
      <c r="M43" s="38">
        <f>459+248</f>
        <v>707</v>
      </c>
      <c r="N43" s="38">
        <f>245+202</f>
        <v>447</v>
      </c>
      <c r="O43" s="38">
        <f>171+172</f>
        <v>343</v>
      </c>
      <c r="P43" s="36">
        <f t="shared" si="0"/>
        <v>102373.6</v>
      </c>
      <c r="Q43" s="36">
        <f t="shared" si="0"/>
        <v>49214.7</v>
      </c>
      <c r="R43" s="36">
        <f t="shared" si="0"/>
        <v>34951.700000000004</v>
      </c>
      <c r="S43" s="36">
        <f t="shared" si="1"/>
        <v>1497</v>
      </c>
      <c r="T43" s="36">
        <f t="shared" si="2"/>
        <v>186540</v>
      </c>
      <c r="U43" s="37">
        <f t="shared" si="4"/>
        <v>124.60921843687375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136.19999999999999</v>
      </c>
      <c r="F44" s="20">
        <v>102.1</v>
      </c>
      <c r="G44" s="20">
        <v>89.5</v>
      </c>
      <c r="I44" s="20">
        <f t="shared" si="3"/>
        <v>118.47865037812682</v>
      </c>
      <c r="J44" s="45">
        <f>(I44/'AAU 16-17'!I44)-1</f>
        <v>2.2422807043542381E-2</v>
      </c>
      <c r="K44" s="18"/>
      <c r="M44" s="38">
        <f>683+296</f>
        <v>979</v>
      </c>
      <c r="N44" s="38">
        <f>169+156</f>
        <v>325</v>
      </c>
      <c r="O44" s="38">
        <f>217+198</f>
        <v>415</v>
      </c>
      <c r="P44" s="36">
        <f t="shared" si="0"/>
        <v>133339.79999999999</v>
      </c>
      <c r="Q44" s="36">
        <f t="shared" si="0"/>
        <v>33182.5</v>
      </c>
      <c r="R44" s="36">
        <f t="shared" si="0"/>
        <v>37142.5</v>
      </c>
      <c r="S44" s="36">
        <f t="shared" si="1"/>
        <v>1719</v>
      </c>
      <c r="T44" s="36">
        <f t="shared" si="2"/>
        <v>203664.8</v>
      </c>
      <c r="U44" s="37">
        <f t="shared" si="4"/>
        <v>118.47865037812682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155.86574956209679</v>
      </c>
      <c r="F46" s="41">
        <f t="shared" ref="F46:G46" si="6">Q46/N46</f>
        <v>104.12367015594957</v>
      </c>
      <c r="G46" s="41">
        <f t="shared" si="6"/>
        <v>90.571375029280873</v>
      </c>
      <c r="H46" s="40"/>
      <c r="I46" s="41">
        <f>U46</f>
        <v>124.76880633543583</v>
      </c>
      <c r="J46" s="46">
        <f>(I46/'AAU 16-17'!I46)-1</f>
        <v>2.5450949162621583E-2</v>
      </c>
      <c r="K46" s="18"/>
      <c r="M46" s="39">
        <f>SUM(M11:M44)</f>
        <v>23407</v>
      </c>
      <c r="N46" s="39">
        <f t="shared" ref="N46:O46" si="7">SUM(N11:N44)</f>
        <v>14043</v>
      </c>
      <c r="O46" s="39">
        <f t="shared" si="7"/>
        <v>12807</v>
      </c>
      <c r="P46" s="39">
        <f>SUM(P11:P44)</f>
        <v>3648349.5999999996</v>
      </c>
      <c r="Q46" s="39">
        <f t="shared" ref="Q46:R46" si="8">SUM(Q11:Q44)</f>
        <v>1462208.6999999997</v>
      </c>
      <c r="R46" s="39">
        <f t="shared" si="8"/>
        <v>1159947.6000000001</v>
      </c>
      <c r="S46" s="36">
        <f>M46+N46+O46</f>
        <v>50257</v>
      </c>
      <c r="T46" s="36">
        <f>P46+Q46+R46</f>
        <v>6270505.8999999985</v>
      </c>
      <c r="U46" s="37">
        <f>T46/S46</f>
        <v>124.76880633543583</v>
      </c>
    </row>
    <row r="47" spans="1:21" ht="13.5" customHeight="1" x14ac:dyDescent="0.3">
      <c r="A47" s="19"/>
      <c r="D47" s="44" t="s">
        <v>55</v>
      </c>
      <c r="E47" s="41">
        <f>MEDIAN(E11:E44)</f>
        <v>151.69999999999999</v>
      </c>
      <c r="F47" s="41">
        <f t="shared" ref="F47:G47" si="9">MEDIAN(F11:F44)</f>
        <v>103.55000000000001</v>
      </c>
      <c r="G47" s="41">
        <f t="shared" si="9"/>
        <v>90.050000000000011</v>
      </c>
      <c r="H47" s="40"/>
      <c r="I47" s="41">
        <f>MEDIAN(I11:I44)</f>
        <v>119.98932719302519</v>
      </c>
      <c r="J47" s="46">
        <f>(I47/'AAU 16-17'!I47)-1</f>
        <v>1.672225825782081E-2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99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109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2"/>
  <sheetViews>
    <sheetView workbookViewId="0"/>
  </sheetViews>
  <sheetFormatPr defaultColWidth="9.109375" defaultRowHeight="13.5" customHeight="1" x14ac:dyDescent="0.3"/>
  <cols>
    <col min="1" max="2" width="2.6640625" style="1" customWidth="1"/>
    <col min="3" max="3" width="2.6640625" style="31" hidden="1" customWidth="1"/>
    <col min="4" max="4" width="37.6640625" style="1" customWidth="1"/>
    <col min="5" max="7" width="7.6640625" style="1" customWidth="1"/>
    <col min="8" max="8" width="2.6640625" style="1" customWidth="1"/>
    <col min="9" max="9" width="6.6640625" style="1" customWidth="1"/>
    <col min="10" max="10" width="7.6640625" style="1" customWidth="1"/>
    <col min="11" max="11" width="2.6640625" style="1" customWidth="1"/>
    <col min="12" max="16384" width="9.109375" style="1"/>
  </cols>
  <sheetData>
    <row r="1" spans="1:21" s="2" customFormat="1" ht="13.5" customHeight="1" x14ac:dyDescent="0.3">
      <c r="C1" s="26"/>
    </row>
    <row r="2" spans="1:21" s="2" customFormat="1" ht="15" customHeight="1" x14ac:dyDescent="0.3">
      <c r="A2" s="50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2"/>
    </row>
    <row r="3" spans="1:21" s="2" customFormat="1" ht="13.5" customHeight="1" x14ac:dyDescent="0.3">
      <c r="A3" s="3"/>
      <c r="B3" s="4"/>
      <c r="C3" s="27"/>
      <c r="D3" s="4"/>
      <c r="E3" s="4"/>
      <c r="F3" s="4"/>
      <c r="G3" s="4"/>
      <c r="H3" s="4"/>
      <c r="I3" s="4"/>
      <c r="J3" s="4"/>
      <c r="K3" s="5"/>
    </row>
    <row r="4" spans="1:21" s="2" customFormat="1" ht="15" customHeight="1" x14ac:dyDescent="0.3">
      <c r="A4" s="3"/>
      <c r="B4" s="6" t="s">
        <v>104</v>
      </c>
      <c r="C4" s="28"/>
      <c r="D4" s="7"/>
      <c r="K4" s="5"/>
    </row>
    <row r="5" spans="1:21" s="2" customFormat="1" ht="15" customHeight="1" x14ac:dyDescent="0.3">
      <c r="A5" s="3"/>
      <c r="B5" s="6" t="s">
        <v>0</v>
      </c>
      <c r="C5" s="28"/>
      <c r="D5" s="7"/>
      <c r="K5" s="5"/>
    </row>
    <row r="6" spans="1:21" ht="13.5" customHeight="1" thickBot="1" x14ac:dyDescent="0.35">
      <c r="A6" s="10"/>
      <c r="B6" s="11"/>
      <c r="C6" s="29"/>
      <c r="D6" s="11"/>
      <c r="E6" s="11"/>
      <c r="F6" s="11"/>
      <c r="G6" s="11"/>
      <c r="H6" s="11"/>
      <c r="I6" s="11"/>
      <c r="J6" s="11"/>
      <c r="K6" s="18"/>
    </row>
    <row r="7" spans="1:21" ht="13.5" customHeight="1" thickTop="1" x14ac:dyDescent="0.3">
      <c r="A7" s="10"/>
      <c r="B7" s="12"/>
      <c r="C7" s="17"/>
      <c r="D7" s="53" t="s">
        <v>4</v>
      </c>
      <c r="E7" s="53"/>
      <c r="F7" s="53"/>
      <c r="G7" s="53"/>
      <c r="H7" s="53"/>
      <c r="I7" s="53"/>
      <c r="J7" s="13" t="s">
        <v>5</v>
      </c>
      <c r="K7" s="18"/>
      <c r="N7" s="17" t="s">
        <v>41</v>
      </c>
      <c r="O7" s="12"/>
      <c r="P7" s="34"/>
      <c r="Q7" s="17" t="s">
        <v>51</v>
      </c>
      <c r="R7" s="34"/>
      <c r="S7" s="35" t="s">
        <v>49</v>
      </c>
      <c r="T7" s="35" t="s">
        <v>49</v>
      </c>
      <c r="U7" s="35" t="s">
        <v>53</v>
      </c>
    </row>
    <row r="8" spans="1:21" ht="13.5" customHeight="1" x14ac:dyDescent="0.3">
      <c r="A8" s="10"/>
      <c r="B8" s="14"/>
      <c r="C8" s="30"/>
      <c r="D8" s="14"/>
      <c r="E8" s="15" t="s">
        <v>6</v>
      </c>
      <c r="F8" s="15" t="s">
        <v>7</v>
      </c>
      <c r="G8" s="15" t="s">
        <v>8</v>
      </c>
      <c r="H8" s="15"/>
      <c r="I8" s="15" t="s">
        <v>9</v>
      </c>
      <c r="J8" s="15" t="s">
        <v>10</v>
      </c>
      <c r="K8" s="18"/>
      <c r="M8" s="13" t="s">
        <v>42</v>
      </c>
      <c r="N8" s="13" t="s">
        <v>43</v>
      </c>
      <c r="O8" s="13" t="s">
        <v>44</v>
      </c>
      <c r="P8" s="13" t="s">
        <v>42</v>
      </c>
      <c r="Q8" s="13" t="s">
        <v>43</v>
      </c>
      <c r="R8" s="13" t="s">
        <v>44</v>
      </c>
      <c r="S8" s="13" t="s">
        <v>50</v>
      </c>
      <c r="T8" s="13" t="s">
        <v>52</v>
      </c>
      <c r="U8" s="13" t="s">
        <v>52</v>
      </c>
    </row>
    <row r="9" spans="1:21" ht="13.5" customHeight="1" x14ac:dyDescent="0.3">
      <c r="A9" s="19"/>
      <c r="K9" s="18"/>
    </row>
    <row r="10" spans="1:21" ht="13.5" customHeight="1" x14ac:dyDescent="0.3">
      <c r="A10" s="19"/>
      <c r="B10" s="8" t="s">
        <v>3</v>
      </c>
      <c r="C10" s="32"/>
      <c r="D10" s="9"/>
      <c r="E10" s="9"/>
      <c r="F10" s="9"/>
      <c r="G10" s="9"/>
      <c r="H10" s="9"/>
      <c r="I10" s="9"/>
      <c r="J10" s="9"/>
      <c r="K10" s="18"/>
    </row>
    <row r="11" spans="1:21" ht="13.5" customHeight="1" x14ac:dyDescent="0.3">
      <c r="A11" s="19"/>
      <c r="C11" s="31">
        <v>1</v>
      </c>
      <c r="D11" s="1" t="s">
        <v>11</v>
      </c>
      <c r="E11" s="20">
        <v>129.4</v>
      </c>
      <c r="F11" s="20">
        <v>91.3</v>
      </c>
      <c r="G11" s="20">
        <v>80.099999999999994</v>
      </c>
      <c r="I11" s="20">
        <f>U11</f>
        <v>104.37682072829131</v>
      </c>
      <c r="J11" s="45">
        <f>(I11/'AAU 15-16'!I11)-1</f>
        <v>3.3990953791082079E-2</v>
      </c>
      <c r="K11" s="18"/>
      <c r="L11" s="20"/>
      <c r="M11" s="38">
        <f>423+190</f>
        <v>613</v>
      </c>
      <c r="N11" s="38">
        <f>245+152</f>
        <v>397</v>
      </c>
      <c r="O11" s="38">
        <f>217+201</f>
        <v>418</v>
      </c>
      <c r="P11" s="36">
        <f t="shared" ref="P11:R44" si="0">E11*M11</f>
        <v>79322.2</v>
      </c>
      <c r="Q11" s="36">
        <f t="shared" si="0"/>
        <v>36246.1</v>
      </c>
      <c r="R11" s="36">
        <f t="shared" si="0"/>
        <v>33481.799999999996</v>
      </c>
      <c r="S11" s="36">
        <f t="shared" ref="S11:S44" si="1">M11+N11+O11</f>
        <v>1428</v>
      </c>
      <c r="T11" s="36">
        <f t="shared" ref="T11:T44" si="2">P11+Q11+R11</f>
        <v>149050.09999999998</v>
      </c>
      <c r="U11" s="37">
        <f>T11/S11</f>
        <v>104.37682072829131</v>
      </c>
    </row>
    <row r="12" spans="1:21" ht="13.5" customHeight="1" x14ac:dyDescent="0.3">
      <c r="A12" s="19"/>
      <c r="C12" s="31">
        <v>2</v>
      </c>
      <c r="D12" s="1" t="s">
        <v>12</v>
      </c>
      <c r="E12" s="20">
        <v>185.1</v>
      </c>
      <c r="F12" s="20">
        <v>123.6</v>
      </c>
      <c r="G12" s="20">
        <v>109.8</v>
      </c>
      <c r="I12" s="20">
        <f t="shared" ref="I12:I44" si="3">U12</f>
        <v>158.46790035587188</v>
      </c>
      <c r="J12" s="45">
        <f>(I12/'AAU 15-16'!I12)-1</f>
        <v>3.5516107808199804E-2</v>
      </c>
      <c r="K12" s="18"/>
      <c r="L12" s="20"/>
      <c r="M12" s="38">
        <f>623+229</f>
        <v>852</v>
      </c>
      <c r="N12" s="38">
        <f>170+136</f>
        <v>306</v>
      </c>
      <c r="O12" s="38">
        <f>157+90</f>
        <v>247</v>
      </c>
      <c r="P12" s="36">
        <f>E12*M12</f>
        <v>157705.19999999998</v>
      </c>
      <c r="Q12" s="36">
        <f t="shared" si="0"/>
        <v>37821.599999999999</v>
      </c>
      <c r="R12" s="36">
        <f>G12*O12</f>
        <v>27120.6</v>
      </c>
      <c r="S12" s="36">
        <f>M12+N12+O12</f>
        <v>1405</v>
      </c>
      <c r="T12" s="36">
        <f>P12+Q12+R12</f>
        <v>222647.4</v>
      </c>
      <c r="U12" s="37">
        <f t="shared" ref="U12:U44" si="4">T12/S12</f>
        <v>158.46790035587188</v>
      </c>
    </row>
    <row r="13" spans="1:21" ht="13.5" customHeight="1" x14ac:dyDescent="0.3">
      <c r="A13" s="19"/>
      <c r="C13" s="31">
        <v>3</v>
      </c>
      <c r="D13" s="1" t="s">
        <v>13</v>
      </c>
      <c r="E13" s="20">
        <v>160.1</v>
      </c>
      <c r="F13" s="20">
        <v>110.8</v>
      </c>
      <c r="G13" s="20">
        <v>92.4</v>
      </c>
      <c r="I13" s="20">
        <f t="shared" si="3"/>
        <v>135.57749077490774</v>
      </c>
      <c r="J13" s="45">
        <f>(I13/'AAU 15-16'!I13)-1</f>
        <v>4.0724684867144978E-2</v>
      </c>
      <c r="K13" s="18"/>
      <c r="L13" s="20"/>
      <c r="M13" s="38">
        <f>555+232</f>
        <v>787</v>
      </c>
      <c r="N13" s="38">
        <f>150+134</f>
        <v>284</v>
      </c>
      <c r="O13" s="38">
        <f>154+130</f>
        <v>284</v>
      </c>
      <c r="P13" s="36">
        <f t="shared" si="0"/>
        <v>125998.7</v>
      </c>
      <c r="Q13" s="36">
        <f t="shared" si="0"/>
        <v>31467.200000000001</v>
      </c>
      <c r="R13" s="36">
        <f t="shared" si="0"/>
        <v>26241.600000000002</v>
      </c>
      <c r="S13" s="36">
        <f t="shared" si="1"/>
        <v>1355</v>
      </c>
      <c r="T13" s="36">
        <f t="shared" si="2"/>
        <v>183707.5</v>
      </c>
      <c r="U13" s="37">
        <f t="shared" si="4"/>
        <v>135.57749077490774</v>
      </c>
    </row>
    <row r="14" spans="1:21" ht="13.5" customHeight="1" x14ac:dyDescent="0.3">
      <c r="A14" s="19"/>
      <c r="C14" s="31">
        <v>4</v>
      </c>
      <c r="D14" s="1" t="s">
        <v>14</v>
      </c>
      <c r="E14" s="20">
        <v>165.7</v>
      </c>
      <c r="F14" s="20">
        <v>109.2</v>
      </c>
      <c r="G14" s="20">
        <v>95.3</v>
      </c>
      <c r="I14" s="20">
        <f t="shared" si="3"/>
        <v>138.9436419125127</v>
      </c>
      <c r="J14" s="45">
        <f>(I14/'AAU 15-16'!I14)-1</f>
        <v>5.0320296144998E-2</v>
      </c>
      <c r="K14" s="18"/>
      <c r="L14" s="20"/>
      <c r="M14" s="38">
        <f>406+157</f>
        <v>563</v>
      </c>
      <c r="N14" s="38">
        <f>126+109</f>
        <v>235</v>
      </c>
      <c r="O14" s="38">
        <f>100+85</f>
        <v>185</v>
      </c>
      <c r="P14" s="36">
        <f t="shared" si="0"/>
        <v>93289.099999999991</v>
      </c>
      <c r="Q14" s="36">
        <f t="shared" si="0"/>
        <v>25662</v>
      </c>
      <c r="R14" s="36">
        <f t="shared" si="0"/>
        <v>17630.5</v>
      </c>
      <c r="S14" s="36">
        <f t="shared" si="1"/>
        <v>983</v>
      </c>
      <c r="T14" s="36">
        <f t="shared" si="2"/>
        <v>136581.59999999998</v>
      </c>
      <c r="U14" s="37">
        <f t="shared" si="4"/>
        <v>138.9436419125127</v>
      </c>
    </row>
    <row r="15" spans="1:21" ht="13.5" customHeight="1" x14ac:dyDescent="0.3">
      <c r="A15" s="19"/>
      <c r="C15" s="31">
        <v>5</v>
      </c>
      <c r="D15" s="1" t="s">
        <v>15</v>
      </c>
      <c r="E15" s="20">
        <v>195</v>
      </c>
      <c r="F15" s="20">
        <v>129</v>
      </c>
      <c r="G15" s="20">
        <v>101.4</v>
      </c>
      <c r="I15" s="20">
        <f t="shared" si="3"/>
        <v>166.3207100591716</v>
      </c>
      <c r="J15" s="45">
        <f>(I15/'AAU 15-16'!I15)-1</f>
        <v>2.9563159350002755E-2</v>
      </c>
      <c r="K15" s="18"/>
      <c r="L15" s="20"/>
      <c r="M15" s="38">
        <f>679+299</f>
        <v>978</v>
      </c>
      <c r="N15" s="38">
        <f>145+116</f>
        <v>261</v>
      </c>
      <c r="O15" s="38">
        <f>172+110</f>
        <v>282</v>
      </c>
      <c r="P15" s="36">
        <f t="shared" si="0"/>
        <v>190710</v>
      </c>
      <c r="Q15" s="36">
        <f t="shared" si="0"/>
        <v>33669</v>
      </c>
      <c r="R15" s="36">
        <f t="shared" si="0"/>
        <v>28594.800000000003</v>
      </c>
      <c r="S15" s="36">
        <f t="shared" si="1"/>
        <v>1521</v>
      </c>
      <c r="T15" s="36">
        <f t="shared" si="2"/>
        <v>252973.8</v>
      </c>
      <c r="U15" s="37">
        <f t="shared" si="4"/>
        <v>166.3207100591716</v>
      </c>
    </row>
    <row r="16" spans="1:21" ht="13.5" customHeight="1" x14ac:dyDescent="0.3">
      <c r="A16" s="19"/>
      <c r="C16" s="31">
        <v>6</v>
      </c>
      <c r="D16" s="1" t="s">
        <v>16</v>
      </c>
      <c r="E16" s="20">
        <v>164.2</v>
      </c>
      <c r="F16" s="20">
        <v>112.3</v>
      </c>
      <c r="G16" s="20">
        <v>98.1</v>
      </c>
      <c r="I16" s="20">
        <f t="shared" si="3"/>
        <v>139.81486486486486</v>
      </c>
      <c r="J16" s="45">
        <f>(I16/'AAU 15-16'!I16)-1</f>
        <v>2.0870938282276486E-2</v>
      </c>
      <c r="K16" s="18"/>
      <c r="L16" s="20"/>
      <c r="M16" s="38">
        <f>455+110</f>
        <v>565</v>
      </c>
      <c r="N16" s="38">
        <f>126+70</f>
        <v>196</v>
      </c>
      <c r="O16" s="38">
        <f>114+87</f>
        <v>201</v>
      </c>
      <c r="P16" s="36">
        <f t="shared" si="0"/>
        <v>92773</v>
      </c>
      <c r="Q16" s="36">
        <f t="shared" si="0"/>
        <v>22010.799999999999</v>
      </c>
      <c r="R16" s="36">
        <f t="shared" si="0"/>
        <v>19718.099999999999</v>
      </c>
      <c r="S16" s="36">
        <f t="shared" si="1"/>
        <v>962</v>
      </c>
      <c r="T16" s="36">
        <f t="shared" si="2"/>
        <v>134501.9</v>
      </c>
      <c r="U16" s="37">
        <f t="shared" si="4"/>
        <v>139.81486486486486</v>
      </c>
    </row>
    <row r="17" spans="1:21" ht="13.5" customHeight="1" x14ac:dyDescent="0.3">
      <c r="A17" s="19"/>
      <c r="C17" s="31">
        <v>7</v>
      </c>
      <c r="D17" s="1" t="s">
        <v>17</v>
      </c>
      <c r="E17" s="20">
        <v>169.6</v>
      </c>
      <c r="F17" s="20">
        <v>103.4</v>
      </c>
      <c r="G17" s="20">
        <v>88.3</v>
      </c>
      <c r="I17" s="20">
        <f t="shared" si="3"/>
        <v>142.80951219512193</v>
      </c>
      <c r="J17" s="45">
        <f>(I17/'AAU 15-16'!I17)-1</f>
        <v>3.5428846815455994E-2</v>
      </c>
      <c r="K17" s="18"/>
      <c r="L17" s="20"/>
      <c r="M17" s="38">
        <f>369+152</f>
        <v>521</v>
      </c>
      <c r="N17" s="38">
        <f>87+68</f>
        <v>155</v>
      </c>
      <c r="O17" s="38">
        <f>78+66</f>
        <v>144</v>
      </c>
      <c r="P17" s="36">
        <f t="shared" si="0"/>
        <v>88361.599999999991</v>
      </c>
      <c r="Q17" s="36">
        <f t="shared" si="0"/>
        <v>16027</v>
      </c>
      <c r="R17" s="36">
        <f t="shared" si="0"/>
        <v>12715.199999999999</v>
      </c>
      <c r="S17" s="36">
        <f t="shared" si="1"/>
        <v>820</v>
      </c>
      <c r="T17" s="36">
        <f t="shared" si="2"/>
        <v>117103.79999999999</v>
      </c>
      <c r="U17" s="37">
        <f t="shared" si="4"/>
        <v>142.80951219512193</v>
      </c>
    </row>
    <row r="18" spans="1:21" ht="13.5" customHeight="1" x14ac:dyDescent="0.3">
      <c r="A18" s="19"/>
      <c r="C18" s="31">
        <v>8</v>
      </c>
      <c r="D18" s="1" t="s">
        <v>18</v>
      </c>
      <c r="E18" s="20">
        <v>139.6</v>
      </c>
      <c r="F18" s="20">
        <v>99.5</v>
      </c>
      <c r="G18" s="20">
        <v>92.6</v>
      </c>
      <c r="I18" s="20">
        <f t="shared" si="3"/>
        <v>114.16184560780833</v>
      </c>
      <c r="J18" s="45">
        <f>(I18/'AAU 15-16'!I18)-1</f>
        <v>3.5466614973458821E-2</v>
      </c>
      <c r="K18" s="18"/>
      <c r="L18" s="20"/>
      <c r="M18" s="38">
        <f>349+114</f>
        <v>463</v>
      </c>
      <c r="N18" s="38">
        <f>216+152</f>
        <v>368</v>
      </c>
      <c r="O18" s="39">
        <f>182+114</f>
        <v>296</v>
      </c>
      <c r="P18" s="36">
        <f t="shared" si="0"/>
        <v>64634.799999999996</v>
      </c>
      <c r="Q18" s="36">
        <f t="shared" si="0"/>
        <v>36616</v>
      </c>
      <c r="R18" s="36">
        <f t="shared" si="0"/>
        <v>27409.599999999999</v>
      </c>
      <c r="S18" s="36">
        <f t="shared" si="1"/>
        <v>1127</v>
      </c>
      <c r="T18" s="36">
        <f t="shared" si="2"/>
        <v>128660.4</v>
      </c>
      <c r="U18" s="37">
        <f t="shared" si="4"/>
        <v>114.16184560780833</v>
      </c>
    </row>
    <row r="19" spans="1:21" ht="13.5" customHeight="1" x14ac:dyDescent="0.3">
      <c r="A19" s="19"/>
      <c r="C19" s="31">
        <v>9</v>
      </c>
      <c r="D19" s="1" t="s">
        <v>19</v>
      </c>
      <c r="E19" s="20">
        <v>137.5</v>
      </c>
      <c r="F19" s="20">
        <v>91.6</v>
      </c>
      <c r="G19" s="20">
        <v>80.7</v>
      </c>
      <c r="I19" s="20">
        <f t="shared" si="3"/>
        <v>108.07770232031693</v>
      </c>
      <c r="J19" s="45">
        <f>(I19/'AAU 15-16'!I19)-1</f>
        <v>1.8369080647818725E-2</v>
      </c>
      <c r="K19" s="18"/>
      <c r="L19" s="20"/>
      <c r="M19" s="38">
        <f>564+181</f>
        <v>745</v>
      </c>
      <c r="N19" s="38">
        <f>343+213</f>
        <v>556</v>
      </c>
      <c r="O19" s="38">
        <f>231+235</f>
        <v>466</v>
      </c>
      <c r="P19" s="36">
        <f t="shared" si="0"/>
        <v>102437.5</v>
      </c>
      <c r="Q19" s="36">
        <f t="shared" si="0"/>
        <v>50929.599999999999</v>
      </c>
      <c r="R19" s="36">
        <f t="shared" si="0"/>
        <v>37606.200000000004</v>
      </c>
      <c r="S19" s="36">
        <f t="shared" si="1"/>
        <v>1767</v>
      </c>
      <c r="T19" s="36">
        <f t="shared" si="2"/>
        <v>190973.30000000002</v>
      </c>
      <c r="U19" s="37">
        <f t="shared" si="4"/>
        <v>108.07770232031693</v>
      </c>
    </row>
    <row r="20" spans="1:21" ht="13.5" customHeight="1" x14ac:dyDescent="0.3">
      <c r="A20" s="19"/>
      <c r="C20" s="31">
        <v>10</v>
      </c>
      <c r="D20" s="1" t="s">
        <v>20</v>
      </c>
      <c r="E20" s="20">
        <v>162.1</v>
      </c>
      <c r="F20" s="20">
        <v>107.7</v>
      </c>
      <c r="G20" s="20">
        <v>103.1</v>
      </c>
      <c r="I20" s="20">
        <f t="shared" si="3"/>
        <v>134.42000000000002</v>
      </c>
      <c r="J20" s="45">
        <f>(I20/'AAU 15-16'!I20)-1</f>
        <v>5.0399497033362328E-2</v>
      </c>
      <c r="K20" s="18"/>
      <c r="L20" s="20"/>
      <c r="M20" s="38">
        <f>430+83</f>
        <v>513</v>
      </c>
      <c r="N20" s="38">
        <f>229+68</f>
        <v>297</v>
      </c>
      <c r="O20" s="38">
        <f>132+68</f>
        <v>200</v>
      </c>
      <c r="P20" s="36">
        <f t="shared" si="0"/>
        <v>83157.3</v>
      </c>
      <c r="Q20" s="36">
        <f t="shared" si="0"/>
        <v>31986.9</v>
      </c>
      <c r="R20" s="36">
        <f t="shared" si="0"/>
        <v>20620</v>
      </c>
      <c r="S20" s="36">
        <f t="shared" si="1"/>
        <v>1010</v>
      </c>
      <c r="T20" s="36">
        <f t="shared" si="2"/>
        <v>135764.20000000001</v>
      </c>
      <c r="U20" s="37">
        <f t="shared" si="4"/>
        <v>134.42000000000002</v>
      </c>
    </row>
    <row r="21" spans="1:21" ht="13.5" customHeight="1" x14ac:dyDescent="0.3">
      <c r="A21" s="19"/>
      <c r="C21" s="31">
        <v>11</v>
      </c>
      <c r="D21" s="1" t="s">
        <v>21</v>
      </c>
      <c r="E21" s="20">
        <v>147.69999999999999</v>
      </c>
      <c r="F21" s="20">
        <v>99.5</v>
      </c>
      <c r="G21" s="20">
        <v>92.2</v>
      </c>
      <c r="I21" s="20">
        <f t="shared" si="3"/>
        <v>118.99765155652649</v>
      </c>
      <c r="J21" s="45">
        <f>(I21/'AAU 15-16'!I21)-1</f>
        <v>7.0372216931069431E-5</v>
      </c>
      <c r="K21" s="18"/>
      <c r="L21" s="20"/>
      <c r="M21" s="38">
        <f>613+204</f>
        <v>817</v>
      </c>
      <c r="N21" s="38">
        <f>310+200</f>
        <v>510</v>
      </c>
      <c r="O21" s="38">
        <f>289+215</f>
        <v>504</v>
      </c>
      <c r="P21" s="36">
        <f t="shared" si="0"/>
        <v>120670.9</v>
      </c>
      <c r="Q21" s="36">
        <f t="shared" si="0"/>
        <v>50745</v>
      </c>
      <c r="R21" s="36">
        <f t="shared" si="0"/>
        <v>46468.800000000003</v>
      </c>
      <c r="S21" s="36">
        <f t="shared" si="1"/>
        <v>1831</v>
      </c>
      <c r="T21" s="36">
        <f t="shared" si="2"/>
        <v>217884.7</v>
      </c>
      <c r="U21" s="37">
        <f t="shared" si="4"/>
        <v>118.99765155652649</v>
      </c>
    </row>
    <row r="22" spans="1:21" ht="13.5" customHeight="1" x14ac:dyDescent="0.3">
      <c r="A22" s="19"/>
      <c r="C22" s="31">
        <v>12</v>
      </c>
      <c r="D22" s="1" t="s">
        <v>22</v>
      </c>
      <c r="E22" s="20">
        <v>140</v>
      </c>
      <c r="F22" s="20">
        <v>95.7</v>
      </c>
      <c r="G22" s="20">
        <v>96.3</v>
      </c>
      <c r="I22" s="20">
        <f t="shared" si="3"/>
        <v>115.33507653061224</v>
      </c>
      <c r="J22" s="45">
        <f>(I22/'AAU 15-16'!I22)-1</f>
        <v>1.7080820190376489E-2</v>
      </c>
      <c r="K22" s="18"/>
      <c r="L22" s="20"/>
      <c r="M22" s="38">
        <f>510+180</f>
        <v>690</v>
      </c>
      <c r="N22" s="38">
        <f>283+227</f>
        <v>510</v>
      </c>
      <c r="O22" s="38">
        <f>207+161</f>
        <v>368</v>
      </c>
      <c r="P22" s="36">
        <f t="shared" si="0"/>
        <v>96600</v>
      </c>
      <c r="Q22" s="36">
        <f t="shared" si="0"/>
        <v>48807</v>
      </c>
      <c r="R22" s="36">
        <f t="shared" si="0"/>
        <v>35438.400000000001</v>
      </c>
      <c r="S22" s="36">
        <f t="shared" si="1"/>
        <v>1568</v>
      </c>
      <c r="T22" s="36">
        <f t="shared" si="2"/>
        <v>180845.4</v>
      </c>
      <c r="U22" s="37">
        <f t="shared" si="4"/>
        <v>115.33507653061224</v>
      </c>
    </row>
    <row r="23" spans="1:21" ht="13.5" customHeight="1" x14ac:dyDescent="0.3">
      <c r="A23" s="19"/>
      <c r="C23" s="31">
        <v>13</v>
      </c>
      <c r="D23" s="1" t="s">
        <v>23</v>
      </c>
      <c r="E23" s="20">
        <v>138.30000000000001</v>
      </c>
      <c r="F23" s="20">
        <v>96.1</v>
      </c>
      <c r="G23" s="20">
        <v>84.3</v>
      </c>
      <c r="I23" s="20">
        <f t="shared" si="3"/>
        <v>110.39773519163764</v>
      </c>
      <c r="J23" s="45">
        <f>(I23/'AAU 15-16'!I23)-1</f>
        <v>1.8734132781514923E-2</v>
      </c>
      <c r="K23" s="18"/>
      <c r="L23" s="20"/>
      <c r="M23" s="38">
        <f>343+129</f>
        <v>472</v>
      </c>
      <c r="N23" s="38">
        <f>204+175</f>
        <v>379</v>
      </c>
      <c r="O23" s="38">
        <f>164+133</f>
        <v>297</v>
      </c>
      <c r="P23" s="36">
        <f t="shared" si="0"/>
        <v>65277.600000000006</v>
      </c>
      <c r="Q23" s="36">
        <f t="shared" si="0"/>
        <v>36421.9</v>
      </c>
      <c r="R23" s="36">
        <f t="shared" si="0"/>
        <v>25037.1</v>
      </c>
      <c r="S23" s="36">
        <f t="shared" si="1"/>
        <v>1148</v>
      </c>
      <c r="T23" s="36">
        <f t="shared" si="2"/>
        <v>126736.6</v>
      </c>
      <c r="U23" s="37">
        <f t="shared" si="4"/>
        <v>110.39773519163764</v>
      </c>
    </row>
    <row r="24" spans="1:21" ht="13.5" customHeight="1" x14ac:dyDescent="0.3">
      <c r="A24" s="19"/>
      <c r="C24" s="31">
        <v>14</v>
      </c>
      <c r="D24" s="1" t="s">
        <v>24</v>
      </c>
      <c r="E24" s="20">
        <v>131</v>
      </c>
      <c r="F24" s="20">
        <v>97.6</v>
      </c>
      <c r="G24" s="20">
        <v>83.8</v>
      </c>
      <c r="I24" s="20">
        <f t="shared" si="3"/>
        <v>106.65822393822394</v>
      </c>
      <c r="J24" s="45">
        <f>(I24/'AAU 15-16'!I24)-1</f>
        <v>3.7211593708928792E-2</v>
      </c>
      <c r="K24" s="18"/>
      <c r="L24" s="20"/>
      <c r="M24" s="38">
        <f>402+112</f>
        <v>514</v>
      </c>
      <c r="N24" s="38">
        <f>257+130</f>
        <v>387</v>
      </c>
      <c r="O24" s="38">
        <f>213+181</f>
        <v>394</v>
      </c>
      <c r="P24" s="36">
        <f t="shared" si="0"/>
        <v>67334</v>
      </c>
      <c r="Q24" s="36">
        <f t="shared" si="0"/>
        <v>37771.199999999997</v>
      </c>
      <c r="R24" s="36">
        <f t="shared" si="0"/>
        <v>33017.199999999997</v>
      </c>
      <c r="S24" s="36">
        <f t="shared" si="1"/>
        <v>1295</v>
      </c>
      <c r="T24" s="36">
        <f t="shared" si="2"/>
        <v>138122.4</v>
      </c>
      <c r="U24" s="37">
        <f t="shared" si="4"/>
        <v>106.65822393822394</v>
      </c>
    </row>
    <row r="25" spans="1:21" ht="13.5" customHeight="1" x14ac:dyDescent="0.3">
      <c r="A25" s="19"/>
      <c r="C25" s="31">
        <v>15</v>
      </c>
      <c r="D25" s="1" t="s">
        <v>25</v>
      </c>
      <c r="E25" s="20">
        <v>130.4</v>
      </c>
      <c r="F25" s="20">
        <v>84.5</v>
      </c>
      <c r="G25" s="20">
        <v>79.400000000000006</v>
      </c>
      <c r="I25" s="20">
        <f t="shared" si="3"/>
        <v>102.94302325581397</v>
      </c>
      <c r="J25" s="45">
        <f>(I25/'AAU 15-16'!I25)-1</f>
        <v>3.8592997291206466E-2</v>
      </c>
      <c r="K25" s="18"/>
      <c r="L25" s="20"/>
      <c r="M25" s="38">
        <f>330+108</f>
        <v>438</v>
      </c>
      <c r="N25" s="38">
        <f>218+166</f>
        <v>384</v>
      </c>
      <c r="O25" s="38">
        <f>132+78</f>
        <v>210</v>
      </c>
      <c r="P25" s="36">
        <f t="shared" si="0"/>
        <v>57115.200000000004</v>
      </c>
      <c r="Q25" s="36">
        <f t="shared" si="0"/>
        <v>32448</v>
      </c>
      <c r="R25" s="36">
        <f t="shared" si="0"/>
        <v>16674</v>
      </c>
      <c r="S25" s="36">
        <f t="shared" si="1"/>
        <v>1032</v>
      </c>
      <c r="T25" s="36">
        <f t="shared" si="2"/>
        <v>106237.20000000001</v>
      </c>
      <c r="U25" s="37">
        <f t="shared" si="4"/>
        <v>102.94302325581397</v>
      </c>
    </row>
    <row r="26" spans="1:21" ht="13.5" customHeight="1" x14ac:dyDescent="0.3">
      <c r="A26" s="19"/>
      <c r="C26" s="31">
        <v>16</v>
      </c>
      <c r="D26" s="1" t="s">
        <v>26</v>
      </c>
      <c r="E26" s="20">
        <v>160.1</v>
      </c>
      <c r="F26" s="20">
        <v>110.2</v>
      </c>
      <c r="G26" s="20">
        <v>95.7</v>
      </c>
      <c r="I26" s="20">
        <f t="shared" si="3"/>
        <v>131.27909836065575</v>
      </c>
      <c r="J26" s="45">
        <f>(I26/'AAU 15-16'!I26)-1</f>
        <v>5.740726380342398E-2</v>
      </c>
      <c r="K26" s="18"/>
      <c r="L26" s="20"/>
      <c r="M26" s="38">
        <f>542+170</f>
        <v>712</v>
      </c>
      <c r="N26" s="38">
        <f>262+168</f>
        <v>430</v>
      </c>
      <c r="O26" s="38">
        <f>157+165</f>
        <v>322</v>
      </c>
      <c r="P26" s="36">
        <f t="shared" si="0"/>
        <v>113991.2</v>
      </c>
      <c r="Q26" s="36">
        <f t="shared" si="0"/>
        <v>47386</v>
      </c>
      <c r="R26" s="36">
        <f t="shared" si="0"/>
        <v>30815.4</v>
      </c>
      <c r="S26" s="36">
        <f t="shared" si="1"/>
        <v>1464</v>
      </c>
      <c r="T26" s="36">
        <f t="shared" si="2"/>
        <v>192192.6</v>
      </c>
      <c r="U26" s="37">
        <f t="shared" si="4"/>
        <v>131.27909836065575</v>
      </c>
    </row>
    <row r="27" spans="1:21" ht="13.5" customHeight="1" x14ac:dyDescent="0.3">
      <c r="A27" s="19"/>
      <c r="C27" s="31">
        <v>17</v>
      </c>
      <c r="D27" s="1" t="s">
        <v>27</v>
      </c>
      <c r="E27" s="20">
        <v>168.2</v>
      </c>
      <c r="F27" s="20">
        <v>111.4</v>
      </c>
      <c r="G27" s="20">
        <v>93.1</v>
      </c>
      <c r="I27" s="20">
        <f t="shared" si="3"/>
        <v>134.53503296703295</v>
      </c>
      <c r="J27" s="45">
        <f>(I27/'AAU 15-16'!I27)-1</f>
        <v>1.593268463834896E-2</v>
      </c>
      <c r="K27" s="18"/>
      <c r="L27" s="20"/>
      <c r="M27" s="38">
        <f>804+314</f>
        <v>1118</v>
      </c>
      <c r="N27" s="38">
        <f>315+248</f>
        <v>563</v>
      </c>
      <c r="O27" s="38">
        <f>309+285</f>
        <v>594</v>
      </c>
      <c r="P27" s="36">
        <f t="shared" si="0"/>
        <v>188047.59999999998</v>
      </c>
      <c r="Q27" s="36">
        <f t="shared" si="0"/>
        <v>62718.200000000004</v>
      </c>
      <c r="R27" s="36">
        <f t="shared" si="0"/>
        <v>55301.399999999994</v>
      </c>
      <c r="S27" s="36">
        <f t="shared" si="1"/>
        <v>2275</v>
      </c>
      <c r="T27" s="36">
        <f t="shared" si="2"/>
        <v>306067.19999999995</v>
      </c>
      <c r="U27" s="37">
        <f t="shared" si="4"/>
        <v>134.53503296703295</v>
      </c>
    </row>
    <row r="28" spans="1:21" ht="13.5" customHeight="1" x14ac:dyDescent="0.3">
      <c r="A28" s="19"/>
      <c r="C28" s="31">
        <v>18</v>
      </c>
      <c r="D28" s="1" t="s">
        <v>28</v>
      </c>
      <c r="E28" s="20">
        <v>150.1</v>
      </c>
      <c r="F28" s="20">
        <v>99.6</v>
      </c>
      <c r="G28" s="20">
        <v>79.7</v>
      </c>
      <c r="I28" s="20">
        <f t="shared" si="3"/>
        <v>112.69896373056994</v>
      </c>
      <c r="J28" s="45">
        <f>(I28/'AAU 15-16'!I28)-1</f>
        <v>2.1005302495708422E-2</v>
      </c>
      <c r="K28" s="18"/>
      <c r="L28" s="20"/>
      <c r="M28" s="38">
        <f>621+200</f>
        <v>821</v>
      </c>
      <c r="N28" s="38">
        <f>359+257</f>
        <v>616</v>
      </c>
      <c r="O28" s="38">
        <f>346+340</f>
        <v>686</v>
      </c>
      <c r="P28" s="36">
        <f t="shared" si="0"/>
        <v>123232.09999999999</v>
      </c>
      <c r="Q28" s="36">
        <f t="shared" si="0"/>
        <v>61353.599999999999</v>
      </c>
      <c r="R28" s="36">
        <f t="shared" si="0"/>
        <v>54674.200000000004</v>
      </c>
      <c r="S28" s="36">
        <f t="shared" si="1"/>
        <v>2123</v>
      </c>
      <c r="T28" s="36">
        <f t="shared" si="2"/>
        <v>239259.9</v>
      </c>
      <c r="U28" s="37">
        <f t="shared" si="4"/>
        <v>112.69896373056994</v>
      </c>
    </row>
    <row r="29" spans="1:21" ht="13.5" customHeight="1" x14ac:dyDescent="0.3">
      <c r="A29" s="19"/>
      <c r="C29" s="31">
        <v>19</v>
      </c>
      <c r="D29" s="1" t="s">
        <v>29</v>
      </c>
      <c r="E29" s="20">
        <v>142</v>
      </c>
      <c r="F29" s="20">
        <v>99.3</v>
      </c>
      <c r="G29" s="20">
        <v>87.5</v>
      </c>
      <c r="I29" s="20">
        <f t="shared" si="3"/>
        <v>115.18278335724534</v>
      </c>
      <c r="J29" s="45">
        <f>(I29/'AAU 15-16'!I29)-1</f>
        <v>2.7141907837785695E-2</v>
      </c>
      <c r="K29" s="18"/>
      <c r="L29" s="20"/>
      <c r="M29" s="38">
        <f>663+264</f>
        <v>927</v>
      </c>
      <c r="N29" s="38">
        <f>351+273</f>
        <v>624</v>
      </c>
      <c r="O29" s="38">
        <f>286+254</f>
        <v>540</v>
      </c>
      <c r="P29" s="36">
        <f t="shared" si="0"/>
        <v>131634</v>
      </c>
      <c r="Q29" s="36">
        <f t="shared" si="0"/>
        <v>61963.199999999997</v>
      </c>
      <c r="R29" s="36">
        <f t="shared" si="0"/>
        <v>47250</v>
      </c>
      <c r="S29" s="36">
        <f t="shared" si="1"/>
        <v>2091</v>
      </c>
      <c r="T29" s="36">
        <f t="shared" si="2"/>
        <v>240847.2</v>
      </c>
      <c r="U29" s="37">
        <f t="shared" si="4"/>
        <v>115.18278335724534</v>
      </c>
    </row>
    <row r="30" spans="1:21" ht="13.5" customHeight="1" x14ac:dyDescent="0.3">
      <c r="A30" s="19"/>
      <c r="C30" s="31">
        <v>20</v>
      </c>
      <c r="D30" s="24" t="s">
        <v>30</v>
      </c>
      <c r="E30" s="25">
        <v>122.3</v>
      </c>
      <c r="F30" s="25">
        <v>81.3</v>
      </c>
      <c r="G30" s="25">
        <v>69</v>
      </c>
      <c r="H30" s="24"/>
      <c r="I30" s="25">
        <f t="shared" si="3"/>
        <v>91.29745114698386</v>
      </c>
      <c r="J30" s="47">
        <f>(I30/'AAU 15-16'!I30)-1</f>
        <v>7.135165766193996E-3</v>
      </c>
      <c r="K30" s="18"/>
      <c r="L30" s="20"/>
      <c r="M30" s="38">
        <f>283+115</f>
        <v>398</v>
      </c>
      <c r="N30" s="38">
        <f>230+179</f>
        <v>409</v>
      </c>
      <c r="O30" s="38">
        <f>183+187</f>
        <v>370</v>
      </c>
      <c r="P30" s="36">
        <f t="shared" si="0"/>
        <v>48675.4</v>
      </c>
      <c r="Q30" s="36">
        <f t="shared" si="0"/>
        <v>33251.699999999997</v>
      </c>
      <c r="R30" s="36">
        <f t="shared" si="0"/>
        <v>25530</v>
      </c>
      <c r="S30" s="36">
        <f t="shared" si="1"/>
        <v>1177</v>
      </c>
      <c r="T30" s="36">
        <f t="shared" si="2"/>
        <v>107457.1</v>
      </c>
      <c r="U30" s="37">
        <f t="shared" si="4"/>
        <v>91.29745114698386</v>
      </c>
    </row>
    <row r="31" spans="1:21" ht="13.5" customHeight="1" x14ac:dyDescent="0.3">
      <c r="A31" s="19"/>
      <c r="C31" s="31">
        <v>21</v>
      </c>
      <c r="D31" s="1" t="s">
        <v>45</v>
      </c>
      <c r="E31" s="20">
        <v>155.19999999999999</v>
      </c>
      <c r="F31" s="20">
        <v>104.9</v>
      </c>
      <c r="G31" s="20">
        <v>91.2</v>
      </c>
      <c r="I31" s="20">
        <f t="shared" si="3"/>
        <v>124.4086956521739</v>
      </c>
      <c r="J31" s="45">
        <f>(I31/'AAU 15-16'!I31)-1</f>
        <v>4.9264596772706115E-2</v>
      </c>
      <c r="K31" s="18"/>
      <c r="L31" s="20"/>
      <c r="M31" s="38">
        <f>410+194</f>
        <v>604</v>
      </c>
      <c r="N31" s="38">
        <f>224+188</f>
        <v>412</v>
      </c>
      <c r="O31" s="38">
        <f>160+158</f>
        <v>318</v>
      </c>
      <c r="P31" s="36">
        <f t="shared" si="0"/>
        <v>93740.799999999988</v>
      </c>
      <c r="Q31" s="36">
        <f t="shared" si="0"/>
        <v>43218.8</v>
      </c>
      <c r="R31" s="36">
        <f t="shared" si="0"/>
        <v>29001.600000000002</v>
      </c>
      <c r="S31" s="36">
        <f t="shared" si="1"/>
        <v>1334</v>
      </c>
      <c r="T31" s="36">
        <f t="shared" si="2"/>
        <v>165961.19999999998</v>
      </c>
      <c r="U31" s="37">
        <f t="shared" si="4"/>
        <v>124.4086956521739</v>
      </c>
    </row>
    <row r="32" spans="1:21" ht="13.5" customHeight="1" x14ac:dyDescent="0.3">
      <c r="A32" s="19"/>
      <c r="C32" s="31">
        <v>22</v>
      </c>
      <c r="D32" s="1" t="s">
        <v>31</v>
      </c>
      <c r="E32" s="20">
        <v>149.5</v>
      </c>
      <c r="F32" s="20">
        <v>99.8</v>
      </c>
      <c r="G32" s="20">
        <v>87.3</v>
      </c>
      <c r="I32" s="20">
        <f t="shared" si="3"/>
        <v>118.01583590648436</v>
      </c>
      <c r="J32" s="45">
        <f>(I32/'AAU 15-16'!I32)-1</f>
        <v>1.946926211055966E-2</v>
      </c>
      <c r="K32" s="18"/>
      <c r="L32" s="20"/>
      <c r="M32" s="38">
        <f>700+274</f>
        <v>974</v>
      </c>
      <c r="N32" s="38">
        <f>423+301</f>
        <v>724</v>
      </c>
      <c r="O32" s="38">
        <f>284+285</f>
        <v>569</v>
      </c>
      <c r="P32" s="36">
        <f t="shared" si="0"/>
        <v>145613</v>
      </c>
      <c r="Q32" s="36">
        <f t="shared" si="0"/>
        <v>72255.199999999997</v>
      </c>
      <c r="R32" s="36">
        <f t="shared" si="0"/>
        <v>49673.7</v>
      </c>
      <c r="S32" s="36">
        <f t="shared" si="1"/>
        <v>2267</v>
      </c>
      <c r="T32" s="36">
        <f t="shared" si="2"/>
        <v>267541.90000000002</v>
      </c>
      <c r="U32" s="37">
        <f t="shared" si="4"/>
        <v>118.01583590648436</v>
      </c>
    </row>
    <row r="33" spans="1:21" ht="13.5" customHeight="1" x14ac:dyDescent="0.3">
      <c r="A33" s="19"/>
      <c r="C33" s="31">
        <v>23</v>
      </c>
      <c r="D33" s="1" t="s">
        <v>32</v>
      </c>
      <c r="E33" s="20">
        <v>128.9</v>
      </c>
      <c r="F33" s="20">
        <v>94.2</v>
      </c>
      <c r="G33" s="20">
        <v>85.6</v>
      </c>
      <c r="I33" s="20">
        <f t="shared" si="3"/>
        <v>104.99933333333334</v>
      </c>
      <c r="J33" s="45">
        <f>(I33/'AAU 15-16'!I33)-1</f>
        <v>1.7698548922381319E-2</v>
      </c>
      <c r="K33" s="18"/>
      <c r="L33" s="20"/>
      <c r="M33" s="38">
        <f>195+86</f>
        <v>281</v>
      </c>
      <c r="N33" s="38">
        <f>161+116</f>
        <v>277</v>
      </c>
      <c r="O33" s="38">
        <f>106+86</f>
        <v>192</v>
      </c>
      <c r="P33" s="36">
        <f t="shared" si="0"/>
        <v>36220.9</v>
      </c>
      <c r="Q33" s="36">
        <f t="shared" si="0"/>
        <v>26093.4</v>
      </c>
      <c r="R33" s="36">
        <f t="shared" si="0"/>
        <v>16435.199999999997</v>
      </c>
      <c r="S33" s="36">
        <f t="shared" si="1"/>
        <v>750</v>
      </c>
      <c r="T33" s="36">
        <f t="shared" si="2"/>
        <v>78749.5</v>
      </c>
      <c r="U33" s="37">
        <f t="shared" si="4"/>
        <v>104.99933333333334</v>
      </c>
    </row>
    <row r="34" spans="1:21" ht="13.5" customHeight="1" x14ac:dyDescent="0.3">
      <c r="A34" s="19"/>
      <c r="C34" s="31">
        <v>24</v>
      </c>
      <c r="D34" s="1" t="s">
        <v>33</v>
      </c>
      <c r="E34" s="20">
        <v>154.30000000000001</v>
      </c>
      <c r="F34" s="20">
        <v>104.8</v>
      </c>
      <c r="G34" s="20">
        <v>89.6</v>
      </c>
      <c r="I34" s="20">
        <f t="shared" si="3"/>
        <v>124.72764185320145</v>
      </c>
      <c r="J34" s="45">
        <f>(I34/'AAU 15-16'!I34)-1</f>
        <v>2.4066645401541464E-2</v>
      </c>
      <c r="K34" s="18"/>
      <c r="L34" s="20"/>
      <c r="M34" s="38">
        <f>707+203</f>
        <v>910</v>
      </c>
      <c r="N34" s="38">
        <f>343+223</f>
        <v>566</v>
      </c>
      <c r="O34" s="38">
        <f>257+188</f>
        <v>445</v>
      </c>
      <c r="P34" s="36">
        <f t="shared" si="0"/>
        <v>140413</v>
      </c>
      <c r="Q34" s="36">
        <f t="shared" si="0"/>
        <v>59316.799999999996</v>
      </c>
      <c r="R34" s="36">
        <f t="shared" si="0"/>
        <v>39872</v>
      </c>
      <c r="S34" s="36">
        <f t="shared" si="1"/>
        <v>1921</v>
      </c>
      <c r="T34" s="36">
        <f t="shared" si="2"/>
        <v>239601.8</v>
      </c>
      <c r="U34" s="37">
        <f t="shared" si="4"/>
        <v>124.72764185320145</v>
      </c>
    </row>
    <row r="35" spans="1:21" ht="13.5" customHeight="1" x14ac:dyDescent="0.3">
      <c r="A35" s="19"/>
      <c r="C35" s="31">
        <v>25</v>
      </c>
      <c r="D35" s="1" t="s">
        <v>34</v>
      </c>
      <c r="E35" s="20">
        <v>149.4</v>
      </c>
      <c r="F35" s="20">
        <v>99.9</v>
      </c>
      <c r="G35" s="20">
        <v>81.5</v>
      </c>
      <c r="I35" s="20">
        <f t="shared" si="3"/>
        <v>108.58311688311689</v>
      </c>
      <c r="J35" s="45">
        <f>(I35/'AAU 15-16'!I35)-1</f>
        <v>1.660937584519484E-2</v>
      </c>
      <c r="K35" s="18"/>
      <c r="L35" s="20"/>
      <c r="M35" s="38">
        <f>344+126</f>
        <v>470</v>
      </c>
      <c r="N35" s="38">
        <f>236+183</f>
        <v>419</v>
      </c>
      <c r="O35" s="38">
        <f>278+296</f>
        <v>574</v>
      </c>
      <c r="P35" s="36">
        <f t="shared" si="0"/>
        <v>70218</v>
      </c>
      <c r="Q35" s="36">
        <f t="shared" si="0"/>
        <v>41858.100000000006</v>
      </c>
      <c r="R35" s="36">
        <f t="shared" si="0"/>
        <v>46781</v>
      </c>
      <c r="S35" s="36">
        <f t="shared" si="1"/>
        <v>1463</v>
      </c>
      <c r="T35" s="36">
        <f t="shared" si="2"/>
        <v>158857.1</v>
      </c>
      <c r="U35" s="37">
        <f t="shared" si="4"/>
        <v>108.58311688311689</v>
      </c>
    </row>
    <row r="36" spans="1:21" ht="13.5" customHeight="1" x14ac:dyDescent="0.3">
      <c r="A36" s="19"/>
      <c r="C36" s="31">
        <v>26</v>
      </c>
      <c r="D36" s="1" t="s">
        <v>35</v>
      </c>
      <c r="E36" s="20">
        <v>145.5</v>
      </c>
      <c r="F36" s="20">
        <v>100.8</v>
      </c>
      <c r="G36" s="20">
        <v>89.7</v>
      </c>
      <c r="I36" s="20">
        <f t="shared" si="3"/>
        <v>117.30014648437501</v>
      </c>
      <c r="J36" s="45">
        <f>(I36/'AAU 15-16'!I36)-1</f>
        <v>6.7345929363200163E-2</v>
      </c>
      <c r="K36" s="18"/>
      <c r="L36" s="20"/>
      <c r="M36" s="38">
        <f>721+180</f>
        <v>901</v>
      </c>
      <c r="N36" s="38">
        <f>356+207</f>
        <v>563</v>
      </c>
      <c r="O36" s="38">
        <f>333+251</f>
        <v>584</v>
      </c>
      <c r="P36" s="36">
        <f t="shared" si="0"/>
        <v>131095.5</v>
      </c>
      <c r="Q36" s="36">
        <f t="shared" si="0"/>
        <v>56750.400000000001</v>
      </c>
      <c r="R36" s="36">
        <f t="shared" si="0"/>
        <v>52384.800000000003</v>
      </c>
      <c r="S36" s="36">
        <f t="shared" si="1"/>
        <v>2048</v>
      </c>
      <c r="T36" s="36">
        <f t="shared" si="2"/>
        <v>240230.7</v>
      </c>
      <c r="U36" s="37">
        <f t="shared" si="4"/>
        <v>117.30014648437501</v>
      </c>
    </row>
    <row r="37" spans="1:21" ht="13.5" customHeight="1" x14ac:dyDescent="0.3">
      <c r="A37" s="19"/>
      <c r="C37" s="31">
        <v>27</v>
      </c>
      <c r="D37" s="1" t="s">
        <v>36</v>
      </c>
      <c r="E37" s="20">
        <v>163.5</v>
      </c>
      <c r="F37" s="20">
        <v>108</v>
      </c>
      <c r="G37" s="20">
        <v>86.3</v>
      </c>
      <c r="I37" s="20">
        <f t="shared" si="3"/>
        <v>126.7048898441698</v>
      </c>
      <c r="J37" s="45">
        <f>(I37/'AAU 15-16'!I37)-1</f>
        <v>3.4133810948385079E-2</v>
      </c>
      <c r="K37" s="18"/>
      <c r="L37" s="20"/>
      <c r="M37" s="38">
        <f>597+230</f>
        <v>827</v>
      </c>
      <c r="N37" s="39">
        <f>242+281</f>
        <v>523</v>
      </c>
      <c r="O37" s="38">
        <f>210+301</f>
        <v>511</v>
      </c>
      <c r="P37" s="36">
        <f t="shared" si="0"/>
        <v>135214.5</v>
      </c>
      <c r="Q37" s="36">
        <f t="shared" si="0"/>
        <v>56484</v>
      </c>
      <c r="R37" s="36">
        <f t="shared" si="0"/>
        <v>44099.299999999996</v>
      </c>
      <c r="S37" s="36">
        <f t="shared" si="1"/>
        <v>1861</v>
      </c>
      <c r="T37" s="36">
        <f t="shared" si="2"/>
        <v>235797.8</v>
      </c>
      <c r="U37" s="37">
        <f t="shared" si="4"/>
        <v>126.7048898441698</v>
      </c>
    </row>
    <row r="38" spans="1:21" ht="13.5" customHeight="1" x14ac:dyDescent="0.3">
      <c r="A38" s="19"/>
      <c r="C38" s="31">
        <v>28</v>
      </c>
      <c r="D38" s="1" t="s">
        <v>46</v>
      </c>
      <c r="E38" s="20">
        <v>136.30000000000001</v>
      </c>
      <c r="F38" s="20">
        <v>94.2</v>
      </c>
      <c r="G38" s="20">
        <v>82.3</v>
      </c>
      <c r="I38" s="20">
        <f t="shared" si="3"/>
        <v>103.98632634457611</v>
      </c>
      <c r="J38" s="45">
        <f>(I38/'AAU 15-16'!I38)-1</f>
        <v>-4.5202590460592385E-3</v>
      </c>
      <c r="K38" s="18"/>
      <c r="L38" s="20"/>
      <c r="M38" s="38">
        <f>265+96</f>
        <v>361</v>
      </c>
      <c r="N38" s="38">
        <f>209+152</f>
        <v>361</v>
      </c>
      <c r="O38" s="38">
        <f>209+166</f>
        <v>375</v>
      </c>
      <c r="P38" s="36">
        <f t="shared" si="0"/>
        <v>49204.3</v>
      </c>
      <c r="Q38" s="36">
        <f t="shared" si="0"/>
        <v>34006.200000000004</v>
      </c>
      <c r="R38" s="36">
        <f t="shared" si="0"/>
        <v>30862.5</v>
      </c>
      <c r="S38" s="36">
        <f t="shared" si="1"/>
        <v>1097</v>
      </c>
      <c r="T38" s="36">
        <f t="shared" si="2"/>
        <v>114073</v>
      </c>
      <c r="U38" s="37">
        <f t="shared" si="4"/>
        <v>103.98632634457611</v>
      </c>
    </row>
    <row r="39" spans="1:21" ht="13.5" customHeight="1" x14ac:dyDescent="0.3">
      <c r="A39" s="19"/>
      <c r="C39" s="31">
        <v>29</v>
      </c>
      <c r="D39" s="1" t="s">
        <v>47</v>
      </c>
      <c r="E39" s="20">
        <v>152.4</v>
      </c>
      <c r="F39" s="20">
        <v>104.7</v>
      </c>
      <c r="G39" s="20">
        <v>87.4</v>
      </c>
      <c r="I39" s="20">
        <f t="shared" si="3"/>
        <v>116.53827027027027</v>
      </c>
      <c r="J39" s="45">
        <f>(I39/'AAU 15-16'!I39)-1</f>
        <v>3.4045410724379277E-3</v>
      </c>
      <c r="K39" s="18"/>
      <c r="L39" s="20"/>
      <c r="M39" s="38">
        <f>269+73</f>
        <v>342</v>
      </c>
      <c r="N39" s="38">
        <f>162+111</f>
        <v>273</v>
      </c>
      <c r="O39" s="38">
        <f>169+141</f>
        <v>310</v>
      </c>
      <c r="P39" s="36">
        <f t="shared" si="0"/>
        <v>52120.800000000003</v>
      </c>
      <c r="Q39" s="36">
        <f t="shared" si="0"/>
        <v>28583.100000000002</v>
      </c>
      <c r="R39" s="36">
        <f t="shared" si="0"/>
        <v>27094</v>
      </c>
      <c r="S39" s="36">
        <f t="shared" si="1"/>
        <v>925</v>
      </c>
      <c r="T39" s="36">
        <f t="shared" si="2"/>
        <v>107797.90000000001</v>
      </c>
      <c r="U39" s="37">
        <f t="shared" si="4"/>
        <v>116.53827027027027</v>
      </c>
    </row>
    <row r="40" spans="1:21" ht="13.5" customHeight="1" x14ac:dyDescent="0.3">
      <c r="A40" s="19"/>
      <c r="C40" s="31">
        <v>30</v>
      </c>
      <c r="D40" s="1" t="s">
        <v>48</v>
      </c>
      <c r="E40" s="20"/>
      <c r="F40" s="20"/>
      <c r="G40" s="20"/>
      <c r="I40" s="20"/>
      <c r="J40" s="45"/>
      <c r="K40" s="18"/>
      <c r="L40" s="20"/>
      <c r="M40" s="38"/>
      <c r="N40" s="38"/>
      <c r="O40" s="38"/>
      <c r="P40" s="36">
        <f t="shared" si="0"/>
        <v>0</v>
      </c>
      <c r="Q40" s="36">
        <f t="shared" si="0"/>
        <v>0</v>
      </c>
      <c r="R40" s="36">
        <f t="shared" si="0"/>
        <v>0</v>
      </c>
      <c r="S40" s="36">
        <f t="shared" si="1"/>
        <v>0</v>
      </c>
      <c r="T40" s="36">
        <f t="shared" si="2"/>
        <v>0</v>
      </c>
      <c r="U40" s="37" t="e">
        <f t="shared" si="4"/>
        <v>#DIV/0!</v>
      </c>
    </row>
    <row r="41" spans="1:21" ht="13.5" customHeight="1" x14ac:dyDescent="0.3">
      <c r="A41" s="19"/>
      <c r="C41" s="31">
        <v>31</v>
      </c>
      <c r="D41" s="1" t="s">
        <v>102</v>
      </c>
      <c r="E41" s="20">
        <v>143.4</v>
      </c>
      <c r="F41" s="20">
        <v>99.8</v>
      </c>
      <c r="G41" s="20">
        <v>89.6</v>
      </c>
      <c r="I41" s="20">
        <f t="shared" si="3"/>
        <v>120.08039538714992</v>
      </c>
      <c r="J41" s="45">
        <f>(I41/'AAU 15-16'!I41)-1</f>
        <v>3.8028697938020217E-2</v>
      </c>
      <c r="K41" s="18"/>
      <c r="L41" s="20"/>
      <c r="M41" s="38">
        <f>771+153</f>
        <v>924</v>
      </c>
      <c r="N41" s="38">
        <f>384+184</f>
        <v>568</v>
      </c>
      <c r="O41" s="38">
        <f>200+129</f>
        <v>329</v>
      </c>
      <c r="P41" s="36">
        <f t="shared" si="0"/>
        <v>132501.6</v>
      </c>
      <c r="Q41" s="36">
        <f t="shared" si="0"/>
        <v>56686.400000000001</v>
      </c>
      <c r="R41" s="36">
        <f t="shared" si="0"/>
        <v>29478.399999999998</v>
      </c>
      <c r="S41" s="36">
        <f t="shared" si="1"/>
        <v>1821</v>
      </c>
      <c r="T41" s="36">
        <f t="shared" si="2"/>
        <v>218666.4</v>
      </c>
      <c r="U41" s="37">
        <f t="shared" si="4"/>
        <v>120.08039538714992</v>
      </c>
    </row>
    <row r="42" spans="1:21" ht="13.5" customHeight="1" x14ac:dyDescent="0.3">
      <c r="A42" s="19"/>
      <c r="C42" s="31">
        <v>32</v>
      </c>
      <c r="D42" s="1" t="s">
        <v>38</v>
      </c>
      <c r="E42" s="20">
        <v>172.4</v>
      </c>
      <c r="F42" s="20">
        <v>115.7</v>
      </c>
      <c r="G42" s="20">
        <v>96</v>
      </c>
      <c r="I42" s="20">
        <f t="shared" si="3"/>
        <v>136.27539484621778</v>
      </c>
      <c r="J42" s="45">
        <f>(I42/'AAU 15-16'!I42)-1</f>
        <v>2.0765645880510997E-2</v>
      </c>
      <c r="K42" s="18"/>
      <c r="L42" s="20"/>
      <c r="M42" s="38">
        <f>411+127</f>
        <v>538</v>
      </c>
      <c r="N42" s="38">
        <f>219+154</f>
        <v>373</v>
      </c>
      <c r="O42" s="38">
        <f>147+145</f>
        <v>292</v>
      </c>
      <c r="P42" s="36">
        <f t="shared" si="0"/>
        <v>92751.2</v>
      </c>
      <c r="Q42" s="36">
        <f t="shared" si="0"/>
        <v>43156.1</v>
      </c>
      <c r="R42" s="36">
        <f t="shared" si="0"/>
        <v>28032</v>
      </c>
      <c r="S42" s="36">
        <f t="shared" si="1"/>
        <v>1203</v>
      </c>
      <c r="T42" s="36">
        <f t="shared" si="2"/>
        <v>163939.29999999999</v>
      </c>
      <c r="U42" s="37">
        <f t="shared" si="4"/>
        <v>136.27539484621778</v>
      </c>
    </row>
    <row r="43" spans="1:21" ht="13.5" customHeight="1" x14ac:dyDescent="0.3">
      <c r="A43" s="19"/>
      <c r="C43" s="31">
        <v>33</v>
      </c>
      <c r="D43" s="1" t="s">
        <v>39</v>
      </c>
      <c r="E43" s="20">
        <v>138</v>
      </c>
      <c r="F43" s="20">
        <v>103.9</v>
      </c>
      <c r="G43" s="20">
        <v>99</v>
      </c>
      <c r="I43" s="20">
        <f t="shared" si="3"/>
        <v>118.57043253712072</v>
      </c>
      <c r="J43" s="45">
        <f>(I43/'AAU 15-16'!I43)-1</f>
        <v>1.5116366067222442E-2</v>
      </c>
      <c r="K43" s="18"/>
      <c r="L43" s="20"/>
      <c r="M43" s="38">
        <f>477+242</f>
        <v>719</v>
      </c>
      <c r="N43" s="38">
        <f>253+211</f>
        <v>464</v>
      </c>
      <c r="O43" s="38">
        <f>188+178</f>
        <v>366</v>
      </c>
      <c r="P43" s="36">
        <f t="shared" si="0"/>
        <v>99222</v>
      </c>
      <c r="Q43" s="36">
        <f t="shared" si="0"/>
        <v>48209.600000000006</v>
      </c>
      <c r="R43" s="36">
        <f t="shared" si="0"/>
        <v>36234</v>
      </c>
      <c r="S43" s="36">
        <f t="shared" si="1"/>
        <v>1549</v>
      </c>
      <c r="T43" s="36">
        <f t="shared" si="2"/>
        <v>183665.6</v>
      </c>
      <c r="U43" s="37">
        <f t="shared" si="4"/>
        <v>118.57043253712072</v>
      </c>
    </row>
    <row r="44" spans="1:21" ht="13.5" customHeight="1" x14ac:dyDescent="0.3">
      <c r="A44" s="19"/>
      <c r="C44" s="31">
        <v>34</v>
      </c>
      <c r="D44" s="1" t="s">
        <v>40</v>
      </c>
      <c r="E44" s="20">
        <v>132.69999999999999</v>
      </c>
      <c r="F44" s="20">
        <v>101</v>
      </c>
      <c r="G44" s="20">
        <v>87.2</v>
      </c>
      <c r="I44" s="20">
        <f t="shared" si="3"/>
        <v>115.88028901734104</v>
      </c>
      <c r="J44" s="45">
        <f>(I44/'AAU 15-16'!I44)-1</f>
        <v>2.2685420725784056E-2</v>
      </c>
      <c r="K44" s="18"/>
      <c r="L44" s="20"/>
      <c r="M44" s="38">
        <f>700+291</f>
        <v>991</v>
      </c>
      <c r="N44" s="38">
        <f>165+163</f>
        <v>328</v>
      </c>
      <c r="O44" s="38">
        <f>216+195</f>
        <v>411</v>
      </c>
      <c r="P44" s="36">
        <f t="shared" si="0"/>
        <v>131505.69999999998</v>
      </c>
      <c r="Q44" s="36">
        <f t="shared" si="0"/>
        <v>33128</v>
      </c>
      <c r="R44" s="36">
        <f t="shared" si="0"/>
        <v>35839.200000000004</v>
      </c>
      <c r="S44" s="36">
        <f t="shared" si="1"/>
        <v>1730</v>
      </c>
      <c r="T44" s="36">
        <f t="shared" si="2"/>
        <v>200472.9</v>
      </c>
      <c r="U44" s="37">
        <f t="shared" si="4"/>
        <v>115.88028901734104</v>
      </c>
    </row>
    <row r="45" spans="1:21" ht="13.5" customHeight="1" x14ac:dyDescent="0.3">
      <c r="A45" s="19"/>
      <c r="K45" s="18"/>
    </row>
    <row r="46" spans="1:21" ht="13.5" customHeight="1" x14ac:dyDescent="0.3">
      <c r="A46" s="19"/>
      <c r="D46" s="44" t="s">
        <v>54</v>
      </c>
      <c r="E46" s="41">
        <f>P46/M46</f>
        <v>152.1673766164034</v>
      </c>
      <c r="F46" s="41">
        <f t="shared" ref="F46:G46" si="5">Q46/N46</f>
        <v>101.69471497302814</v>
      </c>
      <c r="G46" s="41">
        <f t="shared" si="5"/>
        <v>88.499886030608906</v>
      </c>
      <c r="H46" s="40"/>
      <c r="I46" s="41">
        <f>U46</f>
        <v>121.67213501271948</v>
      </c>
      <c r="J46" s="46">
        <f>(I46/'AAU 15-16'!I46)-1</f>
        <v>2.5752274136305209E-2</v>
      </c>
      <c r="K46" s="18"/>
      <c r="M46" s="39">
        <f>SUM(M11:M44)</f>
        <v>22349</v>
      </c>
      <c r="N46" s="39">
        <f t="shared" ref="N46:O46" si="6">SUM(N11:N44)</f>
        <v>13718</v>
      </c>
      <c r="O46" s="39">
        <f t="shared" si="6"/>
        <v>12284</v>
      </c>
      <c r="P46" s="39">
        <f>SUM(P11:P44)</f>
        <v>3400788.6999999997</v>
      </c>
      <c r="Q46" s="39">
        <f t="shared" ref="Q46:R46" si="7">SUM(Q11:Q44)</f>
        <v>1395048.1</v>
      </c>
      <c r="R46" s="39">
        <f t="shared" si="7"/>
        <v>1087132.5999999999</v>
      </c>
      <c r="S46" s="36">
        <f>M46+N46+O46</f>
        <v>48351</v>
      </c>
      <c r="T46" s="36">
        <f>P46+Q46+R46</f>
        <v>5882969.3999999994</v>
      </c>
      <c r="U46" s="37">
        <f>T46/S46</f>
        <v>121.67213501271948</v>
      </c>
    </row>
    <row r="47" spans="1:21" ht="13.5" customHeight="1" x14ac:dyDescent="0.3">
      <c r="A47" s="19"/>
      <c r="D47" s="44" t="s">
        <v>55</v>
      </c>
      <c r="E47" s="41">
        <f>MEDIAN(E11:E44)</f>
        <v>149.4</v>
      </c>
      <c r="F47" s="41">
        <f t="shared" ref="F47:G47" si="8">MEDIAN(F11:F44)</f>
        <v>100.8</v>
      </c>
      <c r="G47" s="41">
        <f t="shared" si="8"/>
        <v>89.6</v>
      </c>
      <c r="H47" s="40"/>
      <c r="I47" s="41">
        <f>MEDIAN(I11:I44)</f>
        <v>118.01583590648436</v>
      </c>
      <c r="J47" s="46">
        <f>(I47/'AAU 15-16'!I47)-1</f>
        <v>1.7795140613671601E-2</v>
      </c>
      <c r="K47" s="18"/>
    </row>
    <row r="48" spans="1:21" ht="13.5" customHeight="1" x14ac:dyDescent="0.3">
      <c r="A48" s="19"/>
      <c r="B48" s="22"/>
      <c r="C48" s="33"/>
      <c r="D48" s="22"/>
      <c r="E48" s="22"/>
      <c r="F48" s="22"/>
      <c r="G48" s="22"/>
      <c r="H48" s="22"/>
      <c r="I48" s="22"/>
      <c r="J48" s="22"/>
      <c r="K48" s="18"/>
    </row>
    <row r="49" spans="1:11" ht="13.5" customHeight="1" x14ac:dyDescent="0.3">
      <c r="A49" s="19"/>
      <c r="K49" s="18"/>
    </row>
    <row r="50" spans="1:11" ht="13.5" customHeight="1" x14ac:dyDescent="0.3">
      <c r="A50" s="19"/>
      <c r="B50" s="16" t="s">
        <v>99</v>
      </c>
      <c r="K50" s="18"/>
    </row>
    <row r="51" spans="1:11" ht="13.5" customHeight="1" x14ac:dyDescent="0.3">
      <c r="A51" s="19"/>
      <c r="K51" s="18"/>
    </row>
    <row r="52" spans="1:11" ht="13.5" customHeight="1" x14ac:dyDescent="0.3">
      <c r="A52" s="21"/>
      <c r="B52" s="42" t="s">
        <v>56</v>
      </c>
      <c r="C52" s="33"/>
      <c r="D52" s="22"/>
      <c r="E52" s="22"/>
      <c r="F52" s="22"/>
      <c r="G52" s="22"/>
      <c r="H52" s="22"/>
      <c r="I52" s="22"/>
      <c r="J52" s="43" t="s">
        <v>105</v>
      </c>
      <c r="K52" s="23"/>
    </row>
  </sheetData>
  <mergeCells count="2">
    <mergeCell ref="A2:K2"/>
    <mergeCell ref="D7:I7"/>
  </mergeCells>
  <printOptions horizontalCentered="1"/>
  <pageMargins left="0.7" right="0.45" top="0.5" bottom="0.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AAU 24-25</vt:lpstr>
      <vt:lpstr>AAU 23-24</vt:lpstr>
      <vt:lpstr>AAU 22-23</vt:lpstr>
      <vt:lpstr>AAU 21-22</vt:lpstr>
      <vt:lpstr>AAU 20-21</vt:lpstr>
      <vt:lpstr>AAU 19-20</vt:lpstr>
      <vt:lpstr>AAU 18-19</vt:lpstr>
      <vt:lpstr>AAU 17-18</vt:lpstr>
      <vt:lpstr>AAU 16-17</vt:lpstr>
      <vt:lpstr>AAU 15-16</vt:lpstr>
      <vt:lpstr>AAU 14-15</vt:lpstr>
      <vt:lpstr>AAU 13-14</vt:lpstr>
      <vt:lpstr>AAU 12-13</vt:lpstr>
      <vt:lpstr>AAU 11-12</vt:lpstr>
      <vt:lpstr>AAU 10-11</vt:lpstr>
      <vt:lpstr>AAU 09-10</vt:lpstr>
      <vt:lpstr>AAU 08-09</vt:lpstr>
      <vt:lpstr>AAU 07-08</vt:lpstr>
      <vt:lpstr>AAU 06-07</vt:lpstr>
      <vt:lpstr>AAU 05-06</vt:lpstr>
      <vt:lpstr>AAU 04-05</vt:lpstr>
      <vt:lpstr>AAU 03-04</vt:lpstr>
      <vt:lpstr>AAU 02-03</vt:lpstr>
      <vt:lpstr>AAU 01-02</vt:lpstr>
      <vt:lpstr>AAU 00-01</vt:lpstr>
      <vt:lpstr>AAU 99-00</vt:lpstr>
      <vt:lpstr>AAU 98-99</vt:lpstr>
      <vt:lpstr>AAU 97-98</vt:lpstr>
      <vt:lpstr>AAU 89-90</vt:lpstr>
      <vt:lpstr>AAU 78-79</vt:lpstr>
      <vt:lpstr>'AAU 00-01'!Print_Area</vt:lpstr>
      <vt:lpstr>'AAU 01-02'!Print_Area</vt:lpstr>
      <vt:lpstr>'AAU 02-03'!Print_Area</vt:lpstr>
      <vt:lpstr>'AAU 03-04'!Print_Area</vt:lpstr>
      <vt:lpstr>'AAU 04-05'!Print_Area</vt:lpstr>
      <vt:lpstr>'AAU 05-06'!Print_Area</vt:lpstr>
      <vt:lpstr>'AAU 06-07'!Print_Area</vt:lpstr>
      <vt:lpstr>'AAU 07-08'!Print_Area</vt:lpstr>
      <vt:lpstr>'AAU 08-09'!Print_Area</vt:lpstr>
      <vt:lpstr>'AAU 09-10'!Print_Area</vt:lpstr>
      <vt:lpstr>'AAU 10-11'!Print_Area</vt:lpstr>
      <vt:lpstr>'AAU 11-12'!Print_Area</vt:lpstr>
      <vt:lpstr>'AAU 12-13'!Print_Area</vt:lpstr>
      <vt:lpstr>'AAU 13-14'!Print_Area</vt:lpstr>
      <vt:lpstr>'AAU 14-15'!Print_Area</vt:lpstr>
      <vt:lpstr>'AAU 15-16'!Print_Area</vt:lpstr>
      <vt:lpstr>'AAU 16-17'!Print_Area</vt:lpstr>
      <vt:lpstr>'AAU 17-18'!Print_Area</vt:lpstr>
      <vt:lpstr>'AAU 18-19'!Print_Area</vt:lpstr>
      <vt:lpstr>'AAU 19-20'!Print_Area</vt:lpstr>
      <vt:lpstr>'AAU 20-21'!Print_Area</vt:lpstr>
      <vt:lpstr>'AAU 21-22'!Print_Area</vt:lpstr>
      <vt:lpstr>'AAU 22-23'!Print_Area</vt:lpstr>
      <vt:lpstr>'AAU 23-24'!Print_Area</vt:lpstr>
      <vt:lpstr>'AAU 24-25'!Print_Area</vt:lpstr>
      <vt:lpstr>'AAU 78-79'!Print_Area</vt:lpstr>
      <vt:lpstr>'AAU 89-90'!Print_Area</vt:lpstr>
      <vt:lpstr>'AAU 97-98'!Print_Area</vt:lpstr>
      <vt:lpstr>'AAU 98-99'!Print_Area</vt:lpstr>
      <vt:lpstr>'AAU 99-00'!Print_Area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2024-08-13T14:50:40Z</cp:lastPrinted>
  <dcterms:created xsi:type="dcterms:W3CDTF">2015-04-20T19:27:21Z</dcterms:created>
  <dcterms:modified xsi:type="dcterms:W3CDTF">2025-04-29T12:40:54Z</dcterms:modified>
</cp:coreProperties>
</file>