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CA01EE1E-7711-4DC3-92AE-D60D1E600B4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Engr 25-26" sheetId="22" r:id="rId1"/>
    <sheet name="Engr 24-25" sheetId="21" r:id="rId2"/>
    <sheet name="Engr 23-24" sheetId="20" r:id="rId3"/>
    <sheet name="Engr 22-23" sheetId="19" r:id="rId4"/>
    <sheet name="Engr 21-22" sheetId="18" r:id="rId5"/>
    <sheet name="Engr 20-21" sheetId="17" r:id="rId6"/>
    <sheet name="Engr 19-20" sheetId="16" r:id="rId7"/>
    <sheet name="Engr 18-19" sheetId="15" r:id="rId8"/>
    <sheet name="Engr 17-18" sheetId="14" r:id="rId9"/>
    <sheet name="Engr 16-17" sheetId="13" r:id="rId10"/>
    <sheet name="Engr 15-16" sheetId="12" r:id="rId11"/>
    <sheet name="Engr 14-15" sheetId="11" r:id="rId12"/>
    <sheet name="Engr 13-14" sheetId="1" r:id="rId13"/>
    <sheet name="Engr 12-13" sheetId="5" r:id="rId14"/>
    <sheet name="Engr 11-12" sheetId="6" r:id="rId15"/>
    <sheet name="Engr 10-11" sheetId="7" r:id="rId16"/>
    <sheet name="Engr 09-10" sheetId="8" r:id="rId17"/>
    <sheet name="Engr 08-09" sheetId="9" r:id="rId18"/>
  </sheets>
  <definedNames>
    <definedName name="_xlnm.Print_Area" localSheetId="17">'Engr 08-09'!$A$1:$K$26</definedName>
    <definedName name="_xlnm.Print_Area" localSheetId="16">'Engr 09-10'!$A$1:$K$26</definedName>
    <definedName name="_xlnm.Print_Area" localSheetId="15">'Engr 10-11'!$A$1:$K$26</definedName>
    <definedName name="_xlnm.Print_Area" localSheetId="14">'Engr 11-12'!$A$1:$K$26</definedName>
    <definedName name="_xlnm.Print_Area" localSheetId="13">'Engr 12-13'!$A$1:$K$26</definedName>
    <definedName name="_xlnm.Print_Area" localSheetId="12">'Engr 13-14'!$A$1:$K$26</definedName>
    <definedName name="_xlnm.Print_Area" localSheetId="11">'Engr 14-15'!$A$1:$K$26</definedName>
    <definedName name="_xlnm.Print_Area" localSheetId="10">'Engr 15-16'!$A$1:$K$29</definedName>
    <definedName name="_xlnm.Print_Area" localSheetId="9">'Engr 16-17'!$A$1:$K$26</definedName>
    <definedName name="_xlnm.Print_Area" localSheetId="8">'Engr 17-18'!$A$1:$K$26</definedName>
    <definedName name="_xlnm.Print_Area" localSheetId="7">'Engr 18-19'!$A$1:$K$26</definedName>
    <definedName name="_xlnm.Print_Area" localSheetId="6">'Engr 19-20'!$A$1:$K$26</definedName>
    <definedName name="_xlnm.Print_Area" localSheetId="5">'Engr 20-21'!$A$1:$K$26</definedName>
    <definedName name="_xlnm.Print_Area" localSheetId="4">'Engr 21-22'!$A$1:$K$26</definedName>
    <definedName name="_xlnm.Print_Area" localSheetId="3">'Engr 22-23'!$A$1:$K$26</definedName>
    <definedName name="_xlnm.Print_Area" localSheetId="2">'Engr 23-24'!$A$1:$K$26</definedName>
    <definedName name="_xlnm.Print_Area" localSheetId="1">'Engr 24-25'!$A$1:$K$26</definedName>
    <definedName name="_xlnm.Print_Area" localSheetId="0">'Engr 25-26'!$A$1:$K$26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2" l="1"/>
  <c r="J20" i="22"/>
  <c r="J16" i="22" l="1"/>
  <c r="J15" i="22"/>
  <c r="J14" i="22"/>
  <c r="J13" i="22"/>
  <c r="J12" i="22"/>
  <c r="E21" i="22"/>
  <c r="E20" i="22"/>
  <c r="I12" i="22"/>
  <c r="O16" i="22"/>
  <c r="N16" i="22"/>
  <c r="M16" i="22"/>
  <c r="O15" i="22" l="1"/>
  <c r="N15" i="22"/>
  <c r="M15" i="22"/>
  <c r="O14" i="22" l="1"/>
  <c r="N14" i="22"/>
  <c r="Q14" i="22" s="1"/>
  <c r="M14" i="22"/>
  <c r="O13" i="22"/>
  <c r="R13" i="22" s="1"/>
  <c r="N13" i="22"/>
  <c r="M13" i="22"/>
  <c r="O12" i="22"/>
  <c r="R12" i="22" s="1"/>
  <c r="N12" i="22"/>
  <c r="M12" i="22"/>
  <c r="M20" i="22"/>
  <c r="P12" i="22"/>
  <c r="Q12" i="22"/>
  <c r="P13" i="22"/>
  <c r="Q13" i="22"/>
  <c r="P14" i="22"/>
  <c r="R14" i="22"/>
  <c r="P15" i="22"/>
  <c r="Q15" i="22"/>
  <c r="R15" i="22"/>
  <c r="S16" i="22"/>
  <c r="R16" i="22"/>
  <c r="P16" i="22"/>
  <c r="Q16" i="22"/>
  <c r="G21" i="22"/>
  <c r="F21" i="22"/>
  <c r="T18" i="22"/>
  <c r="U18" i="22" s="1"/>
  <c r="S18" i="22"/>
  <c r="R18" i="22"/>
  <c r="Q18" i="22"/>
  <c r="P18" i="22"/>
  <c r="S17" i="22"/>
  <c r="R17" i="22"/>
  <c r="Q17" i="22"/>
  <c r="P17" i="22"/>
  <c r="T17" i="22" s="1"/>
  <c r="U17" i="22" s="1"/>
  <c r="S15" i="22"/>
  <c r="S11" i="22"/>
  <c r="R11" i="22"/>
  <c r="Q11" i="22"/>
  <c r="P11" i="22"/>
  <c r="I21" i="20"/>
  <c r="G21" i="21"/>
  <c r="O16" i="21"/>
  <c r="N16" i="21"/>
  <c r="M16" i="21"/>
  <c r="O14" i="21"/>
  <c r="N14" i="21"/>
  <c r="M14" i="21"/>
  <c r="E21" i="21"/>
  <c r="S14" i="22" l="1"/>
  <c r="N20" i="22"/>
  <c r="T16" i="22"/>
  <c r="U16" i="22" s="1"/>
  <c r="I16" i="22" s="1"/>
  <c r="S13" i="22"/>
  <c r="O20" i="22"/>
  <c r="T14" i="22"/>
  <c r="T15" i="22"/>
  <c r="U15" i="22" s="1"/>
  <c r="I15" i="22" s="1"/>
  <c r="T11" i="22"/>
  <c r="U11" i="22" s="1"/>
  <c r="R20" i="22"/>
  <c r="G20" i="22" s="1"/>
  <c r="Q20" i="22"/>
  <c r="S12" i="22"/>
  <c r="O13" i="21"/>
  <c r="N13" i="21"/>
  <c r="M13" i="21"/>
  <c r="O12" i="21"/>
  <c r="N12" i="21"/>
  <c r="M12" i="21"/>
  <c r="F20" i="22" l="1"/>
  <c r="U14" i="22"/>
  <c r="I14" i="22" s="1"/>
  <c r="S20" i="22"/>
  <c r="T13" i="22"/>
  <c r="U13" i="22" s="1"/>
  <c r="I13" i="22" s="1"/>
  <c r="T12" i="22"/>
  <c r="U12" i="22" s="1"/>
  <c r="P20" i="22"/>
  <c r="J15" i="21"/>
  <c r="O15" i="21"/>
  <c r="N15" i="21"/>
  <c r="M15" i="21"/>
  <c r="F21" i="21"/>
  <c r="S18" i="21"/>
  <c r="R18" i="21"/>
  <c r="Q18" i="21"/>
  <c r="P18" i="21"/>
  <c r="T18" i="21" s="1"/>
  <c r="U18" i="21" s="1"/>
  <c r="S17" i="21"/>
  <c r="R17" i="21"/>
  <c r="Q17" i="21"/>
  <c r="P17" i="21"/>
  <c r="R16" i="21"/>
  <c r="Q16" i="21"/>
  <c r="P16" i="21"/>
  <c r="P15" i="21"/>
  <c r="R15" i="21"/>
  <c r="Q15" i="21"/>
  <c r="R14" i="21"/>
  <c r="Q14" i="21"/>
  <c r="S14" i="21"/>
  <c r="S13" i="21"/>
  <c r="R13" i="21"/>
  <c r="Q13" i="21"/>
  <c r="P13" i="21"/>
  <c r="R12" i="21"/>
  <c r="N20" i="21"/>
  <c r="P12" i="21"/>
  <c r="S11" i="21"/>
  <c r="R11" i="21"/>
  <c r="O20" i="21"/>
  <c r="Q11" i="21"/>
  <c r="M20" i="21"/>
  <c r="S20" i="21" s="1"/>
  <c r="E21" i="20"/>
  <c r="E20" i="20"/>
  <c r="O16" i="20"/>
  <c r="N16" i="20"/>
  <c r="M16" i="20"/>
  <c r="T20" i="22" l="1"/>
  <c r="U20" i="22" s="1"/>
  <c r="I20" i="22" s="1"/>
  <c r="I21" i="22"/>
  <c r="T17" i="21"/>
  <c r="U17" i="21" s="1"/>
  <c r="T13" i="21"/>
  <c r="U13" i="21" s="1"/>
  <c r="I13" i="21" s="1"/>
  <c r="J13" i="21" s="1"/>
  <c r="T15" i="21"/>
  <c r="T16" i="21"/>
  <c r="R20" i="21"/>
  <c r="G20" i="21" s="1"/>
  <c r="Q12" i="21"/>
  <c r="T12" i="21" s="1"/>
  <c r="S15" i="21"/>
  <c r="P14" i="21"/>
  <c r="T14" i="21" s="1"/>
  <c r="U14" i="21" s="1"/>
  <c r="I14" i="21" s="1"/>
  <c r="J14" i="21" s="1"/>
  <c r="S12" i="21"/>
  <c r="S16" i="21"/>
  <c r="P11" i="21"/>
  <c r="O15" i="20"/>
  <c r="N15" i="20"/>
  <c r="M15" i="20"/>
  <c r="O14" i="20"/>
  <c r="N14" i="20"/>
  <c r="M14" i="20"/>
  <c r="P14" i="20" s="1"/>
  <c r="O12" i="20"/>
  <c r="N12" i="20"/>
  <c r="M12" i="20"/>
  <c r="O11" i="20"/>
  <c r="R11" i="20" s="1"/>
  <c r="N11" i="20"/>
  <c r="N20" i="20" s="1"/>
  <c r="M11" i="20"/>
  <c r="O13" i="20"/>
  <c r="N13" i="20"/>
  <c r="M13" i="20"/>
  <c r="G21" i="20"/>
  <c r="F21" i="20"/>
  <c r="S18" i="20"/>
  <c r="R18" i="20"/>
  <c r="Q18" i="20"/>
  <c r="P18" i="20"/>
  <c r="T18" i="20" s="1"/>
  <c r="U18" i="20" s="1"/>
  <c r="S17" i="20"/>
  <c r="R17" i="20"/>
  <c r="Q17" i="20"/>
  <c r="P17" i="20"/>
  <c r="T17" i="20" s="1"/>
  <c r="U17" i="20" s="1"/>
  <c r="R16" i="20"/>
  <c r="Q16" i="20"/>
  <c r="S16" i="20"/>
  <c r="R15" i="20"/>
  <c r="Q15" i="20"/>
  <c r="S15" i="20"/>
  <c r="Q14" i="20"/>
  <c r="R14" i="20"/>
  <c r="R13" i="20"/>
  <c r="Q13" i="20"/>
  <c r="P13" i="20"/>
  <c r="T13" i="20" s="1"/>
  <c r="S12" i="20"/>
  <c r="R12" i="20"/>
  <c r="Q12" i="20"/>
  <c r="P12" i="20"/>
  <c r="O16" i="19"/>
  <c r="N16" i="19"/>
  <c r="M16" i="19"/>
  <c r="U12" i="21" l="1"/>
  <c r="I12" i="21" s="1"/>
  <c r="J12" i="21" s="1"/>
  <c r="U16" i="21"/>
  <c r="I16" i="21" s="1"/>
  <c r="J16" i="21" s="1"/>
  <c r="U15" i="21"/>
  <c r="I15" i="21" s="1"/>
  <c r="Q20" i="21"/>
  <c r="F20" i="21" s="1"/>
  <c r="P20" i="21"/>
  <c r="T11" i="21"/>
  <c r="U11" i="21" s="1"/>
  <c r="T12" i="20"/>
  <c r="U12" i="20" s="1"/>
  <c r="I12" i="20" s="1"/>
  <c r="J12" i="20" s="1"/>
  <c r="S11" i="20"/>
  <c r="R20" i="20"/>
  <c r="T14" i="20"/>
  <c r="M20" i="20"/>
  <c r="P16" i="20"/>
  <c r="T16" i="20" s="1"/>
  <c r="U16" i="20" s="1"/>
  <c r="I16" i="20" s="1"/>
  <c r="J16" i="20" s="1"/>
  <c r="S14" i="20"/>
  <c r="O20" i="20"/>
  <c r="Q11" i="20"/>
  <c r="Q20" i="20" s="1"/>
  <c r="F20" i="20" s="1"/>
  <c r="S13" i="20"/>
  <c r="U13" i="20" s="1"/>
  <c r="I13" i="20" s="1"/>
  <c r="J13" i="20" s="1"/>
  <c r="P11" i="20"/>
  <c r="P15" i="20"/>
  <c r="T15" i="20" s="1"/>
  <c r="U15" i="20" s="1"/>
  <c r="I15" i="20" s="1"/>
  <c r="J15" i="20" s="1"/>
  <c r="O15" i="19"/>
  <c r="N15" i="19"/>
  <c r="N20" i="19" s="1"/>
  <c r="M15" i="19"/>
  <c r="E21" i="19"/>
  <c r="O14" i="19"/>
  <c r="N14" i="19"/>
  <c r="M14" i="19"/>
  <c r="O13" i="19"/>
  <c r="N13" i="19"/>
  <c r="M13" i="19"/>
  <c r="O12" i="19"/>
  <c r="N12" i="19"/>
  <c r="M12" i="19"/>
  <c r="O11" i="19"/>
  <c r="N11" i="19"/>
  <c r="M11" i="19"/>
  <c r="G21" i="19"/>
  <c r="F21" i="19"/>
  <c r="S18" i="19"/>
  <c r="R18" i="19"/>
  <c r="Q18" i="19"/>
  <c r="P18" i="19"/>
  <c r="T18" i="19" s="1"/>
  <c r="U18" i="19" s="1"/>
  <c r="S17" i="19"/>
  <c r="R17" i="19"/>
  <c r="Q17" i="19"/>
  <c r="P17" i="19"/>
  <c r="T17" i="19" s="1"/>
  <c r="U17" i="19" s="1"/>
  <c r="R16" i="19"/>
  <c r="Q16" i="19"/>
  <c r="S16" i="19"/>
  <c r="R15" i="19"/>
  <c r="Q14" i="19"/>
  <c r="P14" i="19"/>
  <c r="S14" i="19"/>
  <c r="R13" i="19"/>
  <c r="Q13" i="19"/>
  <c r="S13" i="19"/>
  <c r="S12" i="19"/>
  <c r="R12" i="19"/>
  <c r="Q12" i="19"/>
  <c r="P12" i="19"/>
  <c r="R11" i="19"/>
  <c r="S11" i="19"/>
  <c r="O16" i="18"/>
  <c r="N16" i="18"/>
  <c r="M16" i="18"/>
  <c r="O15" i="18"/>
  <c r="N15" i="18"/>
  <c r="M15" i="18"/>
  <c r="O14" i="18"/>
  <c r="N14" i="18"/>
  <c r="M14" i="18"/>
  <c r="O13" i="18"/>
  <c r="N13" i="18"/>
  <c r="M13" i="18"/>
  <c r="O12" i="18"/>
  <c r="N12" i="18"/>
  <c r="M12" i="18"/>
  <c r="O11" i="18"/>
  <c r="N11" i="18"/>
  <c r="M11" i="18"/>
  <c r="I21" i="21" l="1"/>
  <c r="T20" i="21"/>
  <c r="U20" i="21" s="1"/>
  <c r="I20" i="21" s="1"/>
  <c r="E20" i="21"/>
  <c r="U14" i="20"/>
  <c r="I14" i="20" s="1"/>
  <c r="J14" i="20" s="1"/>
  <c r="T11" i="20"/>
  <c r="U11" i="20" s="1"/>
  <c r="I11" i="20" s="1"/>
  <c r="J11" i="20" s="1"/>
  <c r="P20" i="20"/>
  <c r="S20" i="20"/>
  <c r="G20" i="20"/>
  <c r="S15" i="19"/>
  <c r="Q15" i="19"/>
  <c r="T12" i="19"/>
  <c r="U12" i="19" s="1"/>
  <c r="I12" i="19" s="1"/>
  <c r="J12" i="19" s="1"/>
  <c r="M20" i="19"/>
  <c r="O20" i="19"/>
  <c r="Q11" i="19"/>
  <c r="Q20" i="19" s="1"/>
  <c r="F20" i="19" s="1"/>
  <c r="P13" i="19"/>
  <c r="T13" i="19" s="1"/>
  <c r="U13" i="19" s="1"/>
  <c r="I13" i="19" s="1"/>
  <c r="J13" i="19" s="1"/>
  <c r="P16" i="19"/>
  <c r="T16" i="19" s="1"/>
  <c r="U16" i="19" s="1"/>
  <c r="I16" i="19" s="1"/>
  <c r="J16" i="19" s="1"/>
  <c r="P11" i="19"/>
  <c r="P15" i="19"/>
  <c r="T15" i="19" s="1"/>
  <c r="U15" i="19" s="1"/>
  <c r="I15" i="19" s="1"/>
  <c r="J15" i="19" s="1"/>
  <c r="R14" i="19"/>
  <c r="T14" i="19" s="1"/>
  <c r="U14" i="19" s="1"/>
  <c r="I14" i="19" s="1"/>
  <c r="J14" i="19" s="1"/>
  <c r="G21" i="18"/>
  <c r="F21" i="18"/>
  <c r="E21" i="18"/>
  <c r="S18" i="18"/>
  <c r="R18" i="18"/>
  <c r="Q18" i="18"/>
  <c r="P18" i="18"/>
  <c r="T18" i="18" s="1"/>
  <c r="S17" i="18"/>
  <c r="R17" i="18"/>
  <c r="Q17" i="18"/>
  <c r="P17" i="18"/>
  <c r="T17" i="18" s="1"/>
  <c r="U17" i="18" s="1"/>
  <c r="Q16" i="18"/>
  <c r="P16" i="18"/>
  <c r="R16" i="18"/>
  <c r="S16" i="18"/>
  <c r="P15" i="18"/>
  <c r="R15" i="18"/>
  <c r="Q15" i="18"/>
  <c r="T15" i="18" s="1"/>
  <c r="S15" i="18"/>
  <c r="R14" i="18"/>
  <c r="Q14" i="18"/>
  <c r="S14" i="18"/>
  <c r="R13" i="18"/>
  <c r="Q13" i="18"/>
  <c r="S13" i="18"/>
  <c r="R12" i="18"/>
  <c r="Q12" i="18"/>
  <c r="N20" i="18"/>
  <c r="M20" i="18"/>
  <c r="R11" i="18"/>
  <c r="Q11" i="18"/>
  <c r="P11" i="18"/>
  <c r="S11" i="18"/>
  <c r="O16" i="17"/>
  <c r="N16" i="17"/>
  <c r="M16" i="17"/>
  <c r="O14" i="17"/>
  <c r="N14" i="17"/>
  <c r="M14" i="17"/>
  <c r="E21" i="17"/>
  <c r="O13" i="17"/>
  <c r="N13" i="17"/>
  <c r="M13" i="17"/>
  <c r="O12" i="17"/>
  <c r="N12" i="17"/>
  <c r="M12" i="17"/>
  <c r="T20" i="20" l="1"/>
  <c r="U20" i="20" s="1"/>
  <c r="I20" i="20" s="1"/>
  <c r="J20" i="20" s="1"/>
  <c r="J21" i="20"/>
  <c r="T11" i="19"/>
  <c r="U11" i="19" s="1"/>
  <c r="I11" i="19" s="1"/>
  <c r="J11" i="19" s="1"/>
  <c r="P20" i="19"/>
  <c r="E20" i="19" s="1"/>
  <c r="S20" i="19"/>
  <c r="R20" i="19"/>
  <c r="G20" i="19" s="1"/>
  <c r="U18" i="18"/>
  <c r="R20" i="18"/>
  <c r="U15" i="18"/>
  <c r="I15" i="18" s="1"/>
  <c r="T16" i="18"/>
  <c r="U16" i="18" s="1"/>
  <c r="I16" i="18" s="1"/>
  <c r="Q20" i="18"/>
  <c r="F20" i="18" s="1"/>
  <c r="O20" i="18"/>
  <c r="S20" i="18" s="1"/>
  <c r="T11" i="18"/>
  <c r="U11" i="18" s="1"/>
  <c r="I11" i="18" s="1"/>
  <c r="P13" i="18"/>
  <c r="T13" i="18" s="1"/>
  <c r="U13" i="18" s="1"/>
  <c r="I13" i="18" s="1"/>
  <c r="S12" i="18"/>
  <c r="P14" i="18"/>
  <c r="T14" i="18" s="1"/>
  <c r="U14" i="18" s="1"/>
  <c r="I14" i="18" s="1"/>
  <c r="P12" i="18"/>
  <c r="T12" i="18" s="1"/>
  <c r="O15" i="17"/>
  <c r="R15" i="17" s="1"/>
  <c r="N15" i="17"/>
  <c r="Q15" i="17" s="1"/>
  <c r="M15" i="17"/>
  <c r="P15" i="17" s="1"/>
  <c r="O11" i="17"/>
  <c r="N11" i="17"/>
  <c r="Q11" i="17" s="1"/>
  <c r="M11" i="17"/>
  <c r="P18" i="17"/>
  <c r="T18" i="17" s="1"/>
  <c r="U18" i="17" s="1"/>
  <c r="R16" i="17"/>
  <c r="Q16" i="17"/>
  <c r="P16" i="17"/>
  <c r="R14" i="17"/>
  <c r="Q14" i="17"/>
  <c r="P14" i="17"/>
  <c r="R13" i="17"/>
  <c r="Q13" i="17"/>
  <c r="P13" i="17"/>
  <c r="R12" i="17"/>
  <c r="Q12" i="17"/>
  <c r="P12" i="17"/>
  <c r="G21" i="17"/>
  <c r="F21" i="17"/>
  <c r="S18" i="17"/>
  <c r="R18" i="17"/>
  <c r="Q18" i="17"/>
  <c r="S17" i="17"/>
  <c r="R17" i="17"/>
  <c r="Q17" i="17"/>
  <c r="P17" i="17"/>
  <c r="S14" i="17"/>
  <c r="S13" i="17"/>
  <c r="S12" i="17"/>
  <c r="O12" i="16"/>
  <c r="N12" i="16"/>
  <c r="M12" i="16"/>
  <c r="O11" i="16"/>
  <c r="N11" i="16"/>
  <c r="M11" i="16"/>
  <c r="P11" i="16" s="1"/>
  <c r="O16" i="16"/>
  <c r="N16" i="16"/>
  <c r="M16" i="16"/>
  <c r="T20" i="19" l="1"/>
  <c r="U20" i="19" s="1"/>
  <c r="I20" i="19" s="1"/>
  <c r="J20" i="19" s="1"/>
  <c r="I21" i="19"/>
  <c r="J21" i="19" s="1"/>
  <c r="T17" i="17"/>
  <c r="J13" i="18"/>
  <c r="U12" i="18"/>
  <c r="I12" i="18" s="1"/>
  <c r="G20" i="18"/>
  <c r="I21" i="18"/>
  <c r="P20" i="18"/>
  <c r="U17" i="17"/>
  <c r="T16" i="17"/>
  <c r="T14" i="17"/>
  <c r="U14" i="17" s="1"/>
  <c r="I14" i="17" s="1"/>
  <c r="J14" i="18" s="1"/>
  <c r="T12" i="17"/>
  <c r="U12" i="17" s="1"/>
  <c r="I12" i="17" s="1"/>
  <c r="O20" i="17"/>
  <c r="M20" i="17"/>
  <c r="T15" i="17"/>
  <c r="R11" i="17"/>
  <c r="R20" i="17" s="1"/>
  <c r="N20" i="17"/>
  <c r="P11" i="17"/>
  <c r="T13" i="17"/>
  <c r="U13" i="17" s="1"/>
  <c r="I13" i="17" s="1"/>
  <c r="S11" i="17"/>
  <c r="S16" i="17"/>
  <c r="S15" i="17"/>
  <c r="Q20" i="17"/>
  <c r="O15" i="16"/>
  <c r="N15" i="16"/>
  <c r="M15" i="16"/>
  <c r="O13" i="16"/>
  <c r="N13" i="16"/>
  <c r="M13" i="16"/>
  <c r="J12" i="18" l="1"/>
  <c r="U16" i="17"/>
  <c r="I16" i="17" s="1"/>
  <c r="J16" i="18" s="1"/>
  <c r="T20" i="18"/>
  <c r="U20" i="18" s="1"/>
  <c r="I20" i="18" s="1"/>
  <c r="E20" i="18"/>
  <c r="G20" i="17"/>
  <c r="F20" i="17"/>
  <c r="U15" i="17"/>
  <c r="I15" i="17" s="1"/>
  <c r="J15" i="18" s="1"/>
  <c r="S20" i="17"/>
  <c r="T11" i="17"/>
  <c r="U11" i="17" s="1"/>
  <c r="I11" i="17" s="1"/>
  <c r="J11" i="18" s="1"/>
  <c r="P20" i="17"/>
  <c r="E20" i="17" s="1"/>
  <c r="O14" i="16"/>
  <c r="R14" i="16" s="1"/>
  <c r="N14" i="16"/>
  <c r="Q14" i="16" s="1"/>
  <c r="M14" i="16"/>
  <c r="S14" i="16" s="1"/>
  <c r="G21" i="16"/>
  <c r="F21" i="16"/>
  <c r="E21" i="16"/>
  <c r="S18" i="16"/>
  <c r="R18" i="16"/>
  <c r="Q18" i="16"/>
  <c r="T18" i="16" s="1"/>
  <c r="U18" i="16" s="1"/>
  <c r="P18" i="16"/>
  <c r="S17" i="16"/>
  <c r="R17" i="16"/>
  <c r="Q17" i="16"/>
  <c r="P17" i="16"/>
  <c r="P16" i="16"/>
  <c r="R16" i="16"/>
  <c r="Q16" i="16"/>
  <c r="S16" i="16"/>
  <c r="R15" i="16"/>
  <c r="Q15" i="16"/>
  <c r="P15" i="16"/>
  <c r="R13" i="16"/>
  <c r="Q13" i="16"/>
  <c r="P13" i="16"/>
  <c r="R12" i="16"/>
  <c r="Q12" i="16"/>
  <c r="P12" i="16"/>
  <c r="S12" i="16"/>
  <c r="Q11" i="16"/>
  <c r="S11" i="16"/>
  <c r="J20" i="18" l="1"/>
  <c r="O20" i="16"/>
  <c r="N20" i="16"/>
  <c r="T16" i="16"/>
  <c r="T20" i="17"/>
  <c r="U20" i="17" s="1"/>
  <c r="I20" i="17" s="1"/>
  <c r="I21" i="17"/>
  <c r="J21" i="18" s="1"/>
  <c r="U16" i="16"/>
  <c r="I16" i="16" s="1"/>
  <c r="T17" i="16"/>
  <c r="U17" i="16" s="1"/>
  <c r="T13" i="16"/>
  <c r="T12" i="16"/>
  <c r="U12" i="16" s="1"/>
  <c r="I12" i="16" s="1"/>
  <c r="T15" i="16"/>
  <c r="Q20" i="16"/>
  <c r="S15" i="16"/>
  <c r="M20" i="16"/>
  <c r="S20" i="16" s="1"/>
  <c r="S13" i="16"/>
  <c r="R11" i="16"/>
  <c r="R20" i="16" s="1"/>
  <c r="G20" i="16" s="1"/>
  <c r="P14" i="16"/>
  <c r="T14" i="16" s="1"/>
  <c r="U14" i="16" s="1"/>
  <c r="I14" i="16" s="1"/>
  <c r="P20" i="16"/>
  <c r="E21" i="15"/>
  <c r="O12" i="15"/>
  <c r="N12" i="15"/>
  <c r="M12" i="15"/>
  <c r="J20" i="17" l="1"/>
  <c r="J14" i="17"/>
  <c r="J12" i="17"/>
  <c r="J16" i="17"/>
  <c r="F20" i="16"/>
  <c r="U15" i="16"/>
  <c r="I15" i="16" s="1"/>
  <c r="U13" i="16"/>
  <c r="I13" i="16" s="1"/>
  <c r="T20" i="16"/>
  <c r="U20" i="16" s="1"/>
  <c r="I20" i="16" s="1"/>
  <c r="E20" i="16"/>
  <c r="T11" i="16"/>
  <c r="U11" i="16" s="1"/>
  <c r="I11" i="16" s="1"/>
  <c r="O16" i="15"/>
  <c r="N16" i="15"/>
  <c r="M16" i="15"/>
  <c r="J13" i="17" l="1"/>
  <c r="J11" i="17"/>
  <c r="J15" i="17"/>
  <c r="I21" i="16"/>
  <c r="O15" i="15"/>
  <c r="N15" i="15"/>
  <c r="M15" i="15"/>
  <c r="O14" i="15"/>
  <c r="N14" i="15"/>
  <c r="M14" i="15"/>
  <c r="O11" i="15"/>
  <c r="N11" i="15"/>
  <c r="M11" i="15"/>
  <c r="O13" i="15"/>
  <c r="N13" i="15"/>
  <c r="M13" i="15"/>
  <c r="J21" i="17" l="1"/>
  <c r="G21" i="15"/>
  <c r="F21" i="15"/>
  <c r="S18" i="15"/>
  <c r="R18" i="15"/>
  <c r="Q18" i="15"/>
  <c r="P18" i="15"/>
  <c r="S17" i="15"/>
  <c r="R17" i="15"/>
  <c r="Q17" i="15"/>
  <c r="P17" i="15"/>
  <c r="T17" i="15" s="1"/>
  <c r="U17" i="15" s="1"/>
  <c r="R16" i="15"/>
  <c r="S16" i="15"/>
  <c r="P16" i="15"/>
  <c r="R15" i="15"/>
  <c r="Q15" i="15"/>
  <c r="S15" i="15"/>
  <c r="Q14" i="15"/>
  <c r="P14" i="15"/>
  <c r="R14" i="15"/>
  <c r="S14" i="15"/>
  <c r="S13" i="15"/>
  <c r="P13" i="15"/>
  <c r="R13" i="15"/>
  <c r="Q13" i="15"/>
  <c r="R12" i="15"/>
  <c r="Q12" i="15"/>
  <c r="P12" i="15"/>
  <c r="R11" i="15"/>
  <c r="Q11" i="15"/>
  <c r="O20" i="15"/>
  <c r="N20" i="15"/>
  <c r="S11" i="15"/>
  <c r="T18" i="15" l="1"/>
  <c r="U18" i="15" s="1"/>
  <c r="R20" i="15"/>
  <c r="G20" i="15" s="1"/>
  <c r="T13" i="15"/>
  <c r="U13" i="15" s="1"/>
  <c r="I13" i="15" s="1"/>
  <c r="J13" i="16" s="1"/>
  <c r="T12" i="15"/>
  <c r="T14" i="15"/>
  <c r="U14" i="15" s="1"/>
  <c r="I14" i="15" s="1"/>
  <c r="J14" i="16" s="1"/>
  <c r="S12" i="15"/>
  <c r="M20" i="15"/>
  <c r="S20" i="15" s="1"/>
  <c r="P11" i="15"/>
  <c r="P15" i="15"/>
  <c r="T15" i="15" s="1"/>
  <c r="U15" i="15" s="1"/>
  <c r="I15" i="15" s="1"/>
  <c r="J15" i="16" s="1"/>
  <c r="Q16" i="15"/>
  <c r="T16" i="15" s="1"/>
  <c r="U16" i="15" s="1"/>
  <c r="I16" i="15" s="1"/>
  <c r="J16" i="16" s="1"/>
  <c r="O16" i="14"/>
  <c r="N16" i="14"/>
  <c r="M16" i="14"/>
  <c r="O14" i="14"/>
  <c r="N14" i="14"/>
  <c r="M14" i="14"/>
  <c r="O11" i="14"/>
  <c r="N11" i="14"/>
  <c r="M11" i="14"/>
  <c r="O12" i="14"/>
  <c r="N12" i="14"/>
  <c r="M12" i="14"/>
  <c r="P20" i="15" l="1"/>
  <c r="E20" i="15" s="1"/>
  <c r="T11" i="15"/>
  <c r="U11" i="15" s="1"/>
  <c r="I11" i="15" s="1"/>
  <c r="J11" i="16" s="1"/>
  <c r="U12" i="15"/>
  <c r="I12" i="15" s="1"/>
  <c r="J12" i="16" s="1"/>
  <c r="Q20" i="15"/>
  <c r="F20" i="15" s="1"/>
  <c r="O15" i="14"/>
  <c r="N15" i="14"/>
  <c r="M15" i="14"/>
  <c r="I21" i="15" l="1"/>
  <c r="J21" i="16" s="1"/>
  <c r="T20" i="15"/>
  <c r="U20" i="15" s="1"/>
  <c r="I20" i="15" s="1"/>
  <c r="J20" i="16" s="1"/>
  <c r="O13" i="14"/>
  <c r="N13" i="14"/>
  <c r="M13" i="14"/>
  <c r="G21" i="14" l="1"/>
  <c r="F21" i="14"/>
  <c r="E21" i="14"/>
  <c r="S18" i="14"/>
  <c r="R18" i="14"/>
  <c r="Q18" i="14"/>
  <c r="P18" i="14"/>
  <c r="T18" i="14" s="1"/>
  <c r="S17" i="14"/>
  <c r="R17" i="14"/>
  <c r="Q17" i="14"/>
  <c r="P17" i="14"/>
  <c r="Q16" i="14"/>
  <c r="R16" i="14"/>
  <c r="P16" i="14"/>
  <c r="R15" i="14"/>
  <c r="P15" i="14"/>
  <c r="Q15" i="14"/>
  <c r="S15" i="14"/>
  <c r="Q14" i="14"/>
  <c r="R14" i="14"/>
  <c r="P14" i="14"/>
  <c r="R13" i="14"/>
  <c r="P13" i="14"/>
  <c r="Q13" i="14"/>
  <c r="S13" i="14"/>
  <c r="Q12" i="14"/>
  <c r="R12" i="14"/>
  <c r="P12" i="14"/>
  <c r="R11" i="14"/>
  <c r="P11" i="14"/>
  <c r="N20" i="14"/>
  <c r="M20" i="14"/>
  <c r="T14" i="14" l="1"/>
  <c r="U18" i="14"/>
  <c r="T17" i="14"/>
  <c r="U17" i="14" s="1"/>
  <c r="T16" i="14"/>
  <c r="R20" i="14"/>
  <c r="T13" i="14"/>
  <c r="U13" i="14" s="1"/>
  <c r="I13" i="14" s="1"/>
  <c r="P20" i="14"/>
  <c r="T12" i="14"/>
  <c r="T15" i="14"/>
  <c r="U15" i="14" s="1"/>
  <c r="I15" i="14" s="1"/>
  <c r="S14" i="14"/>
  <c r="O20" i="14"/>
  <c r="S20" i="14" s="1"/>
  <c r="Q11" i="14"/>
  <c r="Q20" i="14" s="1"/>
  <c r="F20" i="14" s="1"/>
  <c r="S16" i="14"/>
  <c r="S12" i="14"/>
  <c r="S11" i="14"/>
  <c r="E21" i="13"/>
  <c r="O16" i="13"/>
  <c r="N16" i="13"/>
  <c r="M16" i="13"/>
  <c r="U14" i="14" l="1"/>
  <c r="I14" i="14" s="1"/>
  <c r="J14" i="15" s="1"/>
  <c r="J15" i="15"/>
  <c r="J13" i="15"/>
  <c r="U16" i="14"/>
  <c r="I16" i="14" s="1"/>
  <c r="U12" i="14"/>
  <c r="I12" i="14" s="1"/>
  <c r="G20" i="14"/>
  <c r="T11" i="14"/>
  <c r="U11" i="14" s="1"/>
  <c r="I11" i="14" s="1"/>
  <c r="T20" i="14"/>
  <c r="U20" i="14" s="1"/>
  <c r="I20" i="14" s="1"/>
  <c r="E20" i="14"/>
  <c r="O15" i="13"/>
  <c r="N15" i="13"/>
  <c r="Q15" i="13" s="1"/>
  <c r="M15" i="13"/>
  <c r="P15" i="13" s="1"/>
  <c r="O14" i="13"/>
  <c r="R14" i="13" s="1"/>
  <c r="N14" i="13"/>
  <c r="Q14" i="13" s="1"/>
  <c r="M14" i="13"/>
  <c r="P14" i="13" s="1"/>
  <c r="O12" i="13"/>
  <c r="R12" i="13" s="1"/>
  <c r="N12" i="13"/>
  <c r="Q12" i="13" s="1"/>
  <c r="M12" i="13"/>
  <c r="P12" i="13" s="1"/>
  <c r="O11" i="13"/>
  <c r="R11" i="13" s="1"/>
  <c r="N11" i="13"/>
  <c r="Q11" i="13" s="1"/>
  <c r="M11" i="13"/>
  <c r="P11" i="13" s="1"/>
  <c r="O13" i="13"/>
  <c r="R13" i="13" s="1"/>
  <c r="N13" i="13"/>
  <c r="Q13" i="13" s="1"/>
  <c r="M13" i="13"/>
  <c r="P13" i="13" s="1"/>
  <c r="G21" i="13"/>
  <c r="F21" i="13"/>
  <c r="S18" i="13"/>
  <c r="R18" i="13"/>
  <c r="Q18" i="13"/>
  <c r="P18" i="13"/>
  <c r="T18" i="13" s="1"/>
  <c r="S17" i="13"/>
  <c r="R17" i="13"/>
  <c r="Q17" i="13"/>
  <c r="P17" i="13"/>
  <c r="Q16" i="13"/>
  <c r="P16" i="13"/>
  <c r="R16" i="13"/>
  <c r="R15" i="13"/>
  <c r="J20" i="15" l="1"/>
  <c r="U18" i="13"/>
  <c r="J12" i="15"/>
  <c r="J11" i="15"/>
  <c r="T17" i="13"/>
  <c r="U17" i="13" s="1"/>
  <c r="J16" i="15"/>
  <c r="I21" i="14"/>
  <c r="O20" i="13"/>
  <c r="S13" i="13"/>
  <c r="T15" i="13"/>
  <c r="T12" i="13"/>
  <c r="Q20" i="13"/>
  <c r="T13" i="13"/>
  <c r="R20" i="13"/>
  <c r="T14" i="13"/>
  <c r="T16" i="13"/>
  <c r="P20" i="13"/>
  <c r="S12" i="13"/>
  <c r="S16" i="13"/>
  <c r="M20" i="13"/>
  <c r="S11" i="13"/>
  <c r="S15" i="13"/>
  <c r="N20" i="13"/>
  <c r="T11" i="13"/>
  <c r="S14" i="13"/>
  <c r="U15" i="13" l="1"/>
  <c r="I15" i="13" s="1"/>
  <c r="J15" i="14" s="1"/>
  <c r="J21" i="15"/>
  <c r="U13" i="13"/>
  <c r="I13" i="13" s="1"/>
  <c r="U14" i="13"/>
  <c r="I14" i="13" s="1"/>
  <c r="G20" i="13"/>
  <c r="U12" i="13"/>
  <c r="I12" i="13" s="1"/>
  <c r="S20" i="13"/>
  <c r="F20" i="13"/>
  <c r="U11" i="13"/>
  <c r="I11" i="13" s="1"/>
  <c r="T20" i="13"/>
  <c r="E20" i="13"/>
  <c r="U16" i="13"/>
  <c r="I16" i="13" s="1"/>
  <c r="J14" i="14" l="1"/>
  <c r="J11" i="14"/>
  <c r="J13" i="14"/>
  <c r="J16" i="14"/>
  <c r="J12" i="14"/>
  <c r="U20" i="13"/>
  <c r="I20" i="13" s="1"/>
  <c r="I21" i="13"/>
  <c r="J21" i="14" l="1"/>
  <c r="J20" i="14"/>
  <c r="G21" i="9"/>
  <c r="AC18" i="9"/>
  <c r="AB18" i="9"/>
  <c r="AA18" i="9"/>
  <c r="AC16" i="9"/>
  <c r="AB16" i="9"/>
  <c r="AA16" i="9"/>
  <c r="AC15" i="9"/>
  <c r="AB15" i="9"/>
  <c r="AA15" i="9"/>
  <c r="AC14" i="9"/>
  <c r="AB14" i="9"/>
  <c r="AA14" i="9"/>
  <c r="AC13" i="9"/>
  <c r="AB13" i="9"/>
  <c r="AA13" i="9"/>
  <c r="AC12" i="9"/>
  <c r="AB12" i="9"/>
  <c r="AA12" i="9"/>
  <c r="AC11" i="9"/>
  <c r="AB11" i="9"/>
  <c r="AA11" i="9"/>
  <c r="Z21" i="9" l="1"/>
  <c r="Y21" i="9"/>
  <c r="X21" i="9"/>
  <c r="AF18" i="9"/>
  <c r="AD18" i="9"/>
  <c r="AE18" i="9"/>
  <c r="AG18" i="9"/>
  <c r="AE17" i="9"/>
  <c r="AF17" i="9"/>
  <c r="AD17" i="9"/>
  <c r="AF16" i="9"/>
  <c r="AD16" i="9"/>
  <c r="AG16" i="9"/>
  <c r="AG15" i="9"/>
  <c r="AE15" i="9"/>
  <c r="AF15" i="9"/>
  <c r="AD15" i="9"/>
  <c r="AF14" i="9"/>
  <c r="AD14" i="9"/>
  <c r="AE14" i="9"/>
  <c r="AG14" i="9"/>
  <c r="AE13" i="9"/>
  <c r="AF13" i="9"/>
  <c r="AD13" i="9"/>
  <c r="AF12" i="9"/>
  <c r="AD12" i="9"/>
  <c r="AG12" i="9"/>
  <c r="AE11" i="9"/>
  <c r="AG11" i="9"/>
  <c r="AA20" i="9"/>
  <c r="AH15" i="9" l="1"/>
  <c r="AI15" i="9" s="1"/>
  <c r="AH13" i="9"/>
  <c r="AH18" i="9"/>
  <c r="AI18" i="9" s="1"/>
  <c r="AH14" i="9"/>
  <c r="AI14" i="9" s="1"/>
  <c r="AH17" i="9"/>
  <c r="AG13" i="9"/>
  <c r="AG17" i="9"/>
  <c r="AB20" i="9"/>
  <c r="AF11" i="9"/>
  <c r="AF20" i="9" s="1"/>
  <c r="AE12" i="9"/>
  <c r="AE16" i="9"/>
  <c r="AH16" i="9" s="1"/>
  <c r="AI16" i="9" s="1"/>
  <c r="AC20" i="9"/>
  <c r="AD11" i="9"/>
  <c r="O18" i="9"/>
  <c r="N18" i="9"/>
  <c r="M18" i="9"/>
  <c r="O16" i="9"/>
  <c r="N16" i="9"/>
  <c r="M16" i="9"/>
  <c r="O15" i="9"/>
  <c r="N15" i="9"/>
  <c r="M15" i="9"/>
  <c r="O14" i="9"/>
  <c r="N14" i="9"/>
  <c r="M14" i="9"/>
  <c r="O13" i="9"/>
  <c r="N13" i="9"/>
  <c r="M13" i="9"/>
  <c r="Z20" i="9" l="1"/>
  <c r="AI13" i="9"/>
  <c r="AH11" i="9"/>
  <c r="AI11" i="9" s="1"/>
  <c r="AI21" i="9" s="1"/>
  <c r="AG20" i="9"/>
  <c r="AE20" i="9"/>
  <c r="Y20" i="9" s="1"/>
  <c r="AD20" i="9"/>
  <c r="AH12" i="9"/>
  <c r="AI12" i="9" s="1"/>
  <c r="O12" i="9"/>
  <c r="N12" i="9"/>
  <c r="M12" i="9"/>
  <c r="O11" i="9"/>
  <c r="N11" i="9"/>
  <c r="M11" i="9"/>
  <c r="O18" i="8"/>
  <c r="N18" i="8"/>
  <c r="M18" i="8"/>
  <c r="O16" i="8"/>
  <c r="N16" i="8"/>
  <c r="M16" i="8"/>
  <c r="O15" i="8"/>
  <c r="N15" i="8"/>
  <c r="M15" i="8"/>
  <c r="O14" i="8"/>
  <c r="N14" i="8"/>
  <c r="M14" i="8"/>
  <c r="O13" i="8"/>
  <c r="N13" i="8"/>
  <c r="M13" i="8"/>
  <c r="O12" i="8"/>
  <c r="N12" i="8"/>
  <c r="M12" i="8"/>
  <c r="O11" i="8"/>
  <c r="N11" i="8"/>
  <c r="M11" i="8"/>
  <c r="AH20" i="9" l="1"/>
  <c r="AI20" i="9" s="1"/>
  <c r="X20" i="9"/>
  <c r="O18" i="7"/>
  <c r="N18" i="7"/>
  <c r="M18" i="7"/>
  <c r="O16" i="7"/>
  <c r="N16" i="7"/>
  <c r="M16" i="7"/>
  <c r="O15" i="7"/>
  <c r="N15" i="7"/>
  <c r="M15" i="7"/>
  <c r="O14" i="7"/>
  <c r="N14" i="7"/>
  <c r="M14" i="7"/>
  <c r="O12" i="7"/>
  <c r="N12" i="7"/>
  <c r="M12" i="7"/>
  <c r="O11" i="7"/>
  <c r="N11" i="7"/>
  <c r="M11" i="7"/>
  <c r="O13" i="7"/>
  <c r="N13" i="7"/>
  <c r="M13" i="7"/>
  <c r="O13" i="6"/>
  <c r="N13" i="6"/>
  <c r="M13" i="6"/>
  <c r="O16" i="6"/>
  <c r="N16" i="6"/>
  <c r="M16" i="6"/>
  <c r="O15" i="6"/>
  <c r="N15" i="6"/>
  <c r="M15" i="6"/>
  <c r="O14" i="6"/>
  <c r="N14" i="6"/>
  <c r="M14" i="6"/>
  <c r="O12" i="6"/>
  <c r="N12" i="6"/>
  <c r="M12" i="6"/>
  <c r="O11" i="6"/>
  <c r="N11" i="6"/>
  <c r="M11" i="6"/>
  <c r="E21" i="1"/>
  <c r="O16" i="5"/>
  <c r="N16" i="5"/>
  <c r="M16" i="5"/>
  <c r="O15" i="5"/>
  <c r="N15" i="5"/>
  <c r="M15" i="5"/>
  <c r="F21" i="1"/>
  <c r="O14" i="5"/>
  <c r="N14" i="5"/>
  <c r="M14" i="5"/>
  <c r="O13" i="5"/>
  <c r="N13" i="5"/>
  <c r="M13" i="5"/>
  <c r="O12" i="5"/>
  <c r="N12" i="5"/>
  <c r="M12" i="5"/>
  <c r="O11" i="5"/>
  <c r="N11" i="5"/>
  <c r="Q11" i="5" s="1"/>
  <c r="M11" i="5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M11" i="1"/>
  <c r="O11" i="1"/>
  <c r="N11" i="1"/>
  <c r="E21" i="11"/>
  <c r="O16" i="11"/>
  <c r="N16" i="11"/>
  <c r="M16" i="11"/>
  <c r="O15" i="11"/>
  <c r="N15" i="11"/>
  <c r="M15" i="11"/>
  <c r="O14" i="11"/>
  <c r="N14" i="11"/>
  <c r="M14" i="11"/>
  <c r="O13" i="11"/>
  <c r="N13" i="11"/>
  <c r="M13" i="11"/>
  <c r="O12" i="11" l="1"/>
  <c r="N12" i="11"/>
  <c r="M12" i="11"/>
  <c r="O11" i="11"/>
  <c r="O20" i="11" s="1"/>
  <c r="N11" i="11"/>
  <c r="M11" i="11"/>
  <c r="E21" i="12" l="1"/>
  <c r="F21" i="11"/>
  <c r="O16" i="12"/>
  <c r="N16" i="12"/>
  <c r="M16" i="12"/>
  <c r="O15" i="12"/>
  <c r="N15" i="12"/>
  <c r="M15" i="12"/>
  <c r="O14" i="12"/>
  <c r="N14" i="12"/>
  <c r="M14" i="12"/>
  <c r="O12" i="12"/>
  <c r="N12" i="12"/>
  <c r="M12" i="12"/>
  <c r="O11" i="12"/>
  <c r="N11" i="12"/>
  <c r="M11" i="12"/>
  <c r="O13" i="12"/>
  <c r="N13" i="12"/>
  <c r="M13" i="12"/>
  <c r="M20" i="12" l="1"/>
  <c r="O20" i="12"/>
  <c r="N20" i="12"/>
  <c r="F21" i="12" l="1"/>
  <c r="G21" i="12" l="1"/>
  <c r="R18" i="12"/>
  <c r="P18" i="12"/>
  <c r="S18" i="12"/>
  <c r="R17" i="12"/>
  <c r="Q17" i="12"/>
  <c r="S17" i="12"/>
  <c r="R16" i="12"/>
  <c r="Q16" i="12"/>
  <c r="P16" i="12"/>
  <c r="S16" i="12"/>
  <c r="Q15" i="12"/>
  <c r="P15" i="12"/>
  <c r="S15" i="12"/>
  <c r="R14" i="12"/>
  <c r="Q14" i="12"/>
  <c r="S14" i="12"/>
  <c r="Q13" i="12"/>
  <c r="P13" i="12"/>
  <c r="S13" i="12"/>
  <c r="R12" i="12"/>
  <c r="P12" i="12"/>
  <c r="S12" i="12"/>
  <c r="R11" i="12"/>
  <c r="Q11" i="12"/>
  <c r="S11" i="12"/>
  <c r="T16" i="12" l="1"/>
  <c r="U16" i="12" s="1"/>
  <c r="I16" i="12" s="1"/>
  <c r="J16" i="13" s="1"/>
  <c r="P11" i="12"/>
  <c r="Q12" i="12"/>
  <c r="T12" i="12" s="1"/>
  <c r="U12" i="12" s="1"/>
  <c r="I12" i="12" s="1"/>
  <c r="J12" i="13" s="1"/>
  <c r="R13" i="12"/>
  <c r="R20" i="12" s="1"/>
  <c r="G20" i="12" s="1"/>
  <c r="P14" i="12"/>
  <c r="T14" i="12" s="1"/>
  <c r="U14" i="12" s="1"/>
  <c r="I14" i="12" s="1"/>
  <c r="J14" i="13" s="1"/>
  <c r="R15" i="12"/>
  <c r="T15" i="12" s="1"/>
  <c r="U15" i="12" s="1"/>
  <c r="I15" i="12" s="1"/>
  <c r="J15" i="13" s="1"/>
  <c r="P17" i="12"/>
  <c r="T17" i="12" s="1"/>
  <c r="U17" i="12" s="1"/>
  <c r="Q18" i="12"/>
  <c r="T18" i="12" s="1"/>
  <c r="U18" i="12" s="1"/>
  <c r="S20" i="12"/>
  <c r="Q20" i="12" l="1"/>
  <c r="F20" i="12" s="1"/>
  <c r="T13" i="12"/>
  <c r="U13" i="12" s="1"/>
  <c r="I13" i="12" s="1"/>
  <c r="J13" i="13" s="1"/>
  <c r="P20" i="12"/>
  <c r="T11" i="12"/>
  <c r="U11" i="12" s="1"/>
  <c r="I11" i="12" s="1"/>
  <c r="J11" i="13" l="1"/>
  <c r="I21" i="12"/>
  <c r="J21" i="13" s="1"/>
  <c r="T20" i="12"/>
  <c r="U20" i="12" s="1"/>
  <c r="I20" i="12" s="1"/>
  <c r="J20" i="13" s="1"/>
  <c r="E20" i="12"/>
  <c r="Q17" i="11" l="1"/>
  <c r="R16" i="11"/>
  <c r="P16" i="11"/>
  <c r="Q15" i="11"/>
  <c r="P15" i="11"/>
  <c r="R11" i="11"/>
  <c r="P11" i="11"/>
  <c r="G21" i="11"/>
  <c r="Q18" i="11"/>
  <c r="R18" i="11"/>
  <c r="P18" i="11"/>
  <c r="R17" i="11"/>
  <c r="P17" i="11"/>
  <c r="Q16" i="11"/>
  <c r="R15" i="11"/>
  <c r="R14" i="11"/>
  <c r="P14" i="11"/>
  <c r="Q14" i="11"/>
  <c r="R13" i="11"/>
  <c r="P13" i="11"/>
  <c r="Q13" i="11"/>
  <c r="S13" i="11"/>
  <c r="Q12" i="11"/>
  <c r="R12" i="11"/>
  <c r="S12" i="11"/>
  <c r="R18" i="9"/>
  <c r="Q18" i="9"/>
  <c r="R17" i="9"/>
  <c r="P17" i="9"/>
  <c r="R16" i="9"/>
  <c r="Q15" i="9"/>
  <c r="R14" i="9"/>
  <c r="Q14" i="9"/>
  <c r="P14" i="9"/>
  <c r="Q13" i="9"/>
  <c r="Q11" i="9"/>
  <c r="F21" i="9"/>
  <c r="E21" i="9"/>
  <c r="P18" i="9"/>
  <c r="Q17" i="9"/>
  <c r="Q16" i="9"/>
  <c r="P16" i="9"/>
  <c r="R15" i="9"/>
  <c r="P15" i="9"/>
  <c r="R13" i="9"/>
  <c r="Q12" i="9"/>
  <c r="Q12" i="8"/>
  <c r="R13" i="8"/>
  <c r="P14" i="8"/>
  <c r="Q15" i="8"/>
  <c r="Q16" i="8"/>
  <c r="R16" i="8"/>
  <c r="P17" i="8"/>
  <c r="P18" i="8"/>
  <c r="Q18" i="8"/>
  <c r="R17" i="8"/>
  <c r="R14" i="8"/>
  <c r="Q13" i="8"/>
  <c r="P12" i="8"/>
  <c r="G21" i="8"/>
  <c r="F21" i="8"/>
  <c r="E21" i="8"/>
  <c r="R18" i="8"/>
  <c r="Q17" i="8"/>
  <c r="P16" i="8"/>
  <c r="R15" i="8"/>
  <c r="P15" i="8"/>
  <c r="Q14" i="8"/>
  <c r="P13" i="8"/>
  <c r="R12" i="8"/>
  <c r="R11" i="8"/>
  <c r="P11" i="8"/>
  <c r="O20" i="8"/>
  <c r="G21" i="6"/>
  <c r="P18" i="7"/>
  <c r="P17" i="7"/>
  <c r="Q16" i="7"/>
  <c r="P16" i="7"/>
  <c r="Q15" i="7"/>
  <c r="P15" i="7"/>
  <c r="P14" i="7"/>
  <c r="R12" i="7"/>
  <c r="Q12" i="7"/>
  <c r="Q11" i="7"/>
  <c r="M20" i="7"/>
  <c r="G21" i="7"/>
  <c r="F21" i="7"/>
  <c r="E21" i="7"/>
  <c r="Q18" i="7"/>
  <c r="R18" i="7"/>
  <c r="Q17" i="7"/>
  <c r="R17" i="7"/>
  <c r="R16" i="7"/>
  <c r="R15" i="7"/>
  <c r="Q14" i="7"/>
  <c r="R14" i="7"/>
  <c r="Q13" i="7"/>
  <c r="S12" i="7" l="1"/>
  <c r="O20" i="7"/>
  <c r="N20" i="8"/>
  <c r="O20" i="9"/>
  <c r="N20" i="9"/>
  <c r="S12" i="9"/>
  <c r="R12" i="9"/>
  <c r="M20" i="8"/>
  <c r="Q20" i="7"/>
  <c r="R13" i="7"/>
  <c r="R20" i="11"/>
  <c r="M20" i="11"/>
  <c r="S11" i="11"/>
  <c r="N20" i="11"/>
  <c r="T13" i="11"/>
  <c r="U13" i="11" s="1"/>
  <c r="I13" i="11" s="1"/>
  <c r="J13" i="12" s="1"/>
  <c r="T16" i="11"/>
  <c r="T14" i="11"/>
  <c r="T15" i="11"/>
  <c r="T17" i="11"/>
  <c r="T18" i="11"/>
  <c r="S15" i="11"/>
  <c r="S18" i="11"/>
  <c r="Q11" i="11"/>
  <c r="Q20" i="11" s="1"/>
  <c r="P12" i="11"/>
  <c r="T12" i="11" s="1"/>
  <c r="U12" i="11" s="1"/>
  <c r="I12" i="11" s="1"/>
  <c r="J12" i="12" s="1"/>
  <c r="S14" i="11"/>
  <c r="S16" i="11"/>
  <c r="S17" i="11"/>
  <c r="Q20" i="9"/>
  <c r="T14" i="9"/>
  <c r="T16" i="9"/>
  <c r="T17" i="9"/>
  <c r="M20" i="9"/>
  <c r="T15" i="9"/>
  <c r="T18" i="9"/>
  <c r="P11" i="9"/>
  <c r="R11" i="9"/>
  <c r="P12" i="9"/>
  <c r="S11" i="9"/>
  <c r="P13" i="9"/>
  <c r="T13" i="9" s="1"/>
  <c r="S13" i="9"/>
  <c r="S14" i="9"/>
  <c r="S15" i="9"/>
  <c r="S16" i="9"/>
  <c r="S17" i="9"/>
  <c r="S18" i="9"/>
  <c r="P20" i="8"/>
  <c r="S12" i="8"/>
  <c r="R20" i="8"/>
  <c r="G20" i="8" s="1"/>
  <c r="T12" i="8"/>
  <c r="Q11" i="8"/>
  <c r="Q20" i="8" s="1"/>
  <c r="F20" i="8" s="1"/>
  <c r="S11" i="8"/>
  <c r="T13" i="8"/>
  <c r="S13" i="8"/>
  <c r="T14" i="8"/>
  <c r="S14" i="8"/>
  <c r="T15" i="8"/>
  <c r="S15" i="8"/>
  <c r="T16" i="8"/>
  <c r="S16" i="8"/>
  <c r="T17" i="8"/>
  <c r="S17" i="8"/>
  <c r="T18" i="8"/>
  <c r="S18" i="8"/>
  <c r="N20" i="7"/>
  <c r="T14" i="7"/>
  <c r="T15" i="7"/>
  <c r="T16" i="7"/>
  <c r="T17" i="7"/>
  <c r="T18" i="7"/>
  <c r="P11" i="7"/>
  <c r="R11" i="7"/>
  <c r="P12" i="7"/>
  <c r="T12" i="7" s="1"/>
  <c r="S11" i="7"/>
  <c r="P13" i="7"/>
  <c r="S13" i="7"/>
  <c r="S14" i="7"/>
  <c r="S15" i="7"/>
  <c r="S16" i="7"/>
  <c r="S17" i="7"/>
  <c r="S18" i="7"/>
  <c r="R18" i="6"/>
  <c r="Q18" i="6"/>
  <c r="R17" i="6"/>
  <c r="Q17" i="6"/>
  <c r="R16" i="6"/>
  <c r="Q16" i="6"/>
  <c r="P16" i="6"/>
  <c r="R15" i="6"/>
  <c r="Q15" i="6"/>
  <c r="P15" i="6"/>
  <c r="Q14" i="6"/>
  <c r="P14" i="6"/>
  <c r="R13" i="6"/>
  <c r="Q13" i="6"/>
  <c r="R12" i="6"/>
  <c r="Q12" i="6"/>
  <c r="O20" i="6"/>
  <c r="Q11" i="6"/>
  <c r="M20" i="6"/>
  <c r="F21" i="6"/>
  <c r="E21" i="6"/>
  <c r="P18" i="6"/>
  <c r="P17" i="6"/>
  <c r="R14" i="6"/>
  <c r="P13" i="6"/>
  <c r="P12" i="6"/>
  <c r="Q18" i="5"/>
  <c r="P17" i="5"/>
  <c r="R16" i="5"/>
  <c r="S16" i="5"/>
  <c r="R15" i="5"/>
  <c r="Q15" i="5"/>
  <c r="P13" i="5"/>
  <c r="Q12" i="5"/>
  <c r="S12" i="5"/>
  <c r="R11" i="5"/>
  <c r="G21" i="5"/>
  <c r="F21" i="5"/>
  <c r="E21" i="5"/>
  <c r="R18" i="5"/>
  <c r="P18" i="5"/>
  <c r="R17" i="5"/>
  <c r="Q17" i="5"/>
  <c r="Q16" i="5"/>
  <c r="P15" i="5"/>
  <c r="R14" i="5"/>
  <c r="P14" i="5"/>
  <c r="Q14" i="5"/>
  <c r="S14" i="5"/>
  <c r="R13" i="5"/>
  <c r="Q13" i="5"/>
  <c r="R12" i="5"/>
  <c r="U14" i="9" l="1"/>
  <c r="I14" i="9" s="1"/>
  <c r="F20" i="9"/>
  <c r="S20" i="8"/>
  <c r="U16" i="7"/>
  <c r="I16" i="7" s="1"/>
  <c r="U15" i="7"/>
  <c r="I15" i="7" s="1"/>
  <c r="U16" i="11"/>
  <c r="I16" i="11" s="1"/>
  <c r="J16" i="12" s="1"/>
  <c r="P12" i="5"/>
  <c r="T12" i="5" s="1"/>
  <c r="U12" i="5" s="1"/>
  <c r="I12" i="5" s="1"/>
  <c r="M20" i="5"/>
  <c r="O20" i="5"/>
  <c r="F20" i="7"/>
  <c r="U17" i="7"/>
  <c r="U18" i="7"/>
  <c r="I18" i="7" s="1"/>
  <c r="U14" i="7"/>
  <c r="I14" i="7" s="1"/>
  <c r="U12" i="7"/>
  <c r="I12" i="7" s="1"/>
  <c r="U18" i="8"/>
  <c r="I18" i="8" s="1"/>
  <c r="E20" i="8"/>
  <c r="U15" i="8"/>
  <c r="I15" i="8" s="1"/>
  <c r="J15" i="7" s="1"/>
  <c r="U13" i="8"/>
  <c r="I13" i="8" s="1"/>
  <c r="J13" i="7" s="1"/>
  <c r="U12" i="8"/>
  <c r="I12" i="8" s="1"/>
  <c r="U18" i="9"/>
  <c r="I18" i="9" s="1"/>
  <c r="J18" i="9" s="1"/>
  <c r="S20" i="9"/>
  <c r="U15" i="9"/>
  <c r="I15" i="9" s="1"/>
  <c r="R20" i="7"/>
  <c r="G20" i="7" s="1"/>
  <c r="U17" i="9"/>
  <c r="T12" i="9"/>
  <c r="U12" i="9" s="1"/>
  <c r="I12" i="9" s="1"/>
  <c r="J12" i="9" s="1"/>
  <c r="R20" i="9"/>
  <c r="G20" i="9" s="1"/>
  <c r="U16" i="9"/>
  <c r="I16" i="9" s="1"/>
  <c r="J16" i="9" s="1"/>
  <c r="U17" i="8"/>
  <c r="U16" i="8"/>
  <c r="I16" i="8" s="1"/>
  <c r="U14" i="8"/>
  <c r="I14" i="8" s="1"/>
  <c r="T13" i="7"/>
  <c r="U13" i="7" s="1"/>
  <c r="I13" i="7" s="1"/>
  <c r="S20" i="7"/>
  <c r="Q20" i="6"/>
  <c r="S14" i="6"/>
  <c r="P16" i="5"/>
  <c r="T16" i="5" s="1"/>
  <c r="U16" i="5" s="1"/>
  <c r="I16" i="5" s="1"/>
  <c r="S18" i="5"/>
  <c r="P11" i="5"/>
  <c r="F20" i="11"/>
  <c r="S20" i="11"/>
  <c r="U17" i="11"/>
  <c r="U14" i="11"/>
  <c r="I14" i="11" s="1"/>
  <c r="J14" i="12" s="1"/>
  <c r="G20" i="11"/>
  <c r="U18" i="11"/>
  <c r="U15" i="11"/>
  <c r="I15" i="11" s="1"/>
  <c r="J15" i="12" s="1"/>
  <c r="T11" i="11"/>
  <c r="U11" i="11" s="1"/>
  <c r="I11" i="11" s="1"/>
  <c r="P20" i="11"/>
  <c r="E20" i="11" s="1"/>
  <c r="U13" i="9"/>
  <c r="I13" i="9" s="1"/>
  <c r="J13" i="9" s="1"/>
  <c r="P20" i="9"/>
  <c r="T11" i="9"/>
  <c r="U11" i="9" s="1"/>
  <c r="I11" i="9" s="1"/>
  <c r="T20" i="8"/>
  <c r="T11" i="8"/>
  <c r="U11" i="8" s="1"/>
  <c r="I11" i="8" s="1"/>
  <c r="P20" i="7"/>
  <c r="T11" i="7"/>
  <c r="U11" i="7" s="1"/>
  <c r="I11" i="7" s="1"/>
  <c r="N20" i="6"/>
  <c r="T18" i="6"/>
  <c r="T15" i="6"/>
  <c r="T16" i="6"/>
  <c r="T17" i="6"/>
  <c r="S16" i="6"/>
  <c r="P11" i="6"/>
  <c r="R11" i="6"/>
  <c r="R20" i="6" s="1"/>
  <c r="G20" i="6" s="1"/>
  <c r="T12" i="6"/>
  <c r="S12" i="6"/>
  <c r="T13" i="6"/>
  <c r="S13" i="6"/>
  <c r="T14" i="6"/>
  <c r="S11" i="6"/>
  <c r="S15" i="6"/>
  <c r="S17" i="6"/>
  <c r="S18" i="6"/>
  <c r="S17" i="5"/>
  <c r="T14" i="5"/>
  <c r="U14" i="5" s="1"/>
  <c r="I14" i="5" s="1"/>
  <c r="T13" i="5"/>
  <c r="T15" i="5"/>
  <c r="N20" i="5"/>
  <c r="Q20" i="5"/>
  <c r="T18" i="5"/>
  <c r="S11" i="5"/>
  <c r="R20" i="5"/>
  <c r="S13" i="5"/>
  <c r="S15" i="5"/>
  <c r="T17" i="5"/>
  <c r="J15" i="8" l="1"/>
  <c r="J15" i="9"/>
  <c r="I21" i="9"/>
  <c r="J21" i="9" s="1"/>
  <c r="J11" i="9"/>
  <c r="J14" i="8"/>
  <c r="J14" i="9"/>
  <c r="J13" i="8"/>
  <c r="J12" i="8"/>
  <c r="J18" i="8"/>
  <c r="J18" i="7"/>
  <c r="J16" i="8"/>
  <c r="J16" i="7"/>
  <c r="J14" i="7"/>
  <c r="U20" i="8"/>
  <c r="I20" i="8" s="1"/>
  <c r="J12" i="7"/>
  <c r="U15" i="6"/>
  <c r="I15" i="6" s="1"/>
  <c r="J15" i="6" s="1"/>
  <c r="U14" i="6"/>
  <c r="I14" i="6" s="1"/>
  <c r="J14" i="5" s="1"/>
  <c r="J14" i="6"/>
  <c r="P20" i="5"/>
  <c r="T20" i="5" s="1"/>
  <c r="U15" i="5"/>
  <c r="I15" i="5" s="1"/>
  <c r="S20" i="5"/>
  <c r="U13" i="5"/>
  <c r="I13" i="5" s="1"/>
  <c r="U17" i="5"/>
  <c r="G20" i="5"/>
  <c r="U16" i="6"/>
  <c r="I16" i="6" s="1"/>
  <c r="J16" i="6" s="1"/>
  <c r="I21" i="8"/>
  <c r="J11" i="8"/>
  <c r="I21" i="7"/>
  <c r="J11" i="7"/>
  <c r="F20" i="6"/>
  <c r="S20" i="6"/>
  <c r="U18" i="5"/>
  <c r="J11" i="12"/>
  <c r="I21" i="11"/>
  <c r="T20" i="11"/>
  <c r="U20" i="11" s="1"/>
  <c r="I20" i="11" s="1"/>
  <c r="E20" i="9"/>
  <c r="T20" i="9"/>
  <c r="U20" i="9" s="1"/>
  <c r="I20" i="9" s="1"/>
  <c r="J20" i="9" s="1"/>
  <c r="E20" i="7"/>
  <c r="T20" i="7"/>
  <c r="U20" i="7" s="1"/>
  <c r="I20" i="7" s="1"/>
  <c r="U18" i="6"/>
  <c r="U13" i="6"/>
  <c r="I13" i="6" s="1"/>
  <c r="U17" i="6"/>
  <c r="U12" i="6"/>
  <c r="I12" i="6" s="1"/>
  <c r="P20" i="6"/>
  <c r="T11" i="6"/>
  <c r="U11" i="6" s="1"/>
  <c r="I11" i="6" s="1"/>
  <c r="F20" i="5"/>
  <c r="T11" i="5"/>
  <c r="U11" i="5" s="1"/>
  <c r="I11" i="5" s="1"/>
  <c r="J20" i="7" l="1"/>
  <c r="J16" i="5"/>
  <c r="J12" i="6"/>
  <c r="J12" i="5"/>
  <c r="J13" i="6"/>
  <c r="J13" i="5"/>
  <c r="E20" i="5"/>
  <c r="U20" i="5"/>
  <c r="I20" i="5" s="1"/>
  <c r="J15" i="5"/>
  <c r="J21" i="8"/>
  <c r="J20" i="8"/>
  <c r="J21" i="7"/>
  <c r="I21" i="6"/>
  <c r="J21" i="6" s="1"/>
  <c r="J11" i="6"/>
  <c r="J11" i="5"/>
  <c r="I21" i="5"/>
  <c r="J21" i="12"/>
  <c r="J20" i="12"/>
  <c r="E20" i="6"/>
  <c r="T20" i="6"/>
  <c r="U20" i="6" s="1"/>
  <c r="I20" i="6" s="1"/>
  <c r="J20" i="6" s="1"/>
  <c r="J21" i="5" l="1"/>
  <c r="J20" i="5"/>
  <c r="G21" i="1" l="1"/>
  <c r="R18" i="1" l="1"/>
  <c r="Q18" i="1"/>
  <c r="P18" i="1"/>
  <c r="R17" i="1"/>
  <c r="Q17" i="1"/>
  <c r="R16" i="1"/>
  <c r="Q16" i="1"/>
  <c r="P16" i="1"/>
  <c r="R15" i="1"/>
  <c r="Q15" i="1"/>
  <c r="R14" i="1"/>
  <c r="Q14" i="1"/>
  <c r="R13" i="1"/>
  <c r="Q13" i="1"/>
  <c r="R12" i="1"/>
  <c r="Q12" i="1"/>
  <c r="P12" i="1"/>
  <c r="N20" i="1"/>
  <c r="M20" i="1"/>
  <c r="Q11" i="1"/>
  <c r="Q20" i="1" l="1"/>
  <c r="F20" i="1" s="1"/>
  <c r="R11" i="1"/>
  <c r="R20" i="1" s="1"/>
  <c r="O20" i="1"/>
  <c r="S20" i="1" s="1"/>
  <c r="S11" i="1"/>
  <c r="S13" i="1"/>
  <c r="S15" i="1"/>
  <c r="S12" i="1"/>
  <c r="S14" i="1"/>
  <c r="S16" i="1"/>
  <c r="S17" i="1"/>
  <c r="S18" i="1"/>
  <c r="P14" i="1"/>
  <c r="T14" i="1" s="1"/>
  <c r="P17" i="1"/>
  <c r="T17" i="1" s="1"/>
  <c r="T12" i="1"/>
  <c r="P13" i="1"/>
  <c r="T13" i="1" s="1"/>
  <c r="P15" i="1"/>
  <c r="T15" i="1" s="1"/>
  <c r="T16" i="1"/>
  <c r="T18" i="1"/>
  <c r="P11" i="1"/>
  <c r="U14" i="1" l="1"/>
  <c r="I14" i="1" s="1"/>
  <c r="U17" i="1"/>
  <c r="U13" i="1"/>
  <c r="I13" i="1" s="1"/>
  <c r="U15" i="1"/>
  <c r="I15" i="1" s="1"/>
  <c r="U18" i="1"/>
  <c r="U16" i="1"/>
  <c r="I16" i="1" s="1"/>
  <c r="U12" i="1"/>
  <c r="I12" i="1" s="1"/>
  <c r="G20" i="1"/>
  <c r="T11" i="1"/>
  <c r="U11" i="1" s="1"/>
  <c r="I11" i="1" s="1"/>
  <c r="P20" i="1"/>
  <c r="J16" i="11" l="1"/>
  <c r="J16" i="1"/>
  <c r="J15" i="11"/>
  <c r="J15" i="1"/>
  <c r="J13" i="11"/>
  <c r="J13" i="1"/>
  <c r="J12" i="11"/>
  <c r="J12" i="1"/>
  <c r="J14" i="11"/>
  <c r="J14" i="1"/>
  <c r="J11" i="1"/>
  <c r="I21" i="1"/>
  <c r="J11" i="11"/>
  <c r="E20" i="1"/>
  <c r="T20" i="1"/>
  <c r="U20" i="1" s="1"/>
  <c r="I20" i="1" s="1"/>
  <c r="J21" i="1" l="1"/>
  <c r="J21" i="11"/>
  <c r="J20" i="1"/>
  <c r="J20" i="11"/>
</calcChain>
</file>

<file path=xl/sharedStrings.xml><?xml version="1.0" encoding="utf-8"?>
<sst xmlns="http://schemas.openxmlformats.org/spreadsheetml/2006/main" count="714" uniqueCount="73">
  <si>
    <t>Average 9-Month Equivalent Salary ($ Thousands)</t>
  </si>
  <si>
    <t>Annual</t>
  </si>
  <si>
    <t>Prof.</t>
  </si>
  <si>
    <t>Assoc.</t>
  </si>
  <si>
    <t>Asst.</t>
  </si>
  <si>
    <t>Avg.</t>
  </si>
  <si>
    <t>Change</t>
  </si>
  <si>
    <t>Number of Faculty</t>
  </si>
  <si>
    <t>PR</t>
  </si>
  <si>
    <t>AO</t>
  </si>
  <si>
    <t>AI</t>
  </si>
  <si>
    <t>Total</t>
  </si>
  <si>
    <t>Faculty</t>
  </si>
  <si>
    <t>Salary Amount ($ Thousands)</t>
  </si>
  <si>
    <t>Salary</t>
  </si>
  <si>
    <t>Average</t>
  </si>
  <si>
    <t>Source: AAUP Faculty Salary Survey</t>
  </si>
  <si>
    <t xml:space="preserve">Note: The annual change in average salary reflects additional faculty hired and/or promotions. </t>
  </si>
  <si>
    <t>TABLE 3.33</t>
  </si>
  <si>
    <t>IR&amp;P 4/13</t>
  </si>
  <si>
    <t>IR&amp;P 4/11</t>
  </si>
  <si>
    <t>IR&amp;P 4/10</t>
  </si>
  <si>
    <t>IR&amp;P 4/09</t>
  </si>
  <si>
    <t xml:space="preserve">Notes: The annual change in average salary reflects additional faculty hired and/or promotions. </t>
  </si>
  <si>
    <t xml:space="preserve">             Prior to FY16, includes only faculty identified as Instruction.  Starting FY16, includes Instruction</t>
  </si>
  <si>
    <t xml:space="preserve">             and those considered combined Instruction/Research/Public Service.</t>
  </si>
  <si>
    <t>FACULTY SALARIES AT PUBLIC ENGINEERING INSTITUTIONS (2015-2016)</t>
  </si>
  <si>
    <t>PUBLIC ENGINEERING</t>
  </si>
  <si>
    <t>MISSOURI UNIVERSITY OF SCIENCE AND TECHNOLOGY</t>
  </si>
  <si>
    <t>Colorado School of Mines</t>
  </si>
  <si>
    <t>Georgia Institute of Technology</t>
  </si>
  <si>
    <t>Michigan Technological University</t>
  </si>
  <si>
    <t>Missouri University of Science &amp; Technology</t>
  </si>
  <si>
    <t>New Jersey Institute of Technology</t>
  </si>
  <si>
    <t>New Mexico Institute of Mining &amp; Technology</t>
  </si>
  <si>
    <t>South Dakota School of Mines &amp; Technology</t>
  </si>
  <si>
    <t>Alabama, University of -- Huntsville</t>
  </si>
  <si>
    <t>Public Engineering weighted Average</t>
  </si>
  <si>
    <t>Public Engineering un-weighted Median</t>
  </si>
  <si>
    <t>TABLE 3.34</t>
  </si>
  <si>
    <t>FACULTY SALARIES AT PUBLIC ENGINEERING INSTITUTIONS (2014-2015)</t>
  </si>
  <si>
    <t>FACULTY SALARIES AT PUBLIC ENGINEERING INSTITUTIONS (2013-2014)</t>
  </si>
  <si>
    <t>FACULTY SALARIES AT PUBLIC ENGINEERING INSTITUTIONS (2012-2013)</t>
  </si>
  <si>
    <t>FACULTY SALARIES AT PUBLIC ENGINEERING INSTITUTIONS (2011-2012)</t>
  </si>
  <si>
    <t>FACULTY SALARIES AT PUBLIC ENGINEERING INSTITUTIONS (2010-2011)</t>
  </si>
  <si>
    <t>FACULTY SALARIES AT PUBLIC ENGINEERING INSTITUTIONS (2009-2010)</t>
  </si>
  <si>
    <t>FACULTY SALARIES AT PUBLIC ENGINEERING INSTITUTIONS (2008-2009)</t>
  </si>
  <si>
    <t>IR&amp;P 4/16</t>
  </si>
  <si>
    <t>IR&amp;P 4/15</t>
  </si>
  <si>
    <t>IR&amp;P 4/14</t>
  </si>
  <si>
    <t>IR&amp;P 4/12</t>
  </si>
  <si>
    <t>2007-2008</t>
  </si>
  <si>
    <t>Missouri, University of -- Rolla</t>
  </si>
  <si>
    <t>UM-IR 4/17</t>
  </si>
  <si>
    <t>FACULTY SALARIES AT PUBLIC ENGINEERING INSTITUTIONS (2016-2017)</t>
  </si>
  <si>
    <t>UM-IR 4/18</t>
  </si>
  <si>
    <t>FACULTY SALARIES AT PUBLIC ENGINEERING INSTITUTIONS (2017-2018)</t>
  </si>
  <si>
    <t>FACULTY SALARIES AT PUBLIC ENGINEERING INSTITUTIONS (2018-2019)</t>
  </si>
  <si>
    <t>UM-IR 8/19</t>
  </si>
  <si>
    <t>FACULTY SALARIES AT PUBLIC ENGINEERING INSTITUTIONS (2019-2020)</t>
  </si>
  <si>
    <t>UM-IR 4/20</t>
  </si>
  <si>
    <t>FACULTY SALARIES AT PUBLIC ENGINEERING INSTITUTIONS (2020-2021)</t>
  </si>
  <si>
    <t>UM-IR 7/21</t>
  </si>
  <si>
    <t>FACULTY SALARIES AT PUBLIC ENGINEERING INSTITUTIONS (2021-2022)</t>
  </si>
  <si>
    <t>UM-IR 4/22</t>
  </si>
  <si>
    <t>FACULTY SALARIES AT PUBLIC ENGINEERING INSTITUTIONS (2022-2023)</t>
  </si>
  <si>
    <t>UM-IR 4/23</t>
  </si>
  <si>
    <t>FACULTY SALARIES AT PUBLIC ENGINEERING INSTITUTIONS (2023-2024)</t>
  </si>
  <si>
    <t>UM-IR 8/24</t>
  </si>
  <si>
    <t>UM-IR 4/25</t>
  </si>
  <si>
    <t>FACULTY SALARIES AT PUBLIC ENGINEERING INSTITUTIONS (2024-2025)</t>
  </si>
  <si>
    <t>FACULTY SALARIES AT PUBLIC ENGINEERING INSTITUTIONS (2025-2026)</t>
  </si>
  <si>
    <t>UM-IR 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</si>
</sst>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ms Rmn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  <xf numFmtId="0" fontId="5" fillId="0" borderId="0" xfId="0" applyFont="1"/>
    <xf numFmtId="0" fontId="2" fillId="0" borderId="4" xfId="1" applyFont="1" applyBorder="1"/>
    <xf numFmtId="0" fontId="2" fillId="0" borderId="7" xfId="1" applyFont="1" applyBorder="1"/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right"/>
    </xf>
    <xf numFmtId="0" fontId="2" fillId="0" borderId="8" xfId="1" applyFont="1" applyBorder="1"/>
    <xf numFmtId="0" fontId="2" fillId="0" borderId="8" xfId="1" applyFont="1" applyBorder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6" xfId="0" applyFont="1" applyBorder="1"/>
    <xf numFmtId="0" fontId="1" fillId="0" borderId="4" xfId="0" applyFont="1" applyBorder="1"/>
    <xf numFmtId="164" fontId="1" fillId="0" borderId="0" xfId="0" applyNumberFormat="1" applyFont="1"/>
    <xf numFmtId="0" fontId="1" fillId="0" borderId="9" xfId="0" applyFont="1" applyBorder="1"/>
    <xf numFmtId="0" fontId="1" fillId="0" borderId="5" xfId="0" applyFont="1" applyBorder="1"/>
    <xf numFmtId="0" fontId="1" fillId="0" borderId="10" xfId="0" applyFont="1" applyBorder="1"/>
    <xf numFmtId="0" fontId="1" fillId="2" borderId="0" xfId="0" applyFont="1" applyFill="1"/>
    <xf numFmtId="164" fontId="1" fillId="2" borderId="0" xfId="0" applyNumberFormat="1" applyFont="1" applyFill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right"/>
    </xf>
    <xf numFmtId="1" fontId="2" fillId="0" borderId="0" xfId="1" applyNumberFormat="1" applyFont="1"/>
    <xf numFmtId="164" fontId="2" fillId="0" borderId="0" xfId="1" applyNumberFormat="1" applyFont="1"/>
    <xf numFmtId="1" fontId="2" fillId="0" borderId="0" xfId="0" applyNumberFormat="1" applyFont="1"/>
    <xf numFmtId="0" fontId="7" fillId="0" borderId="0" xfId="0" applyFont="1"/>
    <xf numFmtId="1" fontId="1" fillId="0" borderId="0" xfId="0" applyNumberFormat="1" applyFont="1"/>
    <xf numFmtId="164" fontId="7" fillId="0" borderId="0" xfId="0" applyNumberFormat="1" applyFont="1"/>
    <xf numFmtId="0" fontId="2" fillId="0" borderId="5" xfId="1" applyFont="1" applyBorder="1"/>
    <xf numFmtId="165" fontId="2" fillId="0" borderId="5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65" fontId="1" fillId="0" borderId="0" xfId="0" applyNumberFormat="1" applyFont="1"/>
    <xf numFmtId="165" fontId="7" fillId="0" borderId="0" xfId="0" applyNumberFormat="1" applyFont="1"/>
    <xf numFmtId="165" fontId="1" fillId="2" borderId="0" xfId="0" applyNumberFormat="1" applyFont="1" applyFill="1"/>
    <xf numFmtId="0" fontId="5" fillId="3" borderId="0" xfId="1" applyFont="1" applyFill="1" applyAlignment="1">
      <alignment vertical="center"/>
    </xf>
    <xf numFmtId="0" fontId="2" fillId="3" borderId="0" xfId="1" applyFont="1" applyFill="1"/>
    <xf numFmtId="164" fontId="2" fillId="3" borderId="0" xfId="1" applyNumberFormat="1" applyFont="1" applyFill="1"/>
    <xf numFmtId="0" fontId="3" fillId="0" borderId="0" xfId="1" applyFo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3031-94C0-4276-AC5E-83BC2837AE3D}">
  <dimension ref="A1:U26"/>
  <sheetViews>
    <sheetView tabSelected="1"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71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/>
      <c r="F11" s="18"/>
      <c r="G11" s="18"/>
      <c r="I11" s="18"/>
      <c r="J11" s="42"/>
      <c r="K11" s="16"/>
      <c r="M11" s="35"/>
      <c r="N11" s="35"/>
      <c r="O11" s="35"/>
      <c r="P11" s="33">
        <f>E11*M11</f>
        <v>0</v>
      </c>
      <c r="Q11" s="33">
        <f t="shared" ref="Q11:R16" si="0">F11*N11</f>
        <v>0</v>
      </c>
      <c r="R11" s="33">
        <f t="shared" si="0"/>
        <v>0</v>
      </c>
      <c r="S11" s="33">
        <f t="shared" ref="S11:S18" si="1">M11+N11+O11</f>
        <v>0</v>
      </c>
      <c r="T11" s="33">
        <f t="shared" ref="T11:T18" si="2">P11+Q11+R11</f>
        <v>0</v>
      </c>
      <c r="U11" s="34" t="e">
        <f>T11/S11</f>
        <v>#DIV/0!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173.5</v>
      </c>
      <c r="F12" s="18">
        <v>130.19999999999999</v>
      </c>
      <c r="G12" s="18">
        <v>109.7</v>
      </c>
      <c r="I12" s="18">
        <f>U12</f>
        <v>144.37798165137616</v>
      </c>
      <c r="J12" s="42">
        <f>(I12/'Engr 24-25'!I12)-1</f>
        <v>2.0147488505501743E-2</v>
      </c>
      <c r="K12" s="16"/>
      <c r="M12" s="35">
        <f>76+20</f>
        <v>96</v>
      </c>
      <c r="N12" s="35">
        <f>49+21</f>
        <v>70</v>
      </c>
      <c r="O12" s="35">
        <f>28+24</f>
        <v>52</v>
      </c>
      <c r="P12" s="33">
        <f t="shared" ref="P12:R18" si="3">E12*M12</f>
        <v>16656</v>
      </c>
      <c r="Q12" s="33">
        <f t="shared" si="0"/>
        <v>9114</v>
      </c>
      <c r="R12" s="33">
        <f t="shared" si="0"/>
        <v>5704.4000000000005</v>
      </c>
      <c r="S12" s="33">
        <f>M12+N12+O12</f>
        <v>218</v>
      </c>
      <c r="T12" s="33">
        <f t="shared" si="2"/>
        <v>31474.400000000001</v>
      </c>
      <c r="U12" s="34">
        <f t="shared" ref="U12:U18" si="4">T12/S12</f>
        <v>144.37798165137616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185.4</v>
      </c>
      <c r="F13" s="18">
        <v>139.6</v>
      </c>
      <c r="G13" s="18">
        <v>125.9</v>
      </c>
      <c r="I13" s="18">
        <f t="shared" ref="I13:I16" si="5">U13</f>
        <v>158.69622823984528</v>
      </c>
      <c r="J13" s="42">
        <f>(I13/'Engr 24-25'!I13)-1</f>
        <v>8.3935172643445632E-4</v>
      </c>
      <c r="K13" s="16"/>
      <c r="M13" s="35">
        <f>411+97</f>
        <v>508</v>
      </c>
      <c r="N13" s="35">
        <f>183+86</f>
        <v>269</v>
      </c>
      <c r="O13" s="35">
        <f>144+113</f>
        <v>257</v>
      </c>
      <c r="P13" s="33">
        <f t="shared" si="3"/>
        <v>94183.2</v>
      </c>
      <c r="Q13" s="33">
        <f t="shared" si="0"/>
        <v>37552.400000000001</v>
      </c>
      <c r="R13" s="33">
        <f t="shared" si="0"/>
        <v>32356.300000000003</v>
      </c>
      <c r="S13" s="33">
        <f>M13+N13+O13</f>
        <v>1034</v>
      </c>
      <c r="T13" s="33">
        <f t="shared" si="2"/>
        <v>164091.90000000002</v>
      </c>
      <c r="U13" s="34">
        <f t="shared" si="4"/>
        <v>158.69622823984528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140.19999999999999</v>
      </c>
      <c r="F14" s="18">
        <v>111.8</v>
      </c>
      <c r="G14" s="18">
        <v>106.1</v>
      </c>
      <c r="I14" s="18">
        <f t="shared" si="5"/>
        <v>120.32356902356902</v>
      </c>
      <c r="J14" s="42">
        <f>(I14/'Engr 24-25'!I14)-1</f>
        <v>3.3596641456622223E-2</v>
      </c>
      <c r="K14" s="16"/>
      <c r="M14" s="35">
        <f>80+27</f>
        <v>107</v>
      </c>
      <c r="N14" s="35">
        <f>70+31</f>
        <v>101</v>
      </c>
      <c r="O14" s="35">
        <f>58+31</f>
        <v>89</v>
      </c>
      <c r="P14" s="33">
        <f t="shared" si="3"/>
        <v>15001.4</v>
      </c>
      <c r="Q14" s="33">
        <f t="shared" si="0"/>
        <v>11291.8</v>
      </c>
      <c r="R14" s="33">
        <f t="shared" si="0"/>
        <v>9442.9</v>
      </c>
      <c r="S14" s="33">
        <f t="shared" si="1"/>
        <v>297</v>
      </c>
      <c r="T14" s="33">
        <f t="shared" si="2"/>
        <v>35736.1</v>
      </c>
      <c r="U14" s="34">
        <f t="shared" si="4"/>
        <v>120.32356902356902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148.80000000000001</v>
      </c>
      <c r="F15" s="23">
        <v>100.8</v>
      </c>
      <c r="G15" s="23">
        <v>89.1</v>
      </c>
      <c r="H15" s="22"/>
      <c r="I15" s="23">
        <f t="shared" si="5"/>
        <v>117.49704142011835</v>
      </c>
      <c r="J15" s="44">
        <f>(I15/'Engr 24-25'!I15)-1</f>
        <v>1.7252345327210872E-2</v>
      </c>
      <c r="K15" s="16"/>
      <c r="M15" s="35">
        <f>103+37</f>
        <v>140</v>
      </c>
      <c r="N15" s="35">
        <f>72+34</f>
        <v>106</v>
      </c>
      <c r="O15" s="35">
        <f>64+28</f>
        <v>92</v>
      </c>
      <c r="P15" s="33">
        <f t="shared" si="3"/>
        <v>20832</v>
      </c>
      <c r="Q15" s="33">
        <f t="shared" si="0"/>
        <v>10684.8</v>
      </c>
      <c r="R15" s="33">
        <f t="shared" si="0"/>
        <v>8197.1999999999989</v>
      </c>
      <c r="S15" s="33">
        <f t="shared" si="1"/>
        <v>338</v>
      </c>
      <c r="T15" s="33">
        <f t="shared" si="2"/>
        <v>39714</v>
      </c>
      <c r="U15" s="34">
        <f t="shared" si="4"/>
        <v>117.49704142011835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216.6</v>
      </c>
      <c r="F16" s="18">
        <v>150.30000000000001</v>
      </c>
      <c r="G16" s="18">
        <v>127.2</v>
      </c>
      <c r="I16" s="18">
        <f t="shared" si="5"/>
        <v>168.01945945945948</v>
      </c>
      <c r="J16" s="42">
        <f>(I16/'Engr 24-25'!I16)-1</f>
        <v>2.3930022260200579E-2</v>
      </c>
      <c r="K16" s="16"/>
      <c r="M16" s="35">
        <f>125+15</f>
        <v>140</v>
      </c>
      <c r="N16" s="35">
        <f>82+30</f>
        <v>112</v>
      </c>
      <c r="O16" s="35">
        <f>73+45</f>
        <v>118</v>
      </c>
      <c r="P16" s="33">
        <f t="shared" si="3"/>
        <v>30324</v>
      </c>
      <c r="Q16" s="33">
        <f t="shared" si="0"/>
        <v>16833.600000000002</v>
      </c>
      <c r="R16" s="33">
        <f t="shared" si="0"/>
        <v>15009.6</v>
      </c>
      <c r="S16" s="33">
        <f t="shared" si="1"/>
        <v>370</v>
      </c>
      <c r="T16" s="33">
        <f t="shared" si="2"/>
        <v>62167.200000000004</v>
      </c>
      <c r="U16" s="34">
        <f t="shared" si="4"/>
        <v>168.01945945945948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3"/>
        <v>0</v>
      </c>
      <c r="Q17" s="33">
        <f t="shared" si="3"/>
        <v>0</v>
      </c>
      <c r="R17" s="33">
        <f t="shared" si="3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>E18*M18</f>
        <v>0</v>
      </c>
      <c r="Q18" s="33">
        <f t="shared" si="3"/>
        <v>0</v>
      </c>
      <c r="R18" s="33">
        <f t="shared" si="3"/>
        <v>0</v>
      </c>
      <c r="S18" s="33">
        <f t="shared" si="1"/>
        <v>0</v>
      </c>
      <c r="T18" s="33">
        <f t="shared" si="2"/>
        <v>0</v>
      </c>
      <c r="U18" s="34" t="e">
        <f t="shared" si="4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178.60403632694246</v>
      </c>
      <c r="F20" s="38">
        <f>Q20/N20</f>
        <v>129.90364741641338</v>
      </c>
      <c r="G20" s="38">
        <f>R20/O20</f>
        <v>116.30000000000001</v>
      </c>
      <c r="H20" s="36"/>
      <c r="I20" s="38">
        <f>U20</f>
        <v>147.62233052724855</v>
      </c>
      <c r="J20" s="43">
        <f>(I20/'Engr 24-25'!I20)-1</f>
        <v>1.0745922916818751E-2</v>
      </c>
      <c r="K20" s="16"/>
      <c r="M20" s="37">
        <f t="shared" ref="M20:R20" si="6">SUM(M11:M18)</f>
        <v>991</v>
      </c>
      <c r="N20" s="37">
        <f t="shared" si="6"/>
        <v>658</v>
      </c>
      <c r="O20" s="37">
        <f t="shared" si="6"/>
        <v>608</v>
      </c>
      <c r="P20" s="37">
        <f t="shared" si="6"/>
        <v>176996.59999999998</v>
      </c>
      <c r="Q20" s="37">
        <f t="shared" si="6"/>
        <v>85476.6</v>
      </c>
      <c r="R20" s="37">
        <f t="shared" si="6"/>
        <v>70710.400000000009</v>
      </c>
      <c r="S20" s="33">
        <f>M20+N20+O20</f>
        <v>2257</v>
      </c>
      <c r="T20" s="33">
        <f>P20+Q20+R20</f>
        <v>333183.59999999998</v>
      </c>
      <c r="U20" s="34">
        <f>T20/S20</f>
        <v>147.62233052724855</v>
      </c>
    </row>
    <row r="21" spans="1:21" ht="13.5" customHeight="1" x14ac:dyDescent="0.2">
      <c r="A21" s="17"/>
      <c r="D21" s="41" t="s">
        <v>38</v>
      </c>
      <c r="E21" s="38">
        <f>MEDIAN(E11:E18)</f>
        <v>173.5</v>
      </c>
      <c r="F21" s="38">
        <f>MEDIAN(F11:F18)</f>
        <v>130.19999999999999</v>
      </c>
      <c r="G21" s="38">
        <f>MEDIAN(G11:G18)</f>
        <v>109.7</v>
      </c>
      <c r="H21" s="36"/>
      <c r="I21" s="38">
        <f>MEDIAN(I11:I18)</f>
        <v>144.37798165137616</v>
      </c>
      <c r="J21" s="43">
        <f>(I21/'Engr 24-25'!I21)-1</f>
        <v>2.0147488505501743E-2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72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54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128.19999999999999</v>
      </c>
      <c r="F11" s="18">
        <v>94.1</v>
      </c>
      <c r="G11" s="18">
        <v>75.2</v>
      </c>
      <c r="I11" s="18">
        <f>U11</f>
        <v>96.246874999999989</v>
      </c>
      <c r="J11" s="42">
        <f>(I11/'Engr 15-16'!I11)-1</f>
        <v>9.5201547510506135E-3</v>
      </c>
      <c r="K11" s="16"/>
      <c r="M11" s="35">
        <f>55+11</f>
        <v>66</v>
      </c>
      <c r="N11" s="35">
        <f>67+33</f>
        <v>100</v>
      </c>
      <c r="O11" s="35">
        <f>43+47</f>
        <v>90</v>
      </c>
      <c r="P11" s="33">
        <f t="shared" ref="P11:R18" si="0">E11*M11</f>
        <v>8461.1999999999989</v>
      </c>
      <c r="Q11" s="33">
        <f t="shared" si="0"/>
        <v>9410</v>
      </c>
      <c r="R11" s="33">
        <f t="shared" si="0"/>
        <v>6768</v>
      </c>
      <c r="S11" s="33">
        <f t="shared" ref="S11:S18" si="1">M11+N11+O11</f>
        <v>256</v>
      </c>
      <c r="T11" s="33">
        <f t="shared" ref="T11:T18" si="2">P11+Q11+R11</f>
        <v>24639.199999999997</v>
      </c>
      <c r="U11" s="34">
        <f>T11/S11</f>
        <v>96.246874999999989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136.9</v>
      </c>
      <c r="F12" s="18">
        <v>102.9</v>
      </c>
      <c r="G12" s="18">
        <v>87.4</v>
      </c>
      <c r="I12" s="18">
        <f t="shared" ref="I12:I16" si="3">U12</f>
        <v>112.20392156862745</v>
      </c>
      <c r="J12" s="42">
        <f>(I12/'Engr 15-16'!I12)-1</f>
        <v>2.7742557727969963E-2</v>
      </c>
      <c r="K12" s="16"/>
      <c r="M12" s="35">
        <f>70+15</f>
        <v>85</v>
      </c>
      <c r="N12" s="35">
        <f>46+9</f>
        <v>55</v>
      </c>
      <c r="O12" s="35">
        <f>44+20</f>
        <v>64</v>
      </c>
      <c r="P12" s="33">
        <f t="shared" si="0"/>
        <v>11636.5</v>
      </c>
      <c r="Q12" s="33">
        <f t="shared" si="0"/>
        <v>5659.5</v>
      </c>
      <c r="R12" s="33">
        <f t="shared" si="0"/>
        <v>5593.6</v>
      </c>
      <c r="S12" s="33">
        <f>M12+N12+O12</f>
        <v>204</v>
      </c>
      <c r="T12" s="33">
        <f t="shared" si="2"/>
        <v>22889.599999999999</v>
      </c>
      <c r="U12" s="34">
        <f t="shared" ref="U12:U18" si="4">T12/S12</f>
        <v>112.20392156862745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162.1</v>
      </c>
      <c r="F13" s="18">
        <v>107.7</v>
      </c>
      <c r="G13" s="18">
        <v>103.1</v>
      </c>
      <c r="I13" s="18">
        <f t="shared" si="3"/>
        <v>134.42000000000002</v>
      </c>
      <c r="J13" s="42">
        <f>(I13/'Engr 15-16'!I13)-1</f>
        <v>5.0399497033362328E-2</v>
      </c>
      <c r="K13" s="16"/>
      <c r="M13" s="35">
        <f>430+83</f>
        <v>513</v>
      </c>
      <c r="N13" s="35">
        <f>229+68</f>
        <v>297</v>
      </c>
      <c r="O13" s="35">
        <f>132+68</f>
        <v>200</v>
      </c>
      <c r="P13" s="33">
        <f t="shared" si="0"/>
        <v>83157.3</v>
      </c>
      <c r="Q13" s="33">
        <f t="shared" si="0"/>
        <v>31986.9</v>
      </c>
      <c r="R13" s="33">
        <f t="shared" si="0"/>
        <v>20620</v>
      </c>
      <c r="S13" s="33">
        <f>M13+N13+O13</f>
        <v>1010</v>
      </c>
      <c r="T13" s="33">
        <f t="shared" si="2"/>
        <v>135764.20000000001</v>
      </c>
      <c r="U13" s="34">
        <f t="shared" si="4"/>
        <v>134.42000000000002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115.2</v>
      </c>
      <c r="F14" s="18">
        <v>96</v>
      </c>
      <c r="G14" s="18">
        <v>78.3</v>
      </c>
      <c r="I14" s="18">
        <f t="shared" si="3"/>
        <v>97.235135135135138</v>
      </c>
      <c r="J14" s="42">
        <f>(I14/'Engr 15-16'!I14)-1</f>
        <v>1.0227383982258864E-2</v>
      </c>
      <c r="K14" s="16"/>
      <c r="M14" s="35">
        <f>85+24</f>
        <v>109</v>
      </c>
      <c r="N14" s="35">
        <f>94+35</f>
        <v>129</v>
      </c>
      <c r="O14" s="35">
        <f>63+32</f>
        <v>95</v>
      </c>
      <c r="P14" s="33">
        <f t="shared" si="0"/>
        <v>12556.800000000001</v>
      </c>
      <c r="Q14" s="33">
        <f t="shared" si="0"/>
        <v>12384</v>
      </c>
      <c r="R14" s="33">
        <f t="shared" si="0"/>
        <v>7438.5</v>
      </c>
      <c r="S14" s="33">
        <f t="shared" si="1"/>
        <v>333</v>
      </c>
      <c r="T14" s="33">
        <f t="shared" si="2"/>
        <v>32379.300000000003</v>
      </c>
      <c r="U14" s="34">
        <f t="shared" si="4"/>
        <v>97.235135135135138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126.4</v>
      </c>
      <c r="F15" s="23">
        <v>84.2</v>
      </c>
      <c r="G15" s="23">
        <v>73.3</v>
      </c>
      <c r="H15" s="22"/>
      <c r="I15" s="23">
        <f t="shared" si="3"/>
        <v>95.29972602739727</v>
      </c>
      <c r="J15" s="44">
        <f>(I15/'Engr 15-16'!I15)-1</f>
        <v>-1.0404235650054661E-2</v>
      </c>
      <c r="K15" s="16"/>
      <c r="M15" s="35">
        <f>107+20</f>
        <v>127</v>
      </c>
      <c r="N15" s="35">
        <f>86+32</f>
        <v>118</v>
      </c>
      <c r="O15" s="35">
        <f>77+43</f>
        <v>120</v>
      </c>
      <c r="P15" s="33">
        <f t="shared" si="0"/>
        <v>16052.800000000001</v>
      </c>
      <c r="Q15" s="33">
        <f t="shared" si="0"/>
        <v>9935.6</v>
      </c>
      <c r="R15" s="33">
        <f t="shared" si="0"/>
        <v>8796</v>
      </c>
      <c r="S15" s="33">
        <f t="shared" si="1"/>
        <v>365</v>
      </c>
      <c r="T15" s="33">
        <f t="shared" si="2"/>
        <v>34784.400000000001</v>
      </c>
      <c r="U15" s="34">
        <f t="shared" si="4"/>
        <v>95.29972602739727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187.1</v>
      </c>
      <c r="F16" s="18">
        <v>133</v>
      </c>
      <c r="G16" s="18">
        <v>100.8</v>
      </c>
      <c r="I16" s="18">
        <f t="shared" si="3"/>
        <v>150.85358361774746</v>
      </c>
      <c r="J16" s="42">
        <f>(I16/'Engr 15-16'!I16)-1</f>
        <v>6.0258994181225933E-3</v>
      </c>
      <c r="K16" s="16"/>
      <c r="M16" s="35">
        <f>120+13</f>
        <v>133</v>
      </c>
      <c r="N16" s="35">
        <f>79+20</f>
        <v>99</v>
      </c>
      <c r="O16" s="35">
        <f>46+15</f>
        <v>61</v>
      </c>
      <c r="P16" s="33">
        <f t="shared" si="0"/>
        <v>24884.3</v>
      </c>
      <c r="Q16" s="33">
        <f t="shared" si="0"/>
        <v>13167</v>
      </c>
      <c r="R16" s="33">
        <f t="shared" si="0"/>
        <v>6148.8</v>
      </c>
      <c r="S16" s="33">
        <f t="shared" si="1"/>
        <v>293</v>
      </c>
      <c r="T16" s="33">
        <f t="shared" si="2"/>
        <v>44200.100000000006</v>
      </c>
      <c r="U16" s="34">
        <f t="shared" si="4"/>
        <v>150.85358361774746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4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151.74143272023232</v>
      </c>
      <c r="F20" s="38">
        <f>Q20/N20</f>
        <v>103.43734335839599</v>
      </c>
      <c r="G20" s="38">
        <f>R20/O20</f>
        <v>87.880793650793649</v>
      </c>
      <c r="H20" s="36"/>
      <c r="I20" s="38">
        <f>U20</f>
        <v>119.73051605038602</v>
      </c>
      <c r="J20" s="43">
        <f>(I20/'Engr 15-16'!I20)-1</f>
        <v>3.193363758708001E-2</v>
      </c>
      <c r="K20" s="16"/>
      <c r="M20" s="37">
        <f t="shared" ref="M20:R20" si="5">SUM(M11:M18)</f>
        <v>1033</v>
      </c>
      <c r="N20" s="37">
        <f t="shared" si="5"/>
        <v>798</v>
      </c>
      <c r="O20" s="37">
        <f t="shared" si="5"/>
        <v>630</v>
      </c>
      <c r="P20" s="37">
        <f t="shared" si="5"/>
        <v>156748.9</v>
      </c>
      <c r="Q20" s="37">
        <f t="shared" si="5"/>
        <v>82543</v>
      </c>
      <c r="R20" s="37">
        <f t="shared" si="5"/>
        <v>55364.9</v>
      </c>
      <c r="S20" s="33">
        <f>M20+N20+O20</f>
        <v>2461</v>
      </c>
      <c r="T20" s="33">
        <f>P20+Q20+R20</f>
        <v>294656.8</v>
      </c>
      <c r="U20" s="34">
        <f>T20/S20</f>
        <v>119.73051605038602</v>
      </c>
    </row>
    <row r="21" spans="1:21" ht="13.5" customHeight="1" x14ac:dyDescent="0.2">
      <c r="A21" s="17"/>
      <c r="D21" s="41" t="s">
        <v>38</v>
      </c>
      <c r="E21" s="38">
        <f>MEDIAN(E11:E18)</f>
        <v>132.55000000000001</v>
      </c>
      <c r="F21" s="38">
        <f>MEDIAN(F11:F18)</f>
        <v>99.45</v>
      </c>
      <c r="G21" s="38">
        <f>MEDIAN(G11:G18)</f>
        <v>82.85</v>
      </c>
      <c r="H21" s="36"/>
      <c r="I21" s="38">
        <f>MEDIAN(I11:I18)</f>
        <v>104.71952835188129</v>
      </c>
      <c r="J21" s="43">
        <f>(I21/'Engr 15-16'!I21)-1</f>
        <v>1.9283252900686554E-2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53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9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26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127.2</v>
      </c>
      <c r="F11" s="18">
        <v>91.5</v>
      </c>
      <c r="G11" s="18">
        <v>75.400000000000006</v>
      </c>
      <c r="I11" s="18">
        <f>U11</f>
        <v>95.339230769230781</v>
      </c>
      <c r="J11" s="42">
        <f>(I11/'Engr 14-15'!I11)-1</f>
        <v>7.0083384454593167E-2</v>
      </c>
      <c r="K11" s="16"/>
      <c r="M11" s="35">
        <f>57+12</f>
        <v>69</v>
      </c>
      <c r="N11" s="35">
        <f>66+34</f>
        <v>100</v>
      </c>
      <c r="O11" s="35">
        <f>46+45</f>
        <v>91</v>
      </c>
      <c r="P11" s="33">
        <f t="shared" ref="P11:R18" si="0">E11*M11</f>
        <v>8776.8000000000011</v>
      </c>
      <c r="Q11" s="33">
        <f t="shared" si="0"/>
        <v>9150</v>
      </c>
      <c r="R11" s="33">
        <f t="shared" si="0"/>
        <v>6861.4000000000005</v>
      </c>
      <c r="S11" s="33">
        <f t="shared" ref="S11:S18" si="1">M11+N11+O11</f>
        <v>260</v>
      </c>
      <c r="T11" s="33">
        <f t="shared" ref="T11:T18" si="2">P11+Q11+R11</f>
        <v>24788.200000000004</v>
      </c>
      <c r="U11" s="34">
        <f>T11/S11</f>
        <v>95.339230769230781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134</v>
      </c>
      <c r="F12" s="18">
        <v>99.6</v>
      </c>
      <c r="G12" s="18">
        <v>85.7</v>
      </c>
      <c r="I12" s="18">
        <f t="shared" ref="I12:I15" si="3">U12</f>
        <v>109.17512437810946</v>
      </c>
      <c r="J12" s="42">
        <f>(I12/'Engr 14-15'!I12)-1</f>
        <v>2.6446760342021314E-2</v>
      </c>
      <c r="K12" s="16"/>
      <c r="M12" s="35">
        <f>68+13</f>
        <v>81</v>
      </c>
      <c r="N12" s="35">
        <f>48+10</f>
        <v>58</v>
      </c>
      <c r="O12" s="35">
        <f>45+17</f>
        <v>62</v>
      </c>
      <c r="P12" s="33">
        <f t="shared" ref="P12:R13" si="4">E12*M12</f>
        <v>10854</v>
      </c>
      <c r="Q12" s="33">
        <f t="shared" si="4"/>
        <v>5776.7999999999993</v>
      </c>
      <c r="R12" s="33">
        <f t="shared" si="4"/>
        <v>5313.4000000000005</v>
      </c>
      <c r="S12" s="33">
        <f>M12+N12+O12</f>
        <v>201</v>
      </c>
      <c r="T12" s="33">
        <f t="shared" si="2"/>
        <v>21944.2</v>
      </c>
      <c r="U12" s="34">
        <f t="shared" ref="U12:U18" si="5">T12/S12</f>
        <v>109.17512437810946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154.4</v>
      </c>
      <c r="F13" s="18">
        <v>107</v>
      </c>
      <c r="G13" s="18">
        <v>99.5</v>
      </c>
      <c r="I13" s="18">
        <f t="shared" si="3"/>
        <v>127.97035830618893</v>
      </c>
      <c r="J13" s="42">
        <f>(I13/'Engr 14-15'!I13)-1</f>
        <v>2.3809795676902556E-2</v>
      </c>
      <c r="K13" s="16"/>
      <c r="M13" s="35">
        <f>369+69</f>
        <v>438</v>
      </c>
      <c r="N13" s="35">
        <f>219+71</f>
        <v>290</v>
      </c>
      <c r="O13" s="35">
        <f>133+60</f>
        <v>193</v>
      </c>
      <c r="P13" s="33">
        <f t="shared" si="4"/>
        <v>67627.199999999997</v>
      </c>
      <c r="Q13" s="33">
        <f t="shared" si="4"/>
        <v>31030</v>
      </c>
      <c r="R13" s="33">
        <f t="shared" si="4"/>
        <v>19203.5</v>
      </c>
      <c r="S13" s="33">
        <f>M13+N13+O13</f>
        <v>921</v>
      </c>
      <c r="T13" s="33">
        <f t="shared" si="2"/>
        <v>117860.7</v>
      </c>
      <c r="U13" s="34">
        <f t="shared" si="5"/>
        <v>127.97035830618893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114.9</v>
      </c>
      <c r="F14" s="18">
        <v>94.6</v>
      </c>
      <c r="G14" s="18">
        <v>78.2</v>
      </c>
      <c r="I14" s="18">
        <f t="shared" si="3"/>
        <v>96.250741839762611</v>
      </c>
      <c r="J14" s="42">
        <f>(I14/'Engr 14-15'!I14)-1</f>
        <v>2.3963456596816535E-2</v>
      </c>
      <c r="K14" s="16"/>
      <c r="M14" s="35">
        <f>85+24</f>
        <v>109</v>
      </c>
      <c r="N14" s="35">
        <f>96+31</f>
        <v>127</v>
      </c>
      <c r="O14" s="35">
        <f>67+34</f>
        <v>101</v>
      </c>
      <c r="P14" s="33">
        <f t="shared" si="0"/>
        <v>12524.1</v>
      </c>
      <c r="Q14" s="33">
        <f t="shared" si="0"/>
        <v>12014.199999999999</v>
      </c>
      <c r="R14" s="33">
        <f t="shared" si="0"/>
        <v>7898.2000000000007</v>
      </c>
      <c r="S14" s="33">
        <f t="shared" si="1"/>
        <v>337</v>
      </c>
      <c r="T14" s="33">
        <f t="shared" si="2"/>
        <v>32436.5</v>
      </c>
      <c r="U14" s="34">
        <f t="shared" si="5"/>
        <v>96.250741839762611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127.9</v>
      </c>
      <c r="F15" s="23">
        <v>85.1</v>
      </c>
      <c r="G15" s="23">
        <v>74.099999999999994</v>
      </c>
      <c r="H15" s="22"/>
      <c r="I15" s="23">
        <f t="shared" si="3"/>
        <v>96.301671309192216</v>
      </c>
      <c r="J15" s="44">
        <f>(I15/'Engr 14-15'!I15)-1</f>
        <v>1.196886286650245E-2</v>
      </c>
      <c r="K15" s="16"/>
      <c r="M15" s="35">
        <f>108+15</f>
        <v>123</v>
      </c>
      <c r="N15" s="35">
        <f>86+37</f>
        <v>123</v>
      </c>
      <c r="O15" s="35">
        <f>70+43</f>
        <v>113</v>
      </c>
      <c r="P15" s="33">
        <f t="shared" si="0"/>
        <v>15731.7</v>
      </c>
      <c r="Q15" s="33">
        <f t="shared" si="0"/>
        <v>10467.299999999999</v>
      </c>
      <c r="R15" s="33">
        <f t="shared" si="0"/>
        <v>8373.2999999999993</v>
      </c>
      <c r="S15" s="33">
        <f t="shared" si="1"/>
        <v>359</v>
      </c>
      <c r="T15" s="33">
        <f t="shared" si="2"/>
        <v>34572.300000000003</v>
      </c>
      <c r="U15" s="34">
        <f t="shared" si="5"/>
        <v>96.301671309192216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187.2</v>
      </c>
      <c r="F16" s="18">
        <v>127.3</v>
      </c>
      <c r="G16" s="18">
        <v>98.4</v>
      </c>
      <c r="I16" s="18">
        <f t="shared" ref="I16" si="6">U16</f>
        <v>149.94999999999999</v>
      </c>
      <c r="J16" s="42">
        <f>(I16/'Engr 14-15'!I16)-1</f>
        <v>4.8844066659559315E-2</v>
      </c>
      <c r="K16" s="16"/>
      <c r="M16" s="35">
        <f>117+13</f>
        <v>130</v>
      </c>
      <c r="N16" s="35">
        <f>81+19</f>
        <v>100</v>
      </c>
      <c r="O16" s="35">
        <f>35+15</f>
        <v>50</v>
      </c>
      <c r="P16" s="33">
        <f t="shared" si="0"/>
        <v>24336</v>
      </c>
      <c r="Q16" s="33">
        <f t="shared" si="0"/>
        <v>12730</v>
      </c>
      <c r="R16" s="33">
        <f t="shared" si="0"/>
        <v>4920</v>
      </c>
      <c r="S16" s="33">
        <f t="shared" si="1"/>
        <v>280</v>
      </c>
      <c r="T16" s="33">
        <f t="shared" si="2"/>
        <v>41986</v>
      </c>
      <c r="U16" s="34">
        <f t="shared" si="5"/>
        <v>149.94999999999999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5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5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147.21031578947367</v>
      </c>
      <c r="F20" s="38">
        <f>Q20/N20</f>
        <v>101.71466165413534</v>
      </c>
      <c r="G20" s="38">
        <f>R20/O20</f>
        <v>86.18</v>
      </c>
      <c r="H20" s="36"/>
      <c r="I20" s="38">
        <f>U20</f>
        <v>116.02540288379981</v>
      </c>
      <c r="J20" s="43">
        <f>(I20/'Engr 14-15'!I20)-1</f>
        <v>2.9145265518137453E-2</v>
      </c>
      <c r="K20" s="16"/>
      <c r="M20" s="37">
        <f t="shared" ref="M20:R20" si="7">SUM(M11:M18)</f>
        <v>950</v>
      </c>
      <c r="N20" s="37">
        <f t="shared" si="7"/>
        <v>798</v>
      </c>
      <c r="O20" s="37">
        <f t="shared" si="7"/>
        <v>610</v>
      </c>
      <c r="P20" s="37">
        <f t="shared" si="7"/>
        <v>139849.79999999999</v>
      </c>
      <c r="Q20" s="37">
        <f t="shared" si="7"/>
        <v>81168.3</v>
      </c>
      <c r="R20" s="37">
        <f t="shared" si="7"/>
        <v>52569.8</v>
      </c>
      <c r="S20" s="33">
        <f>M20+N20+O20</f>
        <v>2358</v>
      </c>
      <c r="T20" s="33">
        <f>P20+Q20+R20</f>
        <v>273587.89999999997</v>
      </c>
      <c r="U20" s="34">
        <f>T20/S20</f>
        <v>116.02540288379981</v>
      </c>
    </row>
    <row r="21" spans="1:21" ht="13.5" customHeight="1" x14ac:dyDescent="0.2">
      <c r="A21" s="17"/>
      <c r="D21" s="41" t="s">
        <v>38</v>
      </c>
      <c r="E21" s="38">
        <f>MEDIAN(E11:E18)</f>
        <v>130.94999999999999</v>
      </c>
      <c r="F21" s="38">
        <f>MEDIAN(F11:F18)</f>
        <v>97.1</v>
      </c>
      <c r="G21" s="38">
        <f>MEDIAN(G11:G18)</f>
        <v>81.95</v>
      </c>
      <c r="H21" s="36"/>
      <c r="I21" s="38">
        <f>MEDIAN(I11:I18)</f>
        <v>102.73839784365083</v>
      </c>
      <c r="J21" s="43">
        <f>(I21/'Engr 14-15'!I21)-1</f>
        <v>1.9610107635438911E-2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7"/>
      <c r="B26" s="14" t="s">
        <v>24</v>
      </c>
      <c r="K26" s="16"/>
    </row>
    <row r="27" spans="1:21" ht="13.5" customHeight="1" x14ac:dyDescent="0.2">
      <c r="A27" s="17"/>
      <c r="B27" s="14" t="s">
        <v>25</v>
      </c>
      <c r="K27" s="16"/>
    </row>
    <row r="28" spans="1:21" ht="13.5" customHeight="1" x14ac:dyDescent="0.2">
      <c r="A28" s="17"/>
      <c r="B28" s="14"/>
      <c r="K28" s="16"/>
    </row>
    <row r="29" spans="1:21" ht="13.5" customHeight="1" x14ac:dyDescent="0.2">
      <c r="A29" s="19"/>
      <c r="B29" s="39" t="s">
        <v>16</v>
      </c>
      <c r="C29" s="30"/>
      <c r="D29" s="20"/>
      <c r="E29" s="20"/>
      <c r="F29" s="20"/>
      <c r="G29" s="20"/>
      <c r="H29" s="20"/>
      <c r="I29" s="20"/>
      <c r="J29" s="40" t="s">
        <v>47</v>
      </c>
      <c r="K29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40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5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115.5</v>
      </c>
      <c r="F11" s="18">
        <v>88.5</v>
      </c>
      <c r="G11" s="18">
        <v>73.5</v>
      </c>
      <c r="I11" s="18">
        <f>U11</f>
        <v>89.095141700404852</v>
      </c>
      <c r="J11" s="42">
        <f>(I11/'Engr 13-14'!I11)-1</f>
        <v>-1.7329309155411643E-3</v>
      </c>
      <c r="K11" s="16"/>
      <c r="M11" s="35">
        <f>50+11</f>
        <v>61</v>
      </c>
      <c r="N11" s="35">
        <f>58+28</f>
        <v>86</v>
      </c>
      <c r="O11" s="35">
        <f>59+41</f>
        <v>100</v>
      </c>
      <c r="P11" s="33">
        <f t="shared" ref="P11:R18" si="0">E11*M11</f>
        <v>7045.5</v>
      </c>
      <c r="Q11" s="33">
        <f t="shared" si="0"/>
        <v>7611</v>
      </c>
      <c r="R11" s="33">
        <f t="shared" si="0"/>
        <v>7350</v>
      </c>
      <c r="S11" s="33">
        <f t="shared" ref="S11:S18" si="1">M11+N11+O11</f>
        <v>247</v>
      </c>
      <c r="T11" s="33">
        <f t="shared" ref="T11:T18" si="2">P11+Q11+R11</f>
        <v>22006.5</v>
      </c>
      <c r="U11" s="34">
        <f>T11/S11</f>
        <v>89.095141700404852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131</v>
      </c>
      <c r="F12" s="18">
        <v>97.7</v>
      </c>
      <c r="G12" s="18">
        <v>83.8</v>
      </c>
      <c r="I12" s="18">
        <f t="shared" ref="I12:I16" si="3">U12</f>
        <v>106.36218905472636</v>
      </c>
      <c r="J12" s="42">
        <f>(I12/'Engr 13-14'!I12)-1</f>
        <v>1.6633835774028549E-2</v>
      </c>
      <c r="K12" s="16"/>
      <c r="M12" s="35">
        <f>70+9</f>
        <v>79</v>
      </c>
      <c r="N12" s="35">
        <f>47+11</f>
        <v>58</v>
      </c>
      <c r="O12" s="35">
        <f>47+17</f>
        <v>64</v>
      </c>
      <c r="P12" s="33">
        <f t="shared" si="0"/>
        <v>10349</v>
      </c>
      <c r="Q12" s="33">
        <f t="shared" si="0"/>
        <v>5666.6</v>
      </c>
      <c r="R12" s="33">
        <f t="shared" si="0"/>
        <v>5363.2</v>
      </c>
      <c r="S12" s="33">
        <f t="shared" si="1"/>
        <v>201</v>
      </c>
      <c r="T12" s="33">
        <f t="shared" si="2"/>
        <v>21378.799999999999</v>
      </c>
      <c r="U12" s="34">
        <f t="shared" ref="U12:U18" si="4">T12/S12</f>
        <v>106.36218905472636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151.69999999999999</v>
      </c>
      <c r="F13" s="18">
        <v>103.3</v>
      </c>
      <c r="G13" s="18">
        <v>96.9</v>
      </c>
      <c r="I13" s="18">
        <f t="shared" si="3"/>
        <v>124.99427027027026</v>
      </c>
      <c r="J13" s="42">
        <f>(I13/'Engr 13-14'!I13)-1</f>
        <v>3.8908106782369112E-2</v>
      </c>
      <c r="K13" s="16"/>
      <c r="M13" s="35">
        <f>378+62</f>
        <v>440</v>
      </c>
      <c r="N13" s="35">
        <f>220+73</f>
        <v>293</v>
      </c>
      <c r="O13" s="35">
        <f>138+54</f>
        <v>192</v>
      </c>
      <c r="P13" s="33">
        <f t="shared" si="0"/>
        <v>66748</v>
      </c>
      <c r="Q13" s="33">
        <f t="shared" si="0"/>
        <v>30266.899999999998</v>
      </c>
      <c r="R13" s="33">
        <f t="shared" si="0"/>
        <v>18604.800000000003</v>
      </c>
      <c r="S13" s="33">
        <f t="shared" si="1"/>
        <v>925</v>
      </c>
      <c r="T13" s="33">
        <f t="shared" si="2"/>
        <v>115619.7</v>
      </c>
      <c r="U13" s="34">
        <f t="shared" si="4"/>
        <v>124.99427027027026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112.9</v>
      </c>
      <c r="F14" s="18">
        <v>91.3</v>
      </c>
      <c r="G14" s="18">
        <v>78.400000000000006</v>
      </c>
      <c r="I14" s="18">
        <f t="shared" ref="I14" si="5">U14</f>
        <v>93.998219584569739</v>
      </c>
      <c r="J14" s="42">
        <f>(I14/'Engr 13-14'!I14)-1</f>
        <v>3.3897086411362354E-2</v>
      </c>
      <c r="K14" s="16"/>
      <c r="M14" s="35">
        <f>82+24</f>
        <v>106</v>
      </c>
      <c r="N14" s="35">
        <f>95+29</f>
        <v>124</v>
      </c>
      <c r="O14" s="35">
        <f>72+35</f>
        <v>107</v>
      </c>
      <c r="P14" s="33">
        <f t="shared" si="0"/>
        <v>11967.400000000001</v>
      </c>
      <c r="Q14" s="33">
        <f t="shared" si="0"/>
        <v>11321.199999999999</v>
      </c>
      <c r="R14" s="33">
        <f t="shared" si="0"/>
        <v>8388.8000000000011</v>
      </c>
      <c r="S14" s="33">
        <f t="shared" si="1"/>
        <v>337</v>
      </c>
      <c r="T14" s="33">
        <f t="shared" si="2"/>
        <v>31677.4</v>
      </c>
      <c r="U14" s="34">
        <f t="shared" si="4"/>
        <v>93.998219584569739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125.1</v>
      </c>
      <c r="F15" s="23">
        <v>85.1</v>
      </c>
      <c r="G15" s="23">
        <v>73.400000000000006</v>
      </c>
      <c r="H15" s="22"/>
      <c r="I15" s="23">
        <f t="shared" si="3"/>
        <v>95.16268221574343</v>
      </c>
      <c r="J15" s="44">
        <f>(I15/'Engr 13-14'!I15)-1</f>
        <v>1.9373203982892218E-2</v>
      </c>
      <c r="K15" s="16"/>
      <c r="M15" s="35">
        <f>103+14</f>
        <v>117</v>
      </c>
      <c r="N15" s="35">
        <f>90+31</f>
        <v>121</v>
      </c>
      <c r="O15" s="35">
        <f>64+41</f>
        <v>105</v>
      </c>
      <c r="P15" s="33">
        <f t="shared" si="0"/>
        <v>14636.699999999999</v>
      </c>
      <c r="Q15" s="33">
        <f t="shared" si="0"/>
        <v>10297.099999999999</v>
      </c>
      <c r="R15" s="33">
        <f t="shared" si="0"/>
        <v>7707.0000000000009</v>
      </c>
      <c r="S15" s="33">
        <f t="shared" si="1"/>
        <v>343</v>
      </c>
      <c r="T15" s="33">
        <f t="shared" si="2"/>
        <v>32640.799999999996</v>
      </c>
      <c r="U15" s="34">
        <f t="shared" si="4"/>
        <v>95.16268221574343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174.5</v>
      </c>
      <c r="F16" s="18">
        <v>122.9</v>
      </c>
      <c r="G16" s="18">
        <v>96.6</v>
      </c>
      <c r="I16" s="18">
        <f t="shared" si="3"/>
        <v>142.96691449814125</v>
      </c>
      <c r="J16" s="42">
        <f>(I16/'Engr 13-14'!I16)-1</f>
        <v>1.2836527901685102E-3</v>
      </c>
      <c r="K16" s="16"/>
      <c r="M16" s="35">
        <f>112+13</f>
        <v>125</v>
      </c>
      <c r="N16" s="35">
        <f>86+18</f>
        <v>104</v>
      </c>
      <c r="O16" s="35">
        <f>29+11</f>
        <v>40</v>
      </c>
      <c r="P16" s="33">
        <f t="shared" si="0"/>
        <v>21812.5</v>
      </c>
      <c r="Q16" s="33">
        <f t="shared" si="0"/>
        <v>12781.6</v>
      </c>
      <c r="R16" s="33">
        <f t="shared" si="0"/>
        <v>3864</v>
      </c>
      <c r="S16" s="33">
        <f t="shared" si="1"/>
        <v>269</v>
      </c>
      <c r="T16" s="33">
        <f t="shared" si="2"/>
        <v>38458.1</v>
      </c>
      <c r="U16" s="34">
        <f t="shared" si="4"/>
        <v>142.96691449814125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4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142.84385775862066</v>
      </c>
      <c r="F20" s="38">
        <f>Q20/N20</f>
        <v>99.16590330788803</v>
      </c>
      <c r="G20" s="38">
        <f t="shared" ref="G20" si="6">R20/O20</f>
        <v>84.338486842105269</v>
      </c>
      <c r="H20" s="36"/>
      <c r="I20" s="38">
        <f t="shared" ref="I20" si="7">U20</f>
        <v>112.73957795004306</v>
      </c>
      <c r="J20" s="43">
        <f>(I20/'Engr 13-14'!I20)-1</f>
        <v>2.2239828943098061E-2</v>
      </c>
      <c r="K20" s="16"/>
      <c r="M20" s="37">
        <f>SUM(M11:M18)</f>
        <v>928</v>
      </c>
      <c r="N20" s="37">
        <f t="shared" ref="N20:Q20" si="8">SUM(N11:N18)</f>
        <v>786</v>
      </c>
      <c r="O20" s="37">
        <f>SUM(O11:O18)</f>
        <v>608</v>
      </c>
      <c r="P20" s="37">
        <f t="shared" si="8"/>
        <v>132559.09999999998</v>
      </c>
      <c r="Q20" s="37">
        <f t="shared" si="8"/>
        <v>77944.399999999994</v>
      </c>
      <c r="R20" s="37">
        <f>SUM(R11:R18)</f>
        <v>51277.8</v>
      </c>
      <c r="S20" s="33">
        <f>M20+N20+O20</f>
        <v>2322</v>
      </c>
      <c r="T20" s="33">
        <f>P20+Q20+R20</f>
        <v>261781.3</v>
      </c>
      <c r="U20" s="34">
        <f>T20/S20</f>
        <v>112.73957795004306</v>
      </c>
    </row>
    <row r="21" spans="1:21" ht="13.5" customHeight="1" x14ac:dyDescent="0.2">
      <c r="A21" s="17"/>
      <c r="D21" s="41" t="s">
        <v>38</v>
      </c>
      <c r="E21" s="38">
        <f>MEDIAN(E11:E18)</f>
        <v>128.05000000000001</v>
      </c>
      <c r="F21" s="38">
        <f>MEDIAN(F11:F18)</f>
        <v>94.5</v>
      </c>
      <c r="G21" s="38">
        <f>MEDIAN(G11:G18)</f>
        <v>81.099999999999994</v>
      </c>
      <c r="H21" s="36"/>
      <c r="I21" s="38">
        <f>MEDIAN(I11:I18)</f>
        <v>100.76243563523489</v>
      </c>
      <c r="J21" s="43">
        <f>(I21/'Engr 13-14'!I21)-1</f>
        <v>1.7925564273433503E-2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48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41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115.1</v>
      </c>
      <c r="F11" s="18">
        <v>85.7</v>
      </c>
      <c r="G11" s="18">
        <v>71.8</v>
      </c>
      <c r="I11" s="18">
        <f>U11</f>
        <v>89.249805447470806</v>
      </c>
      <c r="J11" s="42">
        <f>(I11/'Engr 12-13'!I11)-1</f>
        <v>1.5419820814934759E-2</v>
      </c>
      <c r="K11" s="16"/>
      <c r="M11" s="35">
        <f>62+13</f>
        <v>75</v>
      </c>
      <c r="N11" s="35">
        <f>59+30</f>
        <v>89</v>
      </c>
      <c r="O11" s="35">
        <f>53+40</f>
        <v>93</v>
      </c>
      <c r="P11" s="33">
        <f t="shared" ref="P11:P18" si="0">E11*M11</f>
        <v>8632.5</v>
      </c>
      <c r="Q11" s="33">
        <f t="shared" ref="Q11:Q18" si="1">F11*N11</f>
        <v>7627.3</v>
      </c>
      <c r="R11" s="33">
        <f t="shared" ref="R11:R18" si="2">G11*O11</f>
        <v>6677.4</v>
      </c>
      <c r="S11" s="33">
        <f t="shared" ref="S11:S18" si="3">M11+N11+O11</f>
        <v>257</v>
      </c>
      <c r="T11" s="33">
        <f t="shared" ref="T11:T18" si="4">P11+Q11+R11</f>
        <v>22937.199999999997</v>
      </c>
      <c r="U11" s="34">
        <f>T11/S11</f>
        <v>89.249805447470806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132.30000000000001</v>
      </c>
      <c r="F12" s="18">
        <v>93.8</v>
      </c>
      <c r="G12" s="18">
        <v>82.5</v>
      </c>
      <c r="I12" s="18">
        <f t="shared" ref="I12:I16" si="5">U12</f>
        <v>104.62192513368984</v>
      </c>
      <c r="J12" s="42">
        <f>(I12/'Engr 12-13'!I12)-1</f>
        <v>9.6053706902283764E-3</v>
      </c>
      <c r="K12" s="16"/>
      <c r="M12" s="35">
        <f>63+6</f>
        <v>69</v>
      </c>
      <c r="N12" s="35">
        <f>48+14</f>
        <v>62</v>
      </c>
      <c r="O12" s="35">
        <f>41+15</f>
        <v>56</v>
      </c>
      <c r="P12" s="33">
        <f t="shared" si="0"/>
        <v>9128.7000000000007</v>
      </c>
      <c r="Q12" s="33">
        <f t="shared" si="1"/>
        <v>5815.5999999999995</v>
      </c>
      <c r="R12" s="33">
        <f t="shared" si="2"/>
        <v>4620</v>
      </c>
      <c r="S12" s="33">
        <f t="shared" si="3"/>
        <v>187</v>
      </c>
      <c r="T12" s="33">
        <f t="shared" si="4"/>
        <v>19564.3</v>
      </c>
      <c r="U12" s="34">
        <f t="shared" ref="U12:U18" si="6">T12/S12</f>
        <v>104.62192513368984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145.9</v>
      </c>
      <c r="F13" s="18">
        <v>99.9</v>
      </c>
      <c r="G13" s="18">
        <v>94.3</v>
      </c>
      <c r="I13" s="18">
        <f t="shared" si="5"/>
        <v>120.31311475409836</v>
      </c>
      <c r="J13" s="42">
        <f>(I13/'Engr 12-13'!I13)-1</f>
        <v>3.3644288238692921E-2</v>
      </c>
      <c r="K13" s="16"/>
      <c r="M13" s="35">
        <f>367+64</f>
        <v>431</v>
      </c>
      <c r="N13" s="35">
        <f>208+71</f>
        <v>279</v>
      </c>
      <c r="O13" s="35">
        <f>144+61</f>
        <v>205</v>
      </c>
      <c r="P13" s="33">
        <f t="shared" si="0"/>
        <v>62882.9</v>
      </c>
      <c r="Q13" s="33">
        <f t="shared" si="1"/>
        <v>27872.100000000002</v>
      </c>
      <c r="R13" s="33">
        <f t="shared" si="2"/>
        <v>19331.5</v>
      </c>
      <c r="S13" s="33">
        <f t="shared" si="3"/>
        <v>915</v>
      </c>
      <c r="T13" s="33">
        <f t="shared" si="4"/>
        <v>110086.5</v>
      </c>
      <c r="U13" s="34">
        <f t="shared" si="6"/>
        <v>120.31311475409836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111.2</v>
      </c>
      <c r="F14" s="18">
        <v>87.4</v>
      </c>
      <c r="G14" s="18">
        <v>77</v>
      </c>
      <c r="I14" s="18">
        <f t="shared" si="5"/>
        <v>90.916417910447763</v>
      </c>
      <c r="J14" s="42">
        <f>(I14/'Engr 12-13'!I14)-1</f>
        <v>3.4668565880138003E-2</v>
      </c>
      <c r="K14" s="16"/>
      <c r="M14" s="35">
        <f>80+18</f>
        <v>98</v>
      </c>
      <c r="N14" s="35">
        <f>95+31</f>
        <v>126</v>
      </c>
      <c r="O14" s="35">
        <f>77+34</f>
        <v>111</v>
      </c>
      <c r="P14" s="33">
        <f t="shared" si="0"/>
        <v>10897.6</v>
      </c>
      <c r="Q14" s="33">
        <f t="shared" si="1"/>
        <v>11012.400000000001</v>
      </c>
      <c r="R14" s="33">
        <f t="shared" si="2"/>
        <v>8547</v>
      </c>
      <c r="S14" s="33">
        <f t="shared" si="3"/>
        <v>335</v>
      </c>
      <c r="T14" s="33">
        <f t="shared" si="4"/>
        <v>30457</v>
      </c>
      <c r="U14" s="34">
        <f t="shared" si="6"/>
        <v>90.916417910447763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121.5</v>
      </c>
      <c r="F15" s="23">
        <v>82.9</v>
      </c>
      <c r="G15" s="23">
        <v>73</v>
      </c>
      <c r="H15" s="22"/>
      <c r="I15" s="23">
        <f t="shared" si="5"/>
        <v>93.354113924050637</v>
      </c>
      <c r="J15" s="44">
        <f>(I15/'Engr 12-13'!I15)-1</f>
        <v>1.9174758586569585E-2</v>
      </c>
      <c r="K15" s="16"/>
      <c r="M15" s="35">
        <f>98+14</f>
        <v>112</v>
      </c>
      <c r="N15" s="35">
        <f>76+25</f>
        <v>101</v>
      </c>
      <c r="O15" s="35">
        <f>69+34</f>
        <v>103</v>
      </c>
      <c r="P15" s="33">
        <f t="shared" si="0"/>
        <v>13608</v>
      </c>
      <c r="Q15" s="33">
        <f t="shared" si="1"/>
        <v>8372.9000000000015</v>
      </c>
      <c r="R15" s="33">
        <f t="shared" si="2"/>
        <v>7519</v>
      </c>
      <c r="S15" s="33">
        <f t="shared" si="3"/>
        <v>316</v>
      </c>
      <c r="T15" s="33">
        <f t="shared" si="4"/>
        <v>29499.9</v>
      </c>
      <c r="U15" s="34">
        <f t="shared" si="6"/>
        <v>93.354113924050637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173.1</v>
      </c>
      <c r="F16" s="18">
        <v>121.1</v>
      </c>
      <c r="G16" s="18">
        <v>92</v>
      </c>
      <c r="I16" s="18">
        <f t="shared" si="5"/>
        <v>142.78362989323841</v>
      </c>
      <c r="J16" s="42">
        <f>(I16/'Engr 12-13'!I16)-1</f>
        <v>2.8056090072106077E-2</v>
      </c>
      <c r="K16" s="16"/>
      <c r="M16" s="35">
        <f>125+14</f>
        <v>139</v>
      </c>
      <c r="N16" s="35">
        <f>83+20</f>
        <v>103</v>
      </c>
      <c r="O16" s="35">
        <f>31+8</f>
        <v>39</v>
      </c>
      <c r="P16" s="33">
        <f t="shared" si="0"/>
        <v>24060.899999999998</v>
      </c>
      <c r="Q16" s="33">
        <f t="shared" si="1"/>
        <v>12473.3</v>
      </c>
      <c r="R16" s="33">
        <f t="shared" si="2"/>
        <v>3588</v>
      </c>
      <c r="S16" s="33">
        <f t="shared" si="3"/>
        <v>281</v>
      </c>
      <c r="T16" s="33">
        <f t="shared" si="4"/>
        <v>40122.199999999997</v>
      </c>
      <c r="U16" s="34">
        <f t="shared" si="6"/>
        <v>142.78362989323841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1"/>
        <v>0</v>
      </c>
      <c r="R17" s="33">
        <f t="shared" si="2"/>
        <v>0</v>
      </c>
      <c r="S17" s="33">
        <f t="shared" si="3"/>
        <v>0</v>
      </c>
      <c r="T17" s="33">
        <f t="shared" si="4"/>
        <v>0</v>
      </c>
      <c r="U17" s="34" t="e">
        <f t="shared" si="6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1"/>
        <v>0</v>
      </c>
      <c r="R18" s="33">
        <f t="shared" si="2"/>
        <v>0</v>
      </c>
      <c r="S18" s="33">
        <f t="shared" si="3"/>
        <v>0</v>
      </c>
      <c r="T18" s="33">
        <f t="shared" si="4"/>
        <v>0</v>
      </c>
      <c r="U18" s="34" t="e">
        <f t="shared" si="6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139.83831168831171</v>
      </c>
      <c r="F20" s="38">
        <f>Q20/N20</f>
        <v>96.281052631578959</v>
      </c>
      <c r="G20" s="38">
        <f t="shared" ref="G20" si="7">R20/O20</f>
        <v>82.838385502471169</v>
      </c>
      <c r="H20" s="36"/>
      <c r="I20" s="38">
        <f t="shared" ref="I20" si="8">U20</f>
        <v>110.28681798341336</v>
      </c>
      <c r="J20" s="43">
        <f>(I20/'Engr 12-13'!I20)-1</f>
        <v>2.8245085173141282E-2</v>
      </c>
      <c r="K20" s="16"/>
      <c r="M20" s="37">
        <f t="shared" ref="M20:R20" si="9">SUM(M11:M18)</f>
        <v>924</v>
      </c>
      <c r="N20" s="37">
        <f t="shared" si="9"/>
        <v>760</v>
      </c>
      <c r="O20" s="37">
        <f t="shared" si="9"/>
        <v>607</v>
      </c>
      <c r="P20" s="37">
        <f t="shared" si="9"/>
        <v>129210.6</v>
      </c>
      <c r="Q20" s="37">
        <f t="shared" si="9"/>
        <v>73173.600000000006</v>
      </c>
      <c r="R20" s="37">
        <f t="shared" si="9"/>
        <v>50282.9</v>
      </c>
      <c r="S20" s="33">
        <f>M20+N20+O20</f>
        <v>2291</v>
      </c>
      <c r="T20" s="33">
        <f>P20+Q20+R20</f>
        <v>252667.1</v>
      </c>
      <c r="U20" s="34">
        <f>T20/S20</f>
        <v>110.28681798341336</v>
      </c>
    </row>
    <row r="21" spans="1:21" ht="13.5" customHeight="1" x14ac:dyDescent="0.2">
      <c r="A21" s="17"/>
      <c r="D21" s="41" t="s">
        <v>38</v>
      </c>
      <c r="E21" s="38">
        <f>MEDIAN(E11:E18)</f>
        <v>126.9</v>
      </c>
      <c r="F21" s="38">
        <f>MEDIAN(F11:F18)</f>
        <v>90.6</v>
      </c>
      <c r="G21" s="38">
        <f>MEDIAN(G11:G18)</f>
        <v>79.75</v>
      </c>
      <c r="H21" s="36"/>
      <c r="I21" s="38">
        <f>MEDIAN(I11:I18)</f>
        <v>98.98801952887024</v>
      </c>
      <c r="J21" s="43">
        <f>(I21/'Engr 12-13'!I21)-1</f>
        <v>1.409525427342273E-2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49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42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113.3</v>
      </c>
      <c r="F11" s="18">
        <v>82.2</v>
      </c>
      <c r="G11" s="18">
        <v>70.400000000000006</v>
      </c>
      <c r="I11" s="18">
        <f>U11</f>
        <v>87.894488188976382</v>
      </c>
      <c r="J11" s="42">
        <f>(I11/'Engr 11-12'!I11)-1</f>
        <v>8.9606756172155855E-3</v>
      </c>
      <c r="K11" s="16"/>
      <c r="M11" s="35">
        <f>66+12</f>
        <v>78</v>
      </c>
      <c r="N11" s="35">
        <f>62+31</f>
        <v>93</v>
      </c>
      <c r="O11" s="35">
        <f>48+35</f>
        <v>83</v>
      </c>
      <c r="P11" s="33">
        <f t="shared" ref="P11:R18" si="0">E11*M11</f>
        <v>8837.4</v>
      </c>
      <c r="Q11" s="33">
        <f>F11*N11</f>
        <v>7644.6</v>
      </c>
      <c r="R11" s="33">
        <f t="shared" si="0"/>
        <v>5843.2000000000007</v>
      </c>
      <c r="S11" s="33">
        <f t="shared" ref="S11:S18" si="1">M11+N11+O11</f>
        <v>254</v>
      </c>
      <c r="T11" s="33">
        <f t="shared" ref="T11:T18" si="2">P11+Q11+R11</f>
        <v>22325.200000000001</v>
      </c>
      <c r="U11" s="34">
        <f>T11/S11</f>
        <v>87.894488188976382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131.4</v>
      </c>
      <c r="F12" s="18">
        <v>91.3</v>
      </c>
      <c r="G12" s="18">
        <v>80.400000000000006</v>
      </c>
      <c r="I12" s="18">
        <f t="shared" ref="I12:I16" si="3">U12</f>
        <v>103.62655367231639</v>
      </c>
      <c r="J12" s="42">
        <f>(I12/'Engr 11-12'!I12)-1</f>
        <v>1.3413071950675981E-2</v>
      </c>
      <c r="K12" s="16"/>
      <c r="M12" s="35">
        <f>63+5</f>
        <v>68</v>
      </c>
      <c r="N12" s="35">
        <f>44+15</f>
        <v>59</v>
      </c>
      <c r="O12" s="35">
        <f>38+12</f>
        <v>50</v>
      </c>
      <c r="P12" s="33">
        <f t="shared" si="0"/>
        <v>8935.2000000000007</v>
      </c>
      <c r="Q12" s="33">
        <f t="shared" si="0"/>
        <v>5386.7</v>
      </c>
      <c r="R12" s="33">
        <f t="shared" si="0"/>
        <v>4020.0000000000005</v>
      </c>
      <c r="S12" s="33">
        <f t="shared" si="1"/>
        <v>177</v>
      </c>
      <c r="T12" s="33">
        <f t="shared" si="2"/>
        <v>18341.900000000001</v>
      </c>
      <c r="U12" s="34">
        <f t="shared" ref="U12:U18" si="4">T12/S12</f>
        <v>103.62655367231639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142.6</v>
      </c>
      <c r="F13" s="18">
        <v>95.4</v>
      </c>
      <c r="G13" s="18">
        <v>89.7</v>
      </c>
      <c r="I13" s="18">
        <f t="shared" si="3"/>
        <v>116.39701986754966</v>
      </c>
      <c r="J13" s="42">
        <f>(I13/'Engr 11-12'!I13)-1</f>
        <v>1.6936021154319469E-2</v>
      </c>
      <c r="K13" s="16"/>
      <c r="M13" s="35">
        <f>368+61</f>
        <v>429</v>
      </c>
      <c r="N13" s="35">
        <f>197+65</f>
        <v>262</v>
      </c>
      <c r="O13" s="35">
        <f>150+65</f>
        <v>215</v>
      </c>
      <c r="P13" s="33">
        <f t="shared" si="0"/>
        <v>61175.399999999994</v>
      </c>
      <c r="Q13" s="33">
        <f t="shared" si="0"/>
        <v>24994.800000000003</v>
      </c>
      <c r="R13" s="33">
        <f t="shared" si="0"/>
        <v>19285.5</v>
      </c>
      <c r="S13" s="33">
        <f t="shared" si="1"/>
        <v>906</v>
      </c>
      <c r="T13" s="33">
        <f t="shared" si="2"/>
        <v>105455.7</v>
      </c>
      <c r="U13" s="34">
        <f t="shared" si="4"/>
        <v>116.39701986754966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108</v>
      </c>
      <c r="F14" s="18">
        <v>83.3</v>
      </c>
      <c r="G14" s="18">
        <v>76.599999999999994</v>
      </c>
      <c r="I14" s="18">
        <f t="shared" si="3"/>
        <v>87.87008797653958</v>
      </c>
      <c r="J14" s="42">
        <f>(I14/'Engr 11-12'!I14)-1</f>
        <v>1.22773499592983E-2</v>
      </c>
      <c r="K14" s="16"/>
      <c r="M14" s="35">
        <f>80+17</f>
        <v>97</v>
      </c>
      <c r="N14" s="35">
        <f>90+29</f>
        <v>119</v>
      </c>
      <c r="O14" s="35">
        <f>84+41</f>
        <v>125</v>
      </c>
      <c r="P14" s="33">
        <f t="shared" si="0"/>
        <v>10476</v>
      </c>
      <c r="Q14" s="33">
        <f t="shared" si="0"/>
        <v>9912.6999999999989</v>
      </c>
      <c r="R14" s="33">
        <f t="shared" si="0"/>
        <v>9575</v>
      </c>
      <c r="S14" s="33">
        <f t="shared" si="1"/>
        <v>341</v>
      </c>
      <c r="T14" s="33">
        <f t="shared" si="2"/>
        <v>29963.699999999997</v>
      </c>
      <c r="U14" s="34">
        <f t="shared" si="4"/>
        <v>87.87008797653958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117.3</v>
      </c>
      <c r="F15" s="23">
        <v>81.5</v>
      </c>
      <c r="G15" s="23">
        <v>71.900000000000006</v>
      </c>
      <c r="H15" s="22"/>
      <c r="I15" s="23">
        <f t="shared" si="3"/>
        <v>91.597749196141478</v>
      </c>
      <c r="J15" s="44">
        <f>(I15/'Engr 11-12'!I15)-1</f>
        <v>2.6135590815429266E-2</v>
      </c>
      <c r="K15" s="16"/>
      <c r="M15" s="35">
        <f>101+13</f>
        <v>114</v>
      </c>
      <c r="N15" s="35">
        <f>75+24</f>
        <v>99</v>
      </c>
      <c r="O15" s="35">
        <f>64+34</f>
        <v>98</v>
      </c>
      <c r="P15" s="33">
        <f t="shared" si="0"/>
        <v>13372.199999999999</v>
      </c>
      <c r="Q15" s="33">
        <f t="shared" si="0"/>
        <v>8068.5</v>
      </c>
      <c r="R15" s="33">
        <f t="shared" si="0"/>
        <v>7046.2000000000007</v>
      </c>
      <c r="S15" s="33">
        <f t="shared" si="1"/>
        <v>311</v>
      </c>
      <c r="T15" s="33">
        <f t="shared" si="2"/>
        <v>28486.899999999998</v>
      </c>
      <c r="U15" s="34">
        <f t="shared" si="4"/>
        <v>91.597749196141478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166.7</v>
      </c>
      <c r="F16" s="18">
        <v>118.9</v>
      </c>
      <c r="G16" s="18">
        <v>92.4</v>
      </c>
      <c r="I16" s="18">
        <f t="shared" si="3"/>
        <v>138.88700361010828</v>
      </c>
      <c r="J16" s="42">
        <f>(I16/'Engr 11-12'!I16)-1</f>
        <v>-9.8122054055931329E-3</v>
      </c>
      <c r="K16" s="16"/>
      <c r="M16" s="35">
        <f>124+14</f>
        <v>138</v>
      </c>
      <c r="N16" s="35">
        <f>80+19</f>
        <v>99</v>
      </c>
      <c r="O16" s="35">
        <f>30+10</f>
        <v>40</v>
      </c>
      <c r="P16" s="33">
        <f t="shared" si="0"/>
        <v>23004.6</v>
      </c>
      <c r="Q16" s="33">
        <f t="shared" si="0"/>
        <v>11771.1</v>
      </c>
      <c r="R16" s="33">
        <f t="shared" si="0"/>
        <v>3696</v>
      </c>
      <c r="S16" s="33">
        <f t="shared" si="1"/>
        <v>277</v>
      </c>
      <c r="T16" s="33">
        <f t="shared" si="2"/>
        <v>38471.699999999997</v>
      </c>
      <c r="U16" s="34">
        <f t="shared" si="4"/>
        <v>138.88700361010828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4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136.14805194805194</v>
      </c>
      <c r="F20" s="38">
        <f>Q20/N20</f>
        <v>92.720109439124499</v>
      </c>
      <c r="G20" s="38">
        <f t="shared" ref="G20" si="5">R20/O20</f>
        <v>80.958919803600651</v>
      </c>
      <c r="H20" s="36"/>
      <c r="I20" s="38">
        <f t="shared" ref="I20" si="6">U20</f>
        <v>107.25732568402472</v>
      </c>
      <c r="J20" s="43">
        <f>(I20/'Engr 11-12'!I20)-1</f>
        <v>1.4365855481998535E-2</v>
      </c>
      <c r="K20" s="16"/>
      <c r="M20" s="37">
        <f t="shared" ref="M20:R20" si="7">SUM(M11:M18)</f>
        <v>924</v>
      </c>
      <c r="N20" s="37">
        <f t="shared" si="7"/>
        <v>731</v>
      </c>
      <c r="O20" s="37">
        <f t="shared" si="7"/>
        <v>611</v>
      </c>
      <c r="P20" s="37">
        <f t="shared" si="7"/>
        <v>125800.79999999999</v>
      </c>
      <c r="Q20" s="37">
        <f t="shared" si="7"/>
        <v>67778.400000000009</v>
      </c>
      <c r="R20" s="37">
        <f t="shared" si="7"/>
        <v>49465.899999999994</v>
      </c>
      <c r="S20" s="33">
        <f>M20+N20+O20</f>
        <v>2266</v>
      </c>
      <c r="T20" s="33">
        <f>P20+Q20+R20</f>
        <v>243045.1</v>
      </c>
      <c r="U20" s="34">
        <f>T20/S20</f>
        <v>107.25732568402472</v>
      </c>
    </row>
    <row r="21" spans="1:21" ht="13.5" customHeight="1" x14ac:dyDescent="0.2">
      <c r="A21" s="17"/>
      <c r="D21" s="41" t="s">
        <v>38</v>
      </c>
      <c r="E21" s="38">
        <f>MEDIAN(E11:E18)</f>
        <v>124.35</v>
      </c>
      <c r="F21" s="38">
        <f>MEDIAN(F11:F18)</f>
        <v>87.3</v>
      </c>
      <c r="G21" s="38">
        <f>MEDIAN(G11:G18)</f>
        <v>78.5</v>
      </c>
      <c r="H21" s="36"/>
      <c r="I21" s="38">
        <f>MEDIAN(I11:I18)</f>
        <v>97.612151434228934</v>
      </c>
      <c r="J21" s="43">
        <f>(I21/'Engr 11-12'!I21)-1</f>
        <v>1.9342865335944426E-2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19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43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114.6</v>
      </c>
      <c r="F11" s="18">
        <v>81.099999999999994</v>
      </c>
      <c r="G11" s="18">
        <v>68.099999999999994</v>
      </c>
      <c r="I11" s="18">
        <f>U11</f>
        <v>87.113888888888894</v>
      </c>
      <c r="J11" s="42">
        <f>(I11/'Engr 10-11'!I11)-1</f>
        <v>4.3755108778712248E-2</v>
      </c>
      <c r="K11" s="16"/>
      <c r="M11" s="35">
        <f>70+9</f>
        <v>79</v>
      </c>
      <c r="N11" s="35">
        <f>53+33</f>
        <v>86</v>
      </c>
      <c r="O11" s="35">
        <f>53+34</f>
        <v>87</v>
      </c>
      <c r="P11" s="33">
        <f t="shared" ref="P11:R18" si="0">E11*M11</f>
        <v>9053.4</v>
      </c>
      <c r="Q11" s="33">
        <f t="shared" si="0"/>
        <v>6974.5999999999995</v>
      </c>
      <c r="R11" s="33">
        <f t="shared" si="0"/>
        <v>5924.7</v>
      </c>
      <c r="S11" s="33">
        <f t="shared" ref="S11:S18" si="1">M11+N11+O11</f>
        <v>252</v>
      </c>
      <c r="T11" s="33">
        <f t="shared" ref="T11:T18" si="2">P11+Q11+R11</f>
        <v>21952.7</v>
      </c>
      <c r="U11" s="34">
        <f>T11/S11</f>
        <v>87.113888888888894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128.69999999999999</v>
      </c>
      <c r="F12" s="18">
        <v>89</v>
      </c>
      <c r="G12" s="18">
        <v>78.5</v>
      </c>
      <c r="I12" s="18">
        <f t="shared" ref="I12:I16" si="3">U12</f>
        <v>102.25500000000001</v>
      </c>
      <c r="J12" s="42">
        <f>(I12/'Engr 10-11'!I12)-1</f>
        <v>1.3451836339304357E-2</v>
      </c>
      <c r="K12" s="16"/>
      <c r="M12" s="35">
        <f>66+6</f>
        <v>72</v>
      </c>
      <c r="N12" s="35">
        <f>50+13</f>
        <v>63</v>
      </c>
      <c r="O12" s="35">
        <f>35+10</f>
        <v>45</v>
      </c>
      <c r="P12" s="33">
        <f t="shared" si="0"/>
        <v>9266.4</v>
      </c>
      <c r="Q12" s="33">
        <f t="shared" si="0"/>
        <v>5607</v>
      </c>
      <c r="R12" s="33">
        <f t="shared" si="0"/>
        <v>3532.5</v>
      </c>
      <c r="S12" s="33">
        <f t="shared" si="1"/>
        <v>180</v>
      </c>
      <c r="T12" s="33">
        <f t="shared" si="2"/>
        <v>18405.900000000001</v>
      </c>
      <c r="U12" s="34">
        <f t="shared" ref="U12:U18" si="4">T12/S12</f>
        <v>102.25500000000001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141.30000000000001</v>
      </c>
      <c r="F13" s="18">
        <v>94.6</v>
      </c>
      <c r="G13" s="18">
        <v>86.8</v>
      </c>
      <c r="I13" s="18">
        <f t="shared" si="3"/>
        <v>114.45854748603351</v>
      </c>
      <c r="J13" s="42">
        <f>(I13/'Engr 10-11'!I13)-1</f>
        <v>6.402887985183181E-3</v>
      </c>
      <c r="K13" s="16"/>
      <c r="M13" s="35">
        <f>364+54</f>
        <v>418</v>
      </c>
      <c r="N13" s="35">
        <f>195+58</f>
        <v>253</v>
      </c>
      <c r="O13" s="35">
        <f>160+64</f>
        <v>224</v>
      </c>
      <c r="P13" s="33">
        <f t="shared" si="0"/>
        <v>59063.4</v>
      </c>
      <c r="Q13" s="33">
        <f t="shared" si="0"/>
        <v>23933.8</v>
      </c>
      <c r="R13" s="33">
        <f t="shared" si="0"/>
        <v>19443.2</v>
      </c>
      <c r="S13" s="33">
        <f t="shared" si="1"/>
        <v>895</v>
      </c>
      <c r="T13" s="33">
        <f t="shared" si="2"/>
        <v>102440.4</v>
      </c>
      <c r="U13" s="34">
        <f t="shared" si="4"/>
        <v>114.45854748603351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105.2</v>
      </c>
      <c r="F14" s="18">
        <v>82.8</v>
      </c>
      <c r="G14" s="18">
        <v>75.900000000000006</v>
      </c>
      <c r="I14" s="18">
        <f t="shared" si="3"/>
        <v>86.804360465116275</v>
      </c>
      <c r="J14" s="42">
        <f>(I14/'Engr 10-11'!I14)-1</f>
        <v>3.764924980083828E-2</v>
      </c>
      <c r="K14" s="16"/>
      <c r="M14" s="35">
        <f>82+18</f>
        <v>100</v>
      </c>
      <c r="N14" s="35">
        <f>90+29</f>
        <v>119</v>
      </c>
      <c r="O14" s="35">
        <f>83+42</f>
        <v>125</v>
      </c>
      <c r="P14" s="33">
        <f t="shared" si="0"/>
        <v>10520</v>
      </c>
      <c r="Q14" s="33">
        <f t="shared" si="0"/>
        <v>9853.1999999999989</v>
      </c>
      <c r="R14" s="33">
        <f t="shared" si="0"/>
        <v>9487.5</v>
      </c>
      <c r="S14" s="33">
        <f t="shared" si="1"/>
        <v>344</v>
      </c>
      <c r="T14" s="33">
        <f t="shared" si="2"/>
        <v>29860.699999999997</v>
      </c>
      <c r="U14" s="34">
        <f t="shared" si="4"/>
        <v>86.804360465116275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114.6</v>
      </c>
      <c r="F15" s="23">
        <v>78.900000000000006</v>
      </c>
      <c r="G15" s="23">
        <v>69.400000000000006</v>
      </c>
      <c r="H15" s="22"/>
      <c r="I15" s="23">
        <f t="shared" si="3"/>
        <v>89.264761904761912</v>
      </c>
      <c r="J15" s="44">
        <f>(I15/'Engr 10-11'!I15)-1</f>
        <v>8.4064408969783955E-3</v>
      </c>
      <c r="K15" s="16"/>
      <c r="M15" s="35">
        <f>105+12</f>
        <v>117</v>
      </c>
      <c r="N15" s="35">
        <f>83+19</f>
        <v>102</v>
      </c>
      <c r="O15" s="35">
        <f>60+36</f>
        <v>96</v>
      </c>
      <c r="P15" s="33">
        <f t="shared" si="0"/>
        <v>13408.199999999999</v>
      </c>
      <c r="Q15" s="33">
        <f t="shared" si="0"/>
        <v>8047.8</v>
      </c>
      <c r="R15" s="33">
        <f t="shared" si="0"/>
        <v>6662.4000000000005</v>
      </c>
      <c r="S15" s="33">
        <f t="shared" si="1"/>
        <v>315</v>
      </c>
      <c r="T15" s="33">
        <f t="shared" si="2"/>
        <v>28118.400000000001</v>
      </c>
      <c r="U15" s="34">
        <f t="shared" si="4"/>
        <v>89.264761904761912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166.6</v>
      </c>
      <c r="F16" s="18">
        <v>120.2</v>
      </c>
      <c r="G16" s="18">
        <v>89.9</v>
      </c>
      <c r="I16" s="18">
        <f t="shared" si="3"/>
        <v>140.2632958801498</v>
      </c>
      <c r="J16" s="42">
        <f>(I16/'Engr 10-11'!I16)-1</f>
        <v>5.7812380509520533E-2</v>
      </c>
      <c r="K16" s="16"/>
      <c r="M16" s="35">
        <f>123+14</f>
        <v>137</v>
      </c>
      <c r="N16" s="35">
        <f>78+19</f>
        <v>97</v>
      </c>
      <c r="O16" s="35">
        <f>27+6</f>
        <v>33</v>
      </c>
      <c r="P16" s="33">
        <f t="shared" si="0"/>
        <v>22824.2</v>
      </c>
      <c r="Q16" s="33">
        <f t="shared" si="0"/>
        <v>11659.4</v>
      </c>
      <c r="R16" s="33">
        <f t="shared" si="0"/>
        <v>2966.7000000000003</v>
      </c>
      <c r="S16" s="33">
        <f t="shared" si="1"/>
        <v>267</v>
      </c>
      <c r="T16" s="33">
        <f t="shared" si="2"/>
        <v>37450.299999999996</v>
      </c>
      <c r="U16" s="34">
        <f t="shared" si="4"/>
        <v>140.2632958801498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4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134.49144095341276</v>
      </c>
      <c r="F20" s="38">
        <f>Q20/N20</f>
        <v>91.771944444444429</v>
      </c>
      <c r="G20" s="38">
        <f t="shared" ref="G20" si="5">R20/O20</f>
        <v>78.716393442622945</v>
      </c>
      <c r="H20" s="36"/>
      <c r="I20" s="38">
        <f t="shared" ref="I20" si="6">U20</f>
        <v>105.73830448291166</v>
      </c>
      <c r="J20" s="43">
        <f>(I20/'Engr 10-11'!I20)-1</f>
        <v>3.3403458085828674E-2</v>
      </c>
      <c r="K20" s="16"/>
      <c r="M20" s="37">
        <f t="shared" ref="M20:R20" si="7">SUM(M11:M18)</f>
        <v>923</v>
      </c>
      <c r="N20" s="37">
        <f t="shared" si="7"/>
        <v>720</v>
      </c>
      <c r="O20" s="37">
        <f t="shared" si="7"/>
        <v>610</v>
      </c>
      <c r="P20" s="37">
        <f t="shared" si="7"/>
        <v>124135.59999999999</v>
      </c>
      <c r="Q20" s="37">
        <f t="shared" si="7"/>
        <v>66075.799999999988</v>
      </c>
      <c r="R20" s="37">
        <f t="shared" si="7"/>
        <v>48017</v>
      </c>
      <c r="S20" s="33">
        <f>M20+N20+O20</f>
        <v>2253</v>
      </c>
      <c r="T20" s="33">
        <f>P20+Q20+R20</f>
        <v>238228.39999999997</v>
      </c>
      <c r="U20" s="34">
        <f>T20/S20</f>
        <v>105.73830448291166</v>
      </c>
    </row>
    <row r="21" spans="1:21" ht="13.5" customHeight="1" x14ac:dyDescent="0.2">
      <c r="A21" s="17"/>
      <c r="D21" s="41" t="s">
        <v>38</v>
      </c>
      <c r="E21" s="38">
        <f>MEDIAN(E11:E18)</f>
        <v>121.64999999999999</v>
      </c>
      <c r="F21" s="38">
        <f>MEDIAN(F11:F18)</f>
        <v>85.9</v>
      </c>
      <c r="G21" s="38">
        <f>MEDIAN(G11:G18)</f>
        <v>77.2</v>
      </c>
      <c r="H21" s="36"/>
      <c r="I21" s="38">
        <f>MEDIAN(I11:I18)</f>
        <v>95.759880952380968</v>
      </c>
      <c r="J21" s="43">
        <f>(I21/'Engr 10-11'!I21)-1</f>
        <v>8.1780522026547953E-2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50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44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109.9</v>
      </c>
      <c r="F11" s="18">
        <v>78.900000000000006</v>
      </c>
      <c r="G11" s="18">
        <v>64.599999999999994</v>
      </c>
      <c r="I11" s="18">
        <f>U11</f>
        <v>83.462000000000003</v>
      </c>
      <c r="J11" s="42">
        <f>(I11/'Engr 09-10'!I11)-1</f>
        <v>3.5010139620384351E-2</v>
      </c>
      <c r="K11" s="16"/>
      <c r="M11" s="35">
        <f>67+9</f>
        <v>76</v>
      </c>
      <c r="N11" s="35">
        <f>56+33</f>
        <v>89</v>
      </c>
      <c r="O11" s="35">
        <f>48+37</f>
        <v>85</v>
      </c>
      <c r="P11" s="33">
        <f t="shared" ref="P11:R18" si="0">E11*M11</f>
        <v>8352.4</v>
      </c>
      <c r="Q11" s="33">
        <f t="shared" si="0"/>
        <v>7022.1</v>
      </c>
      <c r="R11" s="33">
        <f t="shared" si="0"/>
        <v>5490.9999999999991</v>
      </c>
      <c r="S11" s="33">
        <f t="shared" ref="S11:S18" si="1">M11+N11+O11</f>
        <v>250</v>
      </c>
      <c r="T11" s="33">
        <f t="shared" ref="T11:T18" si="2">P11+Q11+R11</f>
        <v>20865.5</v>
      </c>
      <c r="U11" s="34">
        <f>T11/S11</f>
        <v>83.462000000000003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127</v>
      </c>
      <c r="F12" s="18">
        <v>86.7</v>
      </c>
      <c r="G12" s="18">
        <v>77.5</v>
      </c>
      <c r="I12" s="18">
        <f t="shared" ref="I12:I18" si="3">U12</f>
        <v>100.89774011299436</v>
      </c>
      <c r="J12" s="42">
        <f>(I12/'Engr 09-10'!I12)-1</f>
        <v>9.2077637716740934E-3</v>
      </c>
      <c r="K12" s="16"/>
      <c r="M12" s="35">
        <f>68+6</f>
        <v>74</v>
      </c>
      <c r="N12" s="35">
        <f>42+10</f>
        <v>52</v>
      </c>
      <c r="O12" s="35">
        <f>39+12</f>
        <v>51</v>
      </c>
      <c r="P12" s="33">
        <f t="shared" si="0"/>
        <v>9398</v>
      </c>
      <c r="Q12" s="33">
        <f t="shared" si="0"/>
        <v>4508.4000000000005</v>
      </c>
      <c r="R12" s="33">
        <f t="shared" si="0"/>
        <v>3952.5</v>
      </c>
      <c r="S12" s="33">
        <f t="shared" si="1"/>
        <v>177</v>
      </c>
      <c r="T12" s="33">
        <f t="shared" si="2"/>
        <v>17858.900000000001</v>
      </c>
      <c r="U12" s="34">
        <f t="shared" ref="U12:U18" si="4">T12/S12</f>
        <v>100.89774011299436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140.4</v>
      </c>
      <c r="F13" s="18">
        <v>94</v>
      </c>
      <c r="G13" s="18">
        <v>85.8</v>
      </c>
      <c r="I13" s="18">
        <f t="shared" si="3"/>
        <v>113.73034482758622</v>
      </c>
      <c r="J13" s="42">
        <f>(I13/'Engr 09-10'!I13)-1</f>
        <v>1.1706073802040029E-2</v>
      </c>
      <c r="K13" s="16"/>
      <c r="M13" s="35">
        <f>360+49</f>
        <v>409</v>
      </c>
      <c r="N13" s="35">
        <f>186+54</f>
        <v>240</v>
      </c>
      <c r="O13" s="35">
        <f>160+61</f>
        <v>221</v>
      </c>
      <c r="P13" s="33">
        <f t="shared" si="0"/>
        <v>57423.600000000006</v>
      </c>
      <c r="Q13" s="33">
        <f t="shared" si="0"/>
        <v>22560</v>
      </c>
      <c r="R13" s="33">
        <f t="shared" si="0"/>
        <v>18961.8</v>
      </c>
      <c r="S13" s="33">
        <f t="shared" si="1"/>
        <v>870</v>
      </c>
      <c r="T13" s="33">
        <f t="shared" si="2"/>
        <v>98945.400000000009</v>
      </c>
      <c r="U13" s="34">
        <f t="shared" si="4"/>
        <v>113.73034482758622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100.6</v>
      </c>
      <c r="F14" s="18">
        <v>79.8</v>
      </c>
      <c r="G14" s="18">
        <v>73.599999999999994</v>
      </c>
      <c r="I14" s="18">
        <f t="shared" si="3"/>
        <v>83.654819277108444</v>
      </c>
      <c r="J14" s="42">
        <f>(I14/'Engr 09-10'!I14)-1</f>
        <v>2.3793218256085158E-3</v>
      </c>
      <c r="K14" s="16"/>
      <c r="M14" s="35">
        <f>79+18</f>
        <v>97</v>
      </c>
      <c r="N14" s="35">
        <f>86+30</f>
        <v>116</v>
      </c>
      <c r="O14" s="35">
        <f>83+36</f>
        <v>119</v>
      </c>
      <c r="P14" s="33">
        <f t="shared" si="0"/>
        <v>9758.1999999999989</v>
      </c>
      <c r="Q14" s="33">
        <f t="shared" si="0"/>
        <v>9256.7999999999993</v>
      </c>
      <c r="R14" s="33">
        <f t="shared" si="0"/>
        <v>8758.4</v>
      </c>
      <c r="S14" s="33">
        <f t="shared" si="1"/>
        <v>332</v>
      </c>
      <c r="T14" s="33">
        <f t="shared" si="2"/>
        <v>27773.4</v>
      </c>
      <c r="U14" s="34">
        <f t="shared" si="4"/>
        <v>83.654819277108444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110.3</v>
      </c>
      <c r="F15" s="23">
        <v>78.8</v>
      </c>
      <c r="G15" s="23">
        <v>69</v>
      </c>
      <c r="H15" s="22"/>
      <c r="I15" s="23">
        <f t="shared" si="3"/>
        <v>88.520618556701038</v>
      </c>
      <c r="J15" s="44">
        <f>(I15/'Engr 09-10'!I15)-1</f>
        <v>-1.912664021506516E-2</v>
      </c>
      <c r="K15" s="16"/>
      <c r="M15" s="35">
        <f>101+14</f>
        <v>115</v>
      </c>
      <c r="N15" s="35">
        <f>82+13</f>
        <v>95</v>
      </c>
      <c r="O15" s="35">
        <f>52+29</f>
        <v>81</v>
      </c>
      <c r="P15" s="33">
        <f t="shared" si="0"/>
        <v>12684.5</v>
      </c>
      <c r="Q15" s="33">
        <f t="shared" si="0"/>
        <v>7486</v>
      </c>
      <c r="R15" s="33">
        <f t="shared" si="0"/>
        <v>5589</v>
      </c>
      <c r="S15" s="33">
        <f t="shared" si="1"/>
        <v>291</v>
      </c>
      <c r="T15" s="33">
        <f t="shared" si="2"/>
        <v>25759.5</v>
      </c>
      <c r="U15" s="34">
        <f t="shared" si="4"/>
        <v>88.520618556701038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158.69999999999999</v>
      </c>
      <c r="F16" s="18">
        <v>115.4</v>
      </c>
      <c r="G16" s="18">
        <v>86.2</v>
      </c>
      <c r="I16" s="18">
        <f t="shared" si="3"/>
        <v>132.59751773049643</v>
      </c>
      <c r="J16" s="42">
        <f>(I16/'Engr 09-10'!I16)-1</f>
        <v>4.1828177444925396E-2</v>
      </c>
      <c r="K16" s="16"/>
      <c r="M16" s="35">
        <f>126+15</f>
        <v>141</v>
      </c>
      <c r="N16" s="35">
        <f>79+19</f>
        <v>98</v>
      </c>
      <c r="O16" s="35">
        <f>35+8</f>
        <v>43</v>
      </c>
      <c r="P16" s="33">
        <f t="shared" si="0"/>
        <v>22376.699999999997</v>
      </c>
      <c r="Q16" s="33">
        <f t="shared" si="0"/>
        <v>11309.2</v>
      </c>
      <c r="R16" s="33">
        <f t="shared" si="0"/>
        <v>3706.6</v>
      </c>
      <c r="S16" s="33">
        <f t="shared" si="1"/>
        <v>282</v>
      </c>
      <c r="T16" s="33">
        <f t="shared" si="2"/>
        <v>37392.499999999993</v>
      </c>
      <c r="U16" s="34">
        <f t="shared" si="4"/>
        <v>132.59751773049643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>
        <v>90.8</v>
      </c>
      <c r="F18" s="18">
        <v>67.099999999999994</v>
      </c>
      <c r="G18" s="18">
        <v>59.1</v>
      </c>
      <c r="I18" s="18">
        <f t="shared" si="3"/>
        <v>75.166942148760327</v>
      </c>
      <c r="J18" s="42">
        <f>(I18/'Engr 09-10'!I18)-1</f>
        <v>-6.3688747525628697E-3</v>
      </c>
      <c r="K18" s="16"/>
      <c r="M18" s="35">
        <f>44+9</f>
        <v>53</v>
      </c>
      <c r="N18" s="35">
        <f>27+6</f>
        <v>33</v>
      </c>
      <c r="O18" s="35">
        <f>31+4</f>
        <v>35</v>
      </c>
      <c r="P18" s="33">
        <f t="shared" si="0"/>
        <v>4812.3999999999996</v>
      </c>
      <c r="Q18" s="33">
        <f t="shared" si="0"/>
        <v>2214.2999999999997</v>
      </c>
      <c r="R18" s="33">
        <f t="shared" si="0"/>
        <v>2068.5</v>
      </c>
      <c r="S18" s="33">
        <f t="shared" si="1"/>
        <v>121</v>
      </c>
      <c r="T18" s="33">
        <f t="shared" si="2"/>
        <v>9095.1999999999989</v>
      </c>
      <c r="U18" s="34">
        <f t="shared" si="4"/>
        <v>75.166942148760327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129.33243523316062</v>
      </c>
      <c r="F20" s="38">
        <f>Q20/N20</f>
        <v>89.013554633471657</v>
      </c>
      <c r="G20" s="38">
        <f t="shared" ref="G20" si="5">R20/O20</f>
        <v>76.421732283464564</v>
      </c>
      <c r="H20" s="36"/>
      <c r="I20" s="38">
        <f t="shared" ref="I20" si="6">U20</f>
        <v>102.32044769694359</v>
      </c>
      <c r="J20" s="43">
        <f>(I20/'Engr 09-10'!I20)-1</f>
        <v>1.0010861624990319E-2</v>
      </c>
      <c r="K20" s="16"/>
      <c r="M20" s="37">
        <f t="shared" ref="M20:R20" si="7">SUM(M11:M18)</f>
        <v>965</v>
      </c>
      <c r="N20" s="37">
        <f t="shared" si="7"/>
        <v>723</v>
      </c>
      <c r="O20" s="37">
        <f t="shared" si="7"/>
        <v>635</v>
      </c>
      <c r="P20" s="37">
        <f t="shared" si="7"/>
        <v>124805.79999999999</v>
      </c>
      <c r="Q20" s="37">
        <f t="shared" si="7"/>
        <v>64356.800000000003</v>
      </c>
      <c r="R20" s="37">
        <f t="shared" si="7"/>
        <v>48527.799999999996</v>
      </c>
      <c r="S20" s="33">
        <f>M20+N20+O20</f>
        <v>2323</v>
      </c>
      <c r="T20" s="33">
        <f>P20+Q20+R20</f>
        <v>237690.39999999997</v>
      </c>
      <c r="U20" s="34">
        <f>T20/S20</f>
        <v>102.32044769694359</v>
      </c>
    </row>
    <row r="21" spans="1:21" ht="13.5" customHeight="1" x14ac:dyDescent="0.2">
      <c r="A21" s="17"/>
      <c r="D21" s="41" t="s">
        <v>38</v>
      </c>
      <c r="E21" s="38">
        <f>MEDIAN(E11:E18)</f>
        <v>110.3</v>
      </c>
      <c r="F21" s="38">
        <f>MEDIAN(F11:F18)</f>
        <v>79.8</v>
      </c>
      <c r="G21" s="38">
        <f>MEDIAN(G11:G18)</f>
        <v>73.599999999999994</v>
      </c>
      <c r="H21" s="36"/>
      <c r="I21" s="38">
        <f>MEDIAN(I11:I18)</f>
        <v>88.520618556701038</v>
      </c>
      <c r="J21" s="43">
        <f>(I21/'Engr 09-10'!I21)-1</f>
        <v>-1.912664021506516E-2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20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45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105.1</v>
      </c>
      <c r="F11" s="18">
        <v>77.7</v>
      </c>
      <c r="G11" s="18">
        <v>62.2</v>
      </c>
      <c r="I11" s="18">
        <f>U11</f>
        <v>80.638823529411766</v>
      </c>
      <c r="J11" s="42">
        <f>(I11/'Engr 08-09'!I11)-1</f>
        <v>1.3415012789110392E-2</v>
      </c>
      <c r="K11" s="16"/>
      <c r="M11" s="35">
        <f>68+8</f>
        <v>76</v>
      </c>
      <c r="N11" s="35">
        <f>61+32</f>
        <v>93</v>
      </c>
      <c r="O11" s="35">
        <f>45+41</f>
        <v>86</v>
      </c>
      <c r="P11" s="33">
        <f t="shared" ref="P11:R18" si="0">E11*M11</f>
        <v>7987.5999999999995</v>
      </c>
      <c r="Q11" s="33">
        <f t="shared" si="0"/>
        <v>7226.1</v>
      </c>
      <c r="R11" s="33">
        <f t="shared" si="0"/>
        <v>5349.2</v>
      </c>
      <c r="S11" s="33">
        <f t="shared" ref="S11:S18" si="1">M11+N11+O11</f>
        <v>255</v>
      </c>
      <c r="T11" s="33">
        <f t="shared" ref="T11:T18" si="2">P11+Q11+R11</f>
        <v>20562.900000000001</v>
      </c>
      <c r="U11" s="34">
        <f>T11/S11</f>
        <v>80.638823529411766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125.3</v>
      </c>
      <c r="F12" s="18">
        <v>85</v>
      </c>
      <c r="G12" s="18">
        <v>77.400000000000006</v>
      </c>
      <c r="I12" s="18">
        <f t="shared" ref="I12:I18" si="3">U12</f>
        <v>99.977173913043472</v>
      </c>
      <c r="J12" s="42">
        <f>(I12/'Engr 08-09'!I12)-1</f>
        <v>-1.0896822945072215E-2</v>
      </c>
      <c r="K12" s="16"/>
      <c r="M12" s="35">
        <f>73+5</f>
        <v>78</v>
      </c>
      <c r="N12" s="35">
        <f>43+12</f>
        <v>55</v>
      </c>
      <c r="O12" s="35">
        <f>39+12</f>
        <v>51</v>
      </c>
      <c r="P12" s="33">
        <f t="shared" si="0"/>
        <v>9773.4</v>
      </c>
      <c r="Q12" s="33">
        <f t="shared" si="0"/>
        <v>4675</v>
      </c>
      <c r="R12" s="33">
        <f t="shared" si="0"/>
        <v>3947.4</v>
      </c>
      <c r="S12" s="33">
        <f t="shared" si="1"/>
        <v>184</v>
      </c>
      <c r="T12" s="33">
        <f t="shared" si="2"/>
        <v>18395.8</v>
      </c>
      <c r="U12" s="34">
        <f t="shared" ref="U12:U18" si="4">T12/S12</f>
        <v>99.977173913043472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139.4</v>
      </c>
      <c r="F13" s="18">
        <v>95.3</v>
      </c>
      <c r="G13" s="18">
        <v>85.5</v>
      </c>
      <c r="I13" s="18">
        <f t="shared" si="3"/>
        <v>112.41441340782123</v>
      </c>
      <c r="J13" s="42">
        <f>(I13/'Engr 08-09'!I13)-1</f>
        <v>5.6590103989904161E-3</v>
      </c>
      <c r="K13" s="16"/>
      <c r="M13" s="35">
        <f>359+43</f>
        <v>402</v>
      </c>
      <c r="N13" s="35">
        <f>194+53</f>
        <v>247</v>
      </c>
      <c r="O13" s="35">
        <f>174+72</f>
        <v>246</v>
      </c>
      <c r="P13" s="33">
        <f t="shared" si="0"/>
        <v>56038.8</v>
      </c>
      <c r="Q13" s="33">
        <f t="shared" si="0"/>
        <v>23539.1</v>
      </c>
      <c r="R13" s="33">
        <f t="shared" si="0"/>
        <v>21033</v>
      </c>
      <c r="S13" s="33">
        <f t="shared" si="1"/>
        <v>895</v>
      </c>
      <c r="T13" s="33">
        <f t="shared" si="2"/>
        <v>100610.9</v>
      </c>
      <c r="U13" s="34">
        <f t="shared" si="4"/>
        <v>112.41441340782123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100.8</v>
      </c>
      <c r="F14" s="18">
        <v>79.7</v>
      </c>
      <c r="G14" s="18">
        <v>73.099999999999994</v>
      </c>
      <c r="I14" s="18">
        <f t="shared" si="3"/>
        <v>83.456249999999997</v>
      </c>
      <c r="J14" s="42">
        <f>(I14/'Engr 08-09'!I14)-1</f>
        <v>4.9929234156313784E-2</v>
      </c>
      <c r="K14" s="16"/>
      <c r="M14" s="35">
        <f>76+16</f>
        <v>92</v>
      </c>
      <c r="N14" s="35">
        <f>84+32</f>
        <v>116</v>
      </c>
      <c r="O14" s="35">
        <f>78+34</f>
        <v>112</v>
      </c>
      <c r="P14" s="33">
        <f t="shared" si="0"/>
        <v>9273.6</v>
      </c>
      <c r="Q14" s="33">
        <f t="shared" si="0"/>
        <v>9245.2000000000007</v>
      </c>
      <c r="R14" s="33">
        <f t="shared" si="0"/>
        <v>8187.1999999999989</v>
      </c>
      <c r="S14" s="33">
        <f t="shared" si="1"/>
        <v>320</v>
      </c>
      <c r="T14" s="33">
        <f t="shared" si="2"/>
        <v>26706</v>
      </c>
      <c r="U14" s="34">
        <f t="shared" si="4"/>
        <v>83.456249999999997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110.8</v>
      </c>
      <c r="F15" s="23">
        <v>80.3</v>
      </c>
      <c r="G15" s="23">
        <v>70.5</v>
      </c>
      <c r="H15" s="22"/>
      <c r="I15" s="23">
        <f t="shared" si="3"/>
        <v>90.246735395189006</v>
      </c>
      <c r="J15" s="44">
        <f>(I15/'Engr 08-09'!I15)-1</f>
        <v>3.6645442308409493E-3</v>
      </c>
      <c r="K15" s="16"/>
      <c r="M15" s="35">
        <f>109+10</f>
        <v>119</v>
      </c>
      <c r="N15" s="35">
        <f>81+16</f>
        <v>97</v>
      </c>
      <c r="O15" s="35">
        <f>50+25</f>
        <v>75</v>
      </c>
      <c r="P15" s="33">
        <f t="shared" si="0"/>
        <v>13185.199999999999</v>
      </c>
      <c r="Q15" s="33">
        <f t="shared" si="0"/>
        <v>7789.0999999999995</v>
      </c>
      <c r="R15" s="33">
        <f t="shared" si="0"/>
        <v>5287.5</v>
      </c>
      <c r="S15" s="33">
        <f t="shared" si="1"/>
        <v>291</v>
      </c>
      <c r="T15" s="33">
        <f t="shared" si="2"/>
        <v>26261.8</v>
      </c>
      <c r="U15" s="34">
        <f t="shared" si="4"/>
        <v>90.246735395189006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151.5</v>
      </c>
      <c r="F16" s="18">
        <v>112.3</v>
      </c>
      <c r="G16" s="18">
        <v>84.2</v>
      </c>
      <c r="I16" s="18">
        <f t="shared" si="3"/>
        <v>127.27388316151202</v>
      </c>
      <c r="J16" s="42">
        <f>(I16/'Engr 08-09'!I16)-1</f>
        <v>7.0692611829429763E-2</v>
      </c>
      <c r="K16" s="16"/>
      <c r="M16" s="35">
        <f>132+15</f>
        <v>147</v>
      </c>
      <c r="N16" s="35">
        <f>76+18</f>
        <v>94</v>
      </c>
      <c r="O16" s="35">
        <f>42+8</f>
        <v>50</v>
      </c>
      <c r="P16" s="33">
        <f t="shared" si="0"/>
        <v>22270.5</v>
      </c>
      <c r="Q16" s="33">
        <f t="shared" si="0"/>
        <v>10556.199999999999</v>
      </c>
      <c r="R16" s="33">
        <f t="shared" si="0"/>
        <v>4210</v>
      </c>
      <c r="S16" s="33">
        <f t="shared" si="1"/>
        <v>291</v>
      </c>
      <c r="T16" s="33">
        <f t="shared" si="2"/>
        <v>37036.699999999997</v>
      </c>
      <c r="U16" s="34">
        <f t="shared" si="4"/>
        <v>127.27388316151202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>
        <v>92.9</v>
      </c>
      <c r="F18" s="18">
        <v>65</v>
      </c>
      <c r="G18" s="18">
        <v>59.6</v>
      </c>
      <c r="I18" s="18">
        <f t="shared" si="3"/>
        <v>75.648739495798324</v>
      </c>
      <c r="J18" s="42">
        <f>(I18/'Engr 08-09'!I18)-1</f>
        <v>1.2807702089397521E-2</v>
      </c>
      <c r="K18" s="16"/>
      <c r="M18" s="35">
        <f>46+6</f>
        <v>52</v>
      </c>
      <c r="N18" s="35">
        <f>25+8</f>
        <v>33</v>
      </c>
      <c r="O18" s="35">
        <f>31+3</f>
        <v>34</v>
      </c>
      <c r="P18" s="33">
        <f t="shared" si="0"/>
        <v>4830.8</v>
      </c>
      <c r="Q18" s="33">
        <f t="shared" si="0"/>
        <v>2145</v>
      </c>
      <c r="R18" s="33">
        <f t="shared" si="0"/>
        <v>2026.4</v>
      </c>
      <c r="S18" s="33">
        <f t="shared" si="1"/>
        <v>119</v>
      </c>
      <c r="T18" s="33">
        <f t="shared" si="2"/>
        <v>9002.2000000000007</v>
      </c>
      <c r="U18" s="34">
        <f t="shared" si="4"/>
        <v>75.648739495798324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127.70175983436854</v>
      </c>
      <c r="F20" s="38">
        <f>Q20/N20</f>
        <v>88.674421768707475</v>
      </c>
      <c r="G20" s="38">
        <f t="shared" ref="G20" si="5">R20/O20</f>
        <v>76.514831804281343</v>
      </c>
      <c r="H20" s="36"/>
      <c r="I20" s="38">
        <f t="shared" ref="I20" si="6">U20</f>
        <v>101.30628450106157</v>
      </c>
      <c r="J20" s="43">
        <f>(I20/'Engr 08-09'!I20)-1</f>
        <v>1.9526449004889646E-2</v>
      </c>
      <c r="K20" s="16"/>
      <c r="M20" s="37">
        <f t="shared" ref="M20:R20" si="7">SUM(M11:M18)</f>
        <v>966</v>
      </c>
      <c r="N20" s="37">
        <f t="shared" si="7"/>
        <v>735</v>
      </c>
      <c r="O20" s="37">
        <f t="shared" si="7"/>
        <v>654</v>
      </c>
      <c r="P20" s="37">
        <f t="shared" si="7"/>
        <v>123359.90000000001</v>
      </c>
      <c r="Q20" s="37">
        <f t="shared" si="7"/>
        <v>65175.69999999999</v>
      </c>
      <c r="R20" s="37">
        <f t="shared" si="7"/>
        <v>50040.7</v>
      </c>
      <c r="S20" s="33">
        <f>M20+N20+O20</f>
        <v>2355</v>
      </c>
      <c r="T20" s="33">
        <f>P20+Q20+R20</f>
        <v>238576.3</v>
      </c>
      <c r="U20" s="34">
        <f>T20/S20</f>
        <v>101.30628450106157</v>
      </c>
    </row>
    <row r="21" spans="1:21" ht="13.5" customHeight="1" x14ac:dyDescent="0.2">
      <c r="A21" s="17"/>
      <c r="D21" s="41" t="s">
        <v>38</v>
      </c>
      <c r="E21" s="38">
        <f>MEDIAN(E11:E18)</f>
        <v>110.8</v>
      </c>
      <c r="F21" s="38">
        <f>MEDIAN(F11:F18)</f>
        <v>80.3</v>
      </c>
      <c r="G21" s="38">
        <f>MEDIAN(G11:G18)</f>
        <v>73.099999999999994</v>
      </c>
      <c r="H21" s="36"/>
      <c r="I21" s="38">
        <f>MEDIAN(I11:I18)</f>
        <v>90.246735395189006</v>
      </c>
      <c r="J21" s="43">
        <f>(I21/'Engr 08-09'!I21)-1</f>
        <v>3.6645442308409493E-3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21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22" width="9.140625" style="1"/>
    <col min="23" max="23" width="33.140625" style="1" customWidth="1"/>
    <col min="24" max="16384" width="9.140625" style="1"/>
  </cols>
  <sheetData>
    <row r="1" spans="1:35" s="2" customFormat="1" ht="13.5" customHeight="1" x14ac:dyDescent="0.2">
      <c r="C1" s="24"/>
    </row>
    <row r="2" spans="1:35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35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35" s="2" customFormat="1" ht="15" customHeight="1" x14ac:dyDescent="0.25">
      <c r="A4" s="3"/>
      <c r="B4" s="6" t="s">
        <v>46</v>
      </c>
      <c r="C4" s="26"/>
      <c r="D4" s="7"/>
      <c r="K4" s="5"/>
    </row>
    <row r="5" spans="1:35" s="2" customFormat="1" ht="15" customHeight="1" x14ac:dyDescent="0.25">
      <c r="A5" s="3"/>
      <c r="B5" s="48" t="s">
        <v>28</v>
      </c>
      <c r="C5" s="26"/>
      <c r="D5" s="7"/>
      <c r="K5" s="5"/>
    </row>
    <row r="6" spans="1:35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  <c r="W6" s="1" t="s">
        <v>51</v>
      </c>
    </row>
    <row r="7" spans="1:35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  <c r="AB7" s="15" t="s">
        <v>7</v>
      </c>
      <c r="AC7" s="10"/>
      <c r="AD7" s="31"/>
      <c r="AE7" s="15" t="s">
        <v>13</v>
      </c>
      <c r="AF7" s="31"/>
      <c r="AG7" s="32" t="s">
        <v>11</v>
      </c>
      <c r="AH7" s="32" t="s">
        <v>11</v>
      </c>
      <c r="AI7" s="32" t="s">
        <v>15</v>
      </c>
    </row>
    <row r="8" spans="1:35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  <c r="X8" s="11" t="s">
        <v>2</v>
      </c>
      <c r="Y8" s="11" t="s">
        <v>3</v>
      </c>
      <c r="Z8" s="11" t="s">
        <v>4</v>
      </c>
      <c r="AA8" s="11" t="s">
        <v>8</v>
      </c>
      <c r="AB8" s="11" t="s">
        <v>9</v>
      </c>
      <c r="AC8" s="11" t="s">
        <v>10</v>
      </c>
      <c r="AD8" s="11" t="s">
        <v>8</v>
      </c>
      <c r="AE8" s="11" t="s">
        <v>9</v>
      </c>
      <c r="AF8" s="11" t="s">
        <v>10</v>
      </c>
      <c r="AG8" s="11" t="s">
        <v>12</v>
      </c>
      <c r="AH8" s="11" t="s">
        <v>14</v>
      </c>
      <c r="AI8" s="11" t="s">
        <v>14</v>
      </c>
    </row>
    <row r="9" spans="1:35" ht="13.5" customHeight="1" x14ac:dyDescent="0.2">
      <c r="A9" s="17"/>
      <c r="K9" s="16"/>
    </row>
    <row r="10" spans="1:35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35" ht="13.5" customHeight="1" x14ac:dyDescent="0.2">
      <c r="A11" s="17"/>
      <c r="C11" s="29">
        <v>1</v>
      </c>
      <c r="D11" s="1" t="s">
        <v>36</v>
      </c>
      <c r="E11" s="18">
        <v>102.5</v>
      </c>
      <c r="F11" s="18">
        <v>77.400000000000006</v>
      </c>
      <c r="G11" s="18">
        <v>62.3</v>
      </c>
      <c r="I11" s="18">
        <f>U11</f>
        <v>79.5713725490196</v>
      </c>
      <c r="J11" s="42">
        <f>(I11/AI11)-1</f>
        <v>-8.8650186473604453E-4</v>
      </c>
      <c r="K11" s="16"/>
      <c r="M11" s="35">
        <f>67+8</f>
        <v>75</v>
      </c>
      <c r="N11" s="35">
        <f>59+33</f>
        <v>92</v>
      </c>
      <c r="O11" s="35">
        <f>48+40</f>
        <v>88</v>
      </c>
      <c r="P11" s="33">
        <f t="shared" ref="P11:R18" si="0">E11*M11</f>
        <v>7687.5</v>
      </c>
      <c r="Q11" s="33">
        <f t="shared" si="0"/>
        <v>7120.8</v>
      </c>
      <c r="R11" s="33">
        <f t="shared" si="0"/>
        <v>5482.4</v>
      </c>
      <c r="S11" s="33">
        <f t="shared" ref="S11:S18" si="1">M11+N11+O11</f>
        <v>255</v>
      </c>
      <c r="T11" s="33">
        <f t="shared" ref="T11:T18" si="2">P11+Q11+R11</f>
        <v>20290.699999999997</v>
      </c>
      <c r="U11" s="34">
        <f>T11/S11</f>
        <v>79.5713725490196</v>
      </c>
      <c r="W11" s="1" t="s">
        <v>36</v>
      </c>
      <c r="X11" s="18">
        <v>102.2</v>
      </c>
      <c r="Y11" s="18">
        <v>76.8</v>
      </c>
      <c r="Z11" s="18">
        <v>62.3</v>
      </c>
      <c r="AA11" s="35">
        <f>67+7</f>
        <v>74</v>
      </c>
      <c r="AB11" s="35">
        <f>59+28</f>
        <v>87</v>
      </c>
      <c r="AC11" s="35">
        <f>42+40</f>
        <v>82</v>
      </c>
      <c r="AD11" s="33">
        <f>X11*AA11</f>
        <v>7562.8</v>
      </c>
      <c r="AE11" s="33">
        <f>Y11*AB11</f>
        <v>6681.5999999999995</v>
      </c>
      <c r="AF11" s="33">
        <f>Z11*AC11</f>
        <v>5108.5999999999995</v>
      </c>
      <c r="AG11" s="33">
        <f t="shared" ref="AG11:AG18" si="3">AA11+AB11+AC11</f>
        <v>243</v>
      </c>
      <c r="AH11" s="33">
        <f>AD11+AE11+AF11</f>
        <v>19353</v>
      </c>
      <c r="AI11" s="34">
        <f>AH11/AG11</f>
        <v>79.641975308641975</v>
      </c>
    </row>
    <row r="12" spans="1:35" ht="13.5" customHeight="1" x14ac:dyDescent="0.2">
      <c r="A12" s="17"/>
      <c r="C12" s="29">
        <v>2</v>
      </c>
      <c r="D12" s="1" t="s">
        <v>29</v>
      </c>
      <c r="E12" s="18">
        <v>124.7</v>
      </c>
      <c r="F12" s="18">
        <v>85.1</v>
      </c>
      <c r="G12" s="18">
        <v>76.7</v>
      </c>
      <c r="I12" s="18">
        <f t="shared" ref="I12:I18" si="4">U12</f>
        <v>101.07860962566845</v>
      </c>
      <c r="J12" s="42">
        <f t="shared" ref="J12:J16" si="5">(I12/AI12)-1</f>
        <v>5.3627336343359921E-2</v>
      </c>
      <c r="K12" s="16"/>
      <c r="M12" s="35">
        <f>81+4</f>
        <v>85</v>
      </c>
      <c r="N12" s="35">
        <f>44+13</f>
        <v>57</v>
      </c>
      <c r="O12" s="35">
        <f>34+11</f>
        <v>45</v>
      </c>
      <c r="P12" s="33">
        <f t="shared" si="0"/>
        <v>10599.5</v>
      </c>
      <c r="Q12" s="33">
        <f t="shared" si="0"/>
        <v>4850.7</v>
      </c>
      <c r="R12" s="33">
        <f t="shared" si="0"/>
        <v>3451.5</v>
      </c>
      <c r="S12" s="33">
        <f t="shared" si="1"/>
        <v>187</v>
      </c>
      <c r="T12" s="33">
        <f t="shared" si="2"/>
        <v>18901.7</v>
      </c>
      <c r="U12" s="34">
        <f t="shared" ref="U12:U18" si="6">T12/S12</f>
        <v>101.07860962566845</v>
      </c>
      <c r="W12" s="1" t="s">
        <v>29</v>
      </c>
      <c r="X12" s="18">
        <v>118.1</v>
      </c>
      <c r="Y12" s="18">
        <v>80.8</v>
      </c>
      <c r="Z12" s="18">
        <v>72.900000000000006</v>
      </c>
      <c r="AA12" s="35">
        <f>71+5</f>
        <v>76</v>
      </c>
      <c r="AB12" s="35">
        <f>45+10</f>
        <v>55</v>
      </c>
      <c r="AC12" s="35">
        <f>28+9</f>
        <v>37</v>
      </c>
      <c r="AD12" s="33">
        <f t="shared" ref="AD12:AF18" si="7">X12*AA12</f>
        <v>8975.6</v>
      </c>
      <c r="AE12" s="33">
        <f t="shared" si="7"/>
        <v>4444</v>
      </c>
      <c r="AF12" s="33">
        <f t="shared" si="7"/>
        <v>2697.3</v>
      </c>
      <c r="AG12" s="33">
        <f t="shared" si="3"/>
        <v>168</v>
      </c>
      <c r="AH12" s="33">
        <f t="shared" ref="AH12:AH18" si="8">AD12+AE12+AF12</f>
        <v>16116.900000000001</v>
      </c>
      <c r="AI12" s="34">
        <f t="shared" ref="AI12:AI16" si="9">AH12/AG12</f>
        <v>95.933928571428581</v>
      </c>
    </row>
    <row r="13" spans="1:35" ht="13.5" customHeight="1" x14ac:dyDescent="0.2">
      <c r="A13" s="17"/>
      <c r="C13" s="29">
        <v>3</v>
      </c>
      <c r="D13" s="1" t="s">
        <v>30</v>
      </c>
      <c r="E13" s="18">
        <v>139.80000000000001</v>
      </c>
      <c r="F13" s="18">
        <v>95.4</v>
      </c>
      <c r="G13" s="18">
        <v>83.4</v>
      </c>
      <c r="I13" s="18">
        <f t="shared" si="4"/>
        <v>111.78183881952329</v>
      </c>
      <c r="J13" s="42">
        <f t="shared" si="5"/>
        <v>3.2949927933049183E-2</v>
      </c>
      <c r="K13" s="16"/>
      <c r="M13" s="35">
        <f>352+39</f>
        <v>391</v>
      </c>
      <c r="N13" s="35">
        <f>192+54</f>
        <v>246</v>
      </c>
      <c r="O13" s="35">
        <f>170+74</f>
        <v>244</v>
      </c>
      <c r="P13" s="33">
        <f t="shared" si="0"/>
        <v>54661.8</v>
      </c>
      <c r="Q13" s="33">
        <f t="shared" si="0"/>
        <v>23468.400000000001</v>
      </c>
      <c r="R13" s="33">
        <f t="shared" si="0"/>
        <v>20349.600000000002</v>
      </c>
      <c r="S13" s="33">
        <f t="shared" si="1"/>
        <v>881</v>
      </c>
      <c r="T13" s="33">
        <f t="shared" si="2"/>
        <v>98479.800000000017</v>
      </c>
      <c r="U13" s="34">
        <f t="shared" si="6"/>
        <v>111.78183881952329</v>
      </c>
      <c r="W13" s="1" t="s">
        <v>30</v>
      </c>
      <c r="X13" s="18">
        <v>134.69999999999999</v>
      </c>
      <c r="Y13" s="18">
        <v>93</v>
      </c>
      <c r="Z13" s="18">
        <v>80.8</v>
      </c>
      <c r="AA13" s="35">
        <f>340+43</f>
        <v>383</v>
      </c>
      <c r="AB13" s="35">
        <f>194+51</f>
        <v>245</v>
      </c>
      <c r="AC13" s="35">
        <f>167+67</f>
        <v>234</v>
      </c>
      <c r="AD13" s="33">
        <f t="shared" si="7"/>
        <v>51590.1</v>
      </c>
      <c r="AE13" s="33">
        <f t="shared" si="7"/>
        <v>22785</v>
      </c>
      <c r="AF13" s="33">
        <f t="shared" si="7"/>
        <v>18907.2</v>
      </c>
      <c r="AG13" s="33">
        <f t="shared" si="3"/>
        <v>862</v>
      </c>
      <c r="AH13" s="33">
        <f t="shared" si="8"/>
        <v>93282.3</v>
      </c>
      <c r="AI13" s="34">
        <f t="shared" si="9"/>
        <v>108.2161252900232</v>
      </c>
    </row>
    <row r="14" spans="1:35" ht="13.5" customHeight="1" x14ac:dyDescent="0.2">
      <c r="A14" s="17"/>
      <c r="C14" s="29">
        <v>4</v>
      </c>
      <c r="D14" s="1" t="s">
        <v>31</v>
      </c>
      <c r="E14" s="18">
        <v>93.7</v>
      </c>
      <c r="F14" s="18">
        <v>74.599999999999994</v>
      </c>
      <c r="G14" s="18">
        <v>70.900000000000006</v>
      </c>
      <c r="I14" s="18">
        <f t="shared" si="4"/>
        <v>79.487499999999997</v>
      </c>
      <c r="J14" s="42">
        <f t="shared" si="5"/>
        <v>4.6322918110017985E-2</v>
      </c>
      <c r="K14" s="16"/>
      <c r="M14" s="35">
        <f>82+14</f>
        <v>96</v>
      </c>
      <c r="N14" s="35">
        <f>84+30</f>
        <v>114</v>
      </c>
      <c r="O14" s="35">
        <f>70+24</f>
        <v>94</v>
      </c>
      <c r="P14" s="33">
        <f t="shared" si="0"/>
        <v>8995.2000000000007</v>
      </c>
      <c r="Q14" s="33">
        <f t="shared" si="0"/>
        <v>8504.4</v>
      </c>
      <c r="R14" s="33">
        <f t="shared" si="0"/>
        <v>6664.6</v>
      </c>
      <c r="S14" s="33">
        <f t="shared" si="1"/>
        <v>304</v>
      </c>
      <c r="T14" s="33">
        <f t="shared" si="2"/>
        <v>24164.199999999997</v>
      </c>
      <c r="U14" s="34">
        <f t="shared" si="6"/>
        <v>79.487499999999997</v>
      </c>
      <c r="W14" s="1" t="s">
        <v>31</v>
      </c>
      <c r="X14" s="18">
        <v>89.1</v>
      </c>
      <c r="Y14" s="18">
        <v>71.900000000000006</v>
      </c>
      <c r="Z14" s="18">
        <v>67.900000000000006</v>
      </c>
      <c r="AA14" s="35">
        <f>78+16</f>
        <v>94</v>
      </c>
      <c r="AB14" s="35">
        <f>85+30</f>
        <v>115</v>
      </c>
      <c r="AC14" s="35">
        <f>71+24</f>
        <v>95</v>
      </c>
      <c r="AD14" s="33">
        <f t="shared" si="7"/>
        <v>8375.4</v>
      </c>
      <c r="AE14" s="33">
        <f t="shared" si="7"/>
        <v>8268.5</v>
      </c>
      <c r="AF14" s="33">
        <f t="shared" si="7"/>
        <v>6450.5000000000009</v>
      </c>
      <c r="AG14" s="33">
        <f t="shared" si="3"/>
        <v>304</v>
      </c>
      <c r="AH14" s="33">
        <f t="shared" si="8"/>
        <v>23094.400000000001</v>
      </c>
      <c r="AI14" s="34">
        <f t="shared" si="9"/>
        <v>75.968421052631584</v>
      </c>
    </row>
    <row r="15" spans="1:35" ht="13.5" customHeight="1" x14ac:dyDescent="0.2">
      <c r="A15" s="17"/>
      <c r="C15" s="29">
        <v>5</v>
      </c>
      <c r="D15" s="22" t="s">
        <v>32</v>
      </c>
      <c r="E15" s="23">
        <v>110</v>
      </c>
      <c r="F15" s="23">
        <v>80.7</v>
      </c>
      <c r="G15" s="23">
        <v>71.2</v>
      </c>
      <c r="H15" s="22"/>
      <c r="I15" s="23">
        <f t="shared" si="4"/>
        <v>89.917229729729726</v>
      </c>
      <c r="J15" s="44">
        <f t="shared" si="5"/>
        <v>6.2508891424456925E-2</v>
      </c>
      <c r="K15" s="16"/>
      <c r="M15" s="35">
        <f>111+10</f>
        <v>121</v>
      </c>
      <c r="N15" s="35">
        <f>77+12</f>
        <v>89</v>
      </c>
      <c r="O15" s="35">
        <f>59+27</f>
        <v>86</v>
      </c>
      <c r="P15" s="33">
        <f t="shared" si="0"/>
        <v>13310</v>
      </c>
      <c r="Q15" s="33">
        <f t="shared" si="0"/>
        <v>7182.3</v>
      </c>
      <c r="R15" s="33">
        <f t="shared" si="0"/>
        <v>6123.2</v>
      </c>
      <c r="S15" s="33">
        <f t="shared" si="1"/>
        <v>296</v>
      </c>
      <c r="T15" s="33">
        <f t="shared" si="2"/>
        <v>26615.5</v>
      </c>
      <c r="U15" s="34">
        <f t="shared" si="6"/>
        <v>89.917229729729726</v>
      </c>
      <c r="W15" s="1" t="s">
        <v>52</v>
      </c>
      <c r="X15" s="18">
        <v>103</v>
      </c>
      <c r="Y15" s="18">
        <v>74.900000000000006</v>
      </c>
      <c r="Z15" s="18">
        <v>67</v>
      </c>
      <c r="AA15" s="35">
        <f>108+8</f>
        <v>116</v>
      </c>
      <c r="AB15" s="35">
        <f>76+9</f>
        <v>85</v>
      </c>
      <c r="AC15" s="35">
        <f>52+22</f>
        <v>74</v>
      </c>
      <c r="AD15" s="33">
        <f t="shared" si="7"/>
        <v>11948</v>
      </c>
      <c r="AE15" s="33">
        <f t="shared" si="7"/>
        <v>6366.5000000000009</v>
      </c>
      <c r="AF15" s="33">
        <f t="shared" si="7"/>
        <v>4958</v>
      </c>
      <c r="AG15" s="33">
        <f t="shared" si="3"/>
        <v>275</v>
      </c>
      <c r="AH15" s="33">
        <f t="shared" si="8"/>
        <v>23272.5</v>
      </c>
      <c r="AI15" s="34">
        <f t="shared" si="9"/>
        <v>84.627272727272725</v>
      </c>
    </row>
    <row r="16" spans="1:35" ht="13.5" customHeight="1" x14ac:dyDescent="0.2">
      <c r="A16" s="17"/>
      <c r="C16" s="29">
        <v>6</v>
      </c>
      <c r="D16" s="1" t="s">
        <v>33</v>
      </c>
      <c r="E16" s="18">
        <v>141.19999999999999</v>
      </c>
      <c r="F16" s="18">
        <v>105.6</v>
      </c>
      <c r="G16" s="18">
        <v>80.900000000000006</v>
      </c>
      <c r="I16" s="18">
        <f t="shared" si="4"/>
        <v>118.8706093189964</v>
      </c>
      <c r="J16" s="42">
        <f t="shared" si="5"/>
        <v>1.0108574874708287E-2</v>
      </c>
      <c r="K16" s="16"/>
      <c r="M16" s="35">
        <f>124+14</f>
        <v>138</v>
      </c>
      <c r="N16" s="35">
        <f>74+18</f>
        <v>92</v>
      </c>
      <c r="O16" s="35">
        <f>40+9</f>
        <v>49</v>
      </c>
      <c r="P16" s="33">
        <f t="shared" si="0"/>
        <v>19485.599999999999</v>
      </c>
      <c r="Q16" s="33">
        <f t="shared" si="0"/>
        <v>9715.1999999999989</v>
      </c>
      <c r="R16" s="33">
        <f t="shared" si="0"/>
        <v>3964.1000000000004</v>
      </c>
      <c r="S16" s="33">
        <f t="shared" si="1"/>
        <v>279</v>
      </c>
      <c r="T16" s="33">
        <f t="shared" si="2"/>
        <v>33164.899999999994</v>
      </c>
      <c r="U16" s="34">
        <f t="shared" si="6"/>
        <v>118.8706093189964</v>
      </c>
      <c r="W16" s="1" t="s">
        <v>33</v>
      </c>
      <c r="X16" s="18">
        <v>139.5</v>
      </c>
      <c r="Y16" s="18">
        <v>105.3</v>
      </c>
      <c r="Z16" s="18">
        <v>80.7</v>
      </c>
      <c r="AA16" s="35">
        <f>121+12</f>
        <v>133</v>
      </c>
      <c r="AB16" s="35">
        <f>76+18</f>
        <v>94</v>
      </c>
      <c r="AC16" s="35">
        <f>38+9</f>
        <v>47</v>
      </c>
      <c r="AD16" s="33">
        <f t="shared" si="7"/>
        <v>18553.5</v>
      </c>
      <c r="AE16" s="33">
        <f t="shared" si="7"/>
        <v>9898.1999999999989</v>
      </c>
      <c r="AF16" s="33">
        <f t="shared" si="7"/>
        <v>3792.9</v>
      </c>
      <c r="AG16" s="33">
        <f t="shared" si="3"/>
        <v>274</v>
      </c>
      <c r="AH16" s="33">
        <f t="shared" si="8"/>
        <v>32244.6</v>
      </c>
      <c r="AI16" s="34">
        <f t="shared" si="9"/>
        <v>117.68102189781021</v>
      </c>
    </row>
    <row r="17" spans="1:35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6"/>
        <v>#DIV/0!</v>
      </c>
      <c r="W17" s="1" t="s">
        <v>34</v>
      </c>
      <c r="X17" s="18"/>
      <c r="Y17" s="18"/>
      <c r="Z17" s="18"/>
      <c r="AA17" s="35"/>
      <c r="AB17" s="35"/>
      <c r="AC17" s="35"/>
      <c r="AD17" s="33">
        <f t="shared" si="7"/>
        <v>0</v>
      </c>
      <c r="AE17" s="33">
        <f t="shared" si="7"/>
        <v>0</v>
      </c>
      <c r="AF17" s="33">
        <f t="shared" si="7"/>
        <v>0</v>
      </c>
      <c r="AG17" s="33">
        <f t="shared" si="3"/>
        <v>0</v>
      </c>
      <c r="AH17" s="33">
        <f t="shared" si="8"/>
        <v>0</v>
      </c>
      <c r="AI17" s="34"/>
    </row>
    <row r="18" spans="1:35" ht="13.5" customHeight="1" x14ac:dyDescent="0.2">
      <c r="A18" s="17"/>
      <c r="C18" s="29">
        <v>8</v>
      </c>
      <c r="D18" s="1" t="s">
        <v>35</v>
      </c>
      <c r="E18" s="18">
        <v>90.9</v>
      </c>
      <c r="F18" s="18">
        <v>64.599999999999994</v>
      </c>
      <c r="G18" s="18">
        <v>59.9</v>
      </c>
      <c r="I18" s="18">
        <f t="shared" si="4"/>
        <v>74.692105263157885</v>
      </c>
      <c r="J18" s="42">
        <f>(I18/AI18)-1</f>
        <v>1.7415208699913087E-2</v>
      </c>
      <c r="K18" s="16"/>
      <c r="M18" s="35">
        <f>44+6</f>
        <v>50</v>
      </c>
      <c r="N18" s="35">
        <f>22+7</f>
        <v>29</v>
      </c>
      <c r="O18" s="35">
        <f>28+7</f>
        <v>35</v>
      </c>
      <c r="P18" s="33">
        <f t="shared" si="0"/>
        <v>4545</v>
      </c>
      <c r="Q18" s="33">
        <f t="shared" si="0"/>
        <v>1873.3999999999999</v>
      </c>
      <c r="R18" s="33">
        <f t="shared" si="0"/>
        <v>2096.5</v>
      </c>
      <c r="S18" s="33">
        <f t="shared" si="1"/>
        <v>114</v>
      </c>
      <c r="T18" s="33">
        <f t="shared" si="2"/>
        <v>8514.9</v>
      </c>
      <c r="U18" s="34">
        <f t="shared" si="6"/>
        <v>74.692105263157885</v>
      </c>
      <c r="W18" s="1" t="s">
        <v>35</v>
      </c>
      <c r="X18" s="18">
        <v>88.6</v>
      </c>
      <c r="Y18" s="18">
        <v>62</v>
      </c>
      <c r="Z18" s="18">
        <v>60.4</v>
      </c>
      <c r="AA18" s="35">
        <f>40+6</f>
        <v>46</v>
      </c>
      <c r="AB18" s="35">
        <f>22+5</f>
        <v>27</v>
      </c>
      <c r="AC18" s="35">
        <f>22+8</f>
        <v>30</v>
      </c>
      <c r="AD18" s="33">
        <f t="shared" si="7"/>
        <v>4075.6</v>
      </c>
      <c r="AE18" s="33">
        <f t="shared" si="7"/>
        <v>1674</v>
      </c>
      <c r="AF18" s="33">
        <f t="shared" si="7"/>
        <v>1812</v>
      </c>
      <c r="AG18" s="33">
        <f t="shared" si="3"/>
        <v>103</v>
      </c>
      <c r="AH18" s="33">
        <f t="shared" si="8"/>
        <v>7561.6</v>
      </c>
      <c r="AI18" s="34">
        <f t="shared" ref="AI18" si="10">AH18/AG18</f>
        <v>73.413592233009709</v>
      </c>
    </row>
    <row r="19" spans="1:35" ht="13.5" customHeight="1" x14ac:dyDescent="0.2">
      <c r="A19" s="17"/>
      <c r="K19" s="16"/>
    </row>
    <row r="20" spans="1:35" ht="13.5" customHeight="1" x14ac:dyDescent="0.2">
      <c r="A20" s="17"/>
      <c r="D20" s="41" t="s">
        <v>37</v>
      </c>
      <c r="E20" s="38">
        <f>P20/M20</f>
        <v>124.77468619246862</v>
      </c>
      <c r="F20" s="38">
        <f>Q20/N20</f>
        <v>87.225591098748268</v>
      </c>
      <c r="G20" s="38">
        <f>R20/O20</f>
        <v>75.088767550702016</v>
      </c>
      <c r="H20" s="36"/>
      <c r="I20" s="38">
        <f t="shared" ref="I20" si="11">U20</f>
        <v>99.366018998272892</v>
      </c>
      <c r="J20" s="43">
        <f t="shared" ref="J20:J21" si="12">(I20/AI20)-1</f>
        <v>3.0529473948159191E-2</v>
      </c>
      <c r="K20" s="16"/>
      <c r="M20" s="37">
        <f t="shared" ref="M20:R20" si="13">SUM(M11:M18)</f>
        <v>956</v>
      </c>
      <c r="N20" s="37">
        <f t="shared" si="13"/>
        <v>719</v>
      </c>
      <c r="O20" s="37">
        <f t="shared" si="13"/>
        <v>641</v>
      </c>
      <c r="P20" s="37">
        <f t="shared" si="13"/>
        <v>119284.6</v>
      </c>
      <c r="Q20" s="37">
        <f t="shared" si="13"/>
        <v>62715.200000000004</v>
      </c>
      <c r="R20" s="37">
        <f t="shared" si="13"/>
        <v>48131.899999999994</v>
      </c>
      <c r="S20" s="33">
        <f>M20+N20+O20</f>
        <v>2316</v>
      </c>
      <c r="T20" s="33">
        <f>P20+Q20+R20</f>
        <v>230131.7</v>
      </c>
      <c r="U20" s="34">
        <f>T20/S20</f>
        <v>99.366018998272892</v>
      </c>
      <c r="W20" s="1" t="s">
        <v>37</v>
      </c>
      <c r="X20" s="18">
        <f>AD20/AA20</f>
        <v>120.47830802603036</v>
      </c>
      <c r="Y20" s="18">
        <f t="shared" ref="Y20:Z20" si="14">AE20/AB20</f>
        <v>84.912146892655358</v>
      </c>
      <c r="Z20" s="18">
        <f t="shared" si="14"/>
        <v>72.999165275459092</v>
      </c>
      <c r="AA20" s="37">
        <f t="shared" ref="AA20:AF20" si="15">SUM(AA11:AA18)</f>
        <v>922</v>
      </c>
      <c r="AB20" s="37">
        <f t="shared" si="15"/>
        <v>708</v>
      </c>
      <c r="AC20" s="37">
        <f t="shared" si="15"/>
        <v>599</v>
      </c>
      <c r="AD20" s="37">
        <f t="shared" si="15"/>
        <v>111081</v>
      </c>
      <c r="AE20" s="37">
        <f t="shared" si="15"/>
        <v>60117.799999999996</v>
      </c>
      <c r="AF20" s="37">
        <f t="shared" si="15"/>
        <v>43726.5</v>
      </c>
      <c r="AG20" s="33">
        <f>AA20+AB20+AC20</f>
        <v>2229</v>
      </c>
      <c r="AH20" s="33">
        <f>AD20+AE20+AF20</f>
        <v>214925.3</v>
      </c>
      <c r="AI20" s="34">
        <f>AH20/AG20</f>
        <v>96.42229699416778</v>
      </c>
    </row>
    <row r="21" spans="1:35" ht="13.5" customHeight="1" x14ac:dyDescent="0.2">
      <c r="A21" s="17"/>
      <c r="D21" s="41" t="s">
        <v>38</v>
      </c>
      <c r="E21" s="38">
        <f>MEDIAN(E11:E18)</f>
        <v>110</v>
      </c>
      <c r="F21" s="38">
        <f>MEDIAN(F11:F18)</f>
        <v>80.7</v>
      </c>
      <c r="G21" s="38">
        <f>MEDIAN(G11:G18)</f>
        <v>71.2</v>
      </c>
      <c r="H21" s="36"/>
      <c r="I21" s="38">
        <f>MEDIAN(I11:I18)</f>
        <v>89.917229729729726</v>
      </c>
      <c r="J21" s="43">
        <f t="shared" si="12"/>
        <v>6.2508891424456925E-2</v>
      </c>
      <c r="K21" s="16"/>
      <c r="W21" s="1" t="s">
        <v>38</v>
      </c>
      <c r="X21" s="18">
        <f>MEDIAN(X11:X18)</f>
        <v>103</v>
      </c>
      <c r="Y21" s="18">
        <f>MEDIAN(Y11:Y18)</f>
        <v>76.8</v>
      </c>
      <c r="Z21" s="18">
        <f>MEDIAN(Z11:Z18)</f>
        <v>67.900000000000006</v>
      </c>
      <c r="AI21" s="18">
        <f>MEDIAN(AI11:AI18)</f>
        <v>84.627272727272725</v>
      </c>
    </row>
    <row r="22" spans="1:35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35" ht="13.5" customHeight="1" x14ac:dyDescent="0.2">
      <c r="A23" s="17"/>
      <c r="K23" s="16"/>
    </row>
    <row r="24" spans="1:35" ht="13.5" customHeight="1" x14ac:dyDescent="0.2">
      <c r="A24" s="17"/>
      <c r="B24" s="14" t="s">
        <v>17</v>
      </c>
      <c r="K24" s="16"/>
    </row>
    <row r="25" spans="1:35" ht="13.5" customHeight="1" x14ac:dyDescent="0.2">
      <c r="A25" s="17"/>
      <c r="K25" s="16"/>
    </row>
    <row r="26" spans="1:35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22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orientation="portrait" r:id="rId1"/>
  <ignoredErrors>
    <ignoredError sqref="AI1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F9D5-5B5C-4501-A7BB-77B8FDDD81CD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70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/>
      <c r="F11" s="18"/>
      <c r="G11" s="18"/>
      <c r="I11" s="18"/>
      <c r="J11" s="42"/>
      <c r="K11" s="16"/>
      <c r="M11" s="35"/>
      <c r="N11" s="35"/>
      <c r="O11" s="35"/>
      <c r="P11" s="33">
        <f>E11*M11</f>
        <v>0</v>
      </c>
      <c r="Q11" s="33">
        <f t="shared" ref="Q11:R16" si="0">F11*N11</f>
        <v>0</v>
      </c>
      <c r="R11" s="33">
        <f t="shared" si="0"/>
        <v>0</v>
      </c>
      <c r="S11" s="33">
        <f t="shared" ref="S11:S18" si="1">M11+N11+O11</f>
        <v>0</v>
      </c>
      <c r="T11" s="33">
        <f t="shared" ref="T11:T18" si="2">P11+Q11+R11</f>
        <v>0</v>
      </c>
      <c r="U11" s="34" t="e">
        <f>T11/S11</f>
        <v>#DIV/0!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169.7</v>
      </c>
      <c r="F12" s="18">
        <v>124</v>
      </c>
      <c r="G12" s="18">
        <v>107.1</v>
      </c>
      <c r="I12" s="18">
        <f t="shared" ref="I12:I16" si="3">U12</f>
        <v>141.52657657657656</v>
      </c>
      <c r="J12" s="42">
        <f>(I12/'Engr 23-24'!I12)-1</f>
        <v>2.1859245772759994E-2</v>
      </c>
      <c r="K12" s="16"/>
      <c r="M12" s="35">
        <f>83+21</f>
        <v>104</v>
      </c>
      <c r="N12" s="35">
        <f>47+20</f>
        <v>67</v>
      </c>
      <c r="O12" s="35">
        <f>29+22</f>
        <v>51</v>
      </c>
      <c r="P12" s="33">
        <f t="shared" ref="P12:R18" si="4">E12*M12</f>
        <v>17648.8</v>
      </c>
      <c r="Q12" s="33">
        <f t="shared" si="0"/>
        <v>8308</v>
      </c>
      <c r="R12" s="33">
        <f t="shared" si="0"/>
        <v>5462.0999999999995</v>
      </c>
      <c r="S12" s="33">
        <f>M12+N12+O12</f>
        <v>222</v>
      </c>
      <c r="T12" s="33">
        <f t="shared" si="2"/>
        <v>31418.899999999998</v>
      </c>
      <c r="U12" s="34">
        <f t="shared" ref="U12:U18" si="5">T12/S12</f>
        <v>141.52657657657656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185.9</v>
      </c>
      <c r="F13" s="18">
        <v>134.30000000000001</v>
      </c>
      <c r="G13" s="18">
        <v>125.9</v>
      </c>
      <c r="I13" s="18">
        <f t="shared" si="3"/>
        <v>158.5631379962193</v>
      </c>
      <c r="J13" s="42">
        <f>(I13/'Engr 23-24'!I13)-1</f>
        <v>3.1606930510749365E-2</v>
      </c>
      <c r="K13" s="16"/>
      <c r="M13" s="35">
        <f>430+109</f>
        <v>539</v>
      </c>
      <c r="N13" s="35">
        <f>179+85</f>
        <v>264</v>
      </c>
      <c r="O13" s="35">
        <f>146+109</f>
        <v>255</v>
      </c>
      <c r="P13" s="33">
        <f t="shared" si="4"/>
        <v>100200.1</v>
      </c>
      <c r="Q13" s="33">
        <f t="shared" si="0"/>
        <v>35455.200000000004</v>
      </c>
      <c r="R13" s="33">
        <f t="shared" si="0"/>
        <v>32104.5</v>
      </c>
      <c r="S13" s="33">
        <f>M13+N13+O13</f>
        <v>1058</v>
      </c>
      <c r="T13" s="33">
        <f t="shared" si="2"/>
        <v>167759.80000000002</v>
      </c>
      <c r="U13" s="34">
        <f t="shared" si="5"/>
        <v>158.5631379962193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137</v>
      </c>
      <c r="F14" s="18">
        <v>108.9</v>
      </c>
      <c r="G14" s="18">
        <v>100.2</v>
      </c>
      <c r="I14" s="18">
        <f t="shared" si="3"/>
        <v>116.41249999999999</v>
      </c>
      <c r="J14" s="42">
        <f>(I14/'Engr 23-24'!I14)-1</f>
        <v>3.3861883673572901E-2</v>
      </c>
      <c r="K14" s="16"/>
      <c r="M14" s="35">
        <f>81+26</f>
        <v>107</v>
      </c>
      <c r="N14" s="35">
        <f>67+32</f>
        <v>99</v>
      </c>
      <c r="O14" s="35">
        <f>56+34</f>
        <v>90</v>
      </c>
      <c r="P14" s="33">
        <f t="shared" si="4"/>
        <v>14659</v>
      </c>
      <c r="Q14" s="33">
        <f t="shared" si="0"/>
        <v>10781.1</v>
      </c>
      <c r="R14" s="33">
        <f t="shared" si="0"/>
        <v>9018</v>
      </c>
      <c r="S14" s="33">
        <f t="shared" si="1"/>
        <v>296</v>
      </c>
      <c r="T14" s="33">
        <f t="shared" si="2"/>
        <v>34458.1</v>
      </c>
      <c r="U14" s="34">
        <f t="shared" si="5"/>
        <v>116.41249999999999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145.80000000000001</v>
      </c>
      <c r="F15" s="23">
        <v>100.9</v>
      </c>
      <c r="G15" s="23">
        <v>86.3</v>
      </c>
      <c r="H15" s="22"/>
      <c r="I15" s="23">
        <f t="shared" si="3"/>
        <v>115.50432098765432</v>
      </c>
      <c r="J15" s="44">
        <f>(I15/'Engr 23-24'!I15)-1</f>
        <v>2.0247921931255464E-2</v>
      </c>
      <c r="K15" s="16"/>
      <c r="M15" s="35">
        <f>101+33</f>
        <v>134</v>
      </c>
      <c r="N15" s="35">
        <f>68+34</f>
        <v>102</v>
      </c>
      <c r="O15" s="35">
        <f>62+26</f>
        <v>88</v>
      </c>
      <c r="P15" s="33">
        <f t="shared" si="4"/>
        <v>19537.2</v>
      </c>
      <c r="Q15" s="33">
        <f t="shared" si="0"/>
        <v>10291.800000000001</v>
      </c>
      <c r="R15" s="33">
        <f t="shared" si="0"/>
        <v>7594.4</v>
      </c>
      <c r="S15" s="33">
        <f t="shared" si="1"/>
        <v>324</v>
      </c>
      <c r="T15" s="33">
        <f t="shared" si="2"/>
        <v>37423.4</v>
      </c>
      <c r="U15" s="34">
        <f t="shared" si="5"/>
        <v>115.50432098765432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210.1</v>
      </c>
      <c r="F16" s="18">
        <v>145.19999999999999</v>
      </c>
      <c r="G16" s="18">
        <v>122.5</v>
      </c>
      <c r="I16" s="18">
        <f t="shared" si="3"/>
        <v>164.09271708683474</v>
      </c>
      <c r="J16" s="42">
        <f>(I16/'Engr 23-24'!I16)-1</f>
        <v>2.5513111676391809E-2</v>
      </c>
      <c r="K16" s="16"/>
      <c r="M16" s="35">
        <f>125+16</f>
        <v>141</v>
      </c>
      <c r="N16" s="35">
        <f>84+26</f>
        <v>110</v>
      </c>
      <c r="O16" s="35">
        <f>61+45</f>
        <v>106</v>
      </c>
      <c r="P16" s="33">
        <f t="shared" si="4"/>
        <v>29624.1</v>
      </c>
      <c r="Q16" s="33">
        <f t="shared" si="0"/>
        <v>15971.999999999998</v>
      </c>
      <c r="R16" s="33">
        <f t="shared" si="0"/>
        <v>12985</v>
      </c>
      <c r="S16" s="33">
        <f t="shared" si="1"/>
        <v>357</v>
      </c>
      <c r="T16" s="33">
        <f t="shared" si="2"/>
        <v>58581.1</v>
      </c>
      <c r="U16" s="34">
        <f t="shared" si="5"/>
        <v>164.09271708683474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4"/>
        <v>0</v>
      </c>
      <c r="Q17" s="33">
        <f t="shared" si="4"/>
        <v>0</v>
      </c>
      <c r="R17" s="33">
        <f t="shared" si="4"/>
        <v>0</v>
      </c>
      <c r="S17" s="33">
        <f t="shared" si="1"/>
        <v>0</v>
      </c>
      <c r="T17" s="33">
        <f t="shared" si="2"/>
        <v>0</v>
      </c>
      <c r="U17" s="34" t="e">
        <f t="shared" si="5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>E18*M18</f>
        <v>0</v>
      </c>
      <c r="Q18" s="33">
        <f t="shared" si="4"/>
        <v>0</v>
      </c>
      <c r="R18" s="33">
        <f t="shared" si="4"/>
        <v>0</v>
      </c>
      <c r="S18" s="33">
        <f t="shared" si="1"/>
        <v>0</v>
      </c>
      <c r="T18" s="33">
        <f t="shared" si="2"/>
        <v>0</v>
      </c>
      <c r="U18" s="34" t="e">
        <f t="shared" si="5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177.23824390243905</v>
      </c>
      <c r="F20" s="38">
        <f>Q20/N20</f>
        <v>125.86931464174455</v>
      </c>
      <c r="G20" s="38">
        <f>R20/O20</f>
        <v>113.83728813559323</v>
      </c>
      <c r="H20" s="36"/>
      <c r="I20" s="38">
        <f>U20</f>
        <v>146.0528577758086</v>
      </c>
      <c r="J20" s="43"/>
      <c r="K20" s="16"/>
      <c r="M20" s="37">
        <f t="shared" ref="M20:R20" si="6">SUM(M11:M18)</f>
        <v>1025</v>
      </c>
      <c r="N20" s="37">
        <f t="shared" si="6"/>
        <v>642</v>
      </c>
      <c r="O20" s="37">
        <f t="shared" si="6"/>
        <v>590</v>
      </c>
      <c r="P20" s="37">
        <f t="shared" si="6"/>
        <v>181669.20000000004</v>
      </c>
      <c r="Q20" s="37">
        <f t="shared" si="6"/>
        <v>80808.100000000006</v>
      </c>
      <c r="R20" s="37">
        <f t="shared" si="6"/>
        <v>67164</v>
      </c>
      <c r="S20" s="33">
        <f>M20+N20+O20</f>
        <v>2257</v>
      </c>
      <c r="T20" s="33">
        <f>P20+Q20+R20</f>
        <v>329641.30000000005</v>
      </c>
      <c r="U20" s="34">
        <f>T20/S20</f>
        <v>146.0528577758086</v>
      </c>
    </row>
    <row r="21" spans="1:21" ht="13.5" customHeight="1" x14ac:dyDescent="0.2">
      <c r="A21" s="17"/>
      <c r="D21" s="41" t="s">
        <v>38</v>
      </c>
      <c r="E21" s="38">
        <f>MEDIAN(E11:E18)</f>
        <v>169.7</v>
      </c>
      <c r="F21" s="38">
        <f>MEDIAN(F11:F18)</f>
        <v>124</v>
      </c>
      <c r="G21" s="38">
        <f>MEDIAN(G11:G18)</f>
        <v>107.1</v>
      </c>
      <c r="H21" s="36"/>
      <c r="I21" s="38">
        <f>MEDIAN(I11:I18)</f>
        <v>141.52657657657656</v>
      </c>
      <c r="J21" s="43"/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69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2BE1-7041-4F92-9880-59F919EB2023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67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136.30000000000001</v>
      </c>
      <c r="F11" s="18">
        <v>94.1</v>
      </c>
      <c r="G11" s="18">
        <v>87.2</v>
      </c>
      <c r="I11" s="18">
        <f>U11</f>
        <v>102.4957142857143</v>
      </c>
      <c r="J11" s="42">
        <f>(I11/'Engr 22-23'!I11)-1</f>
        <v>-6.8281055826806547E-3</v>
      </c>
      <c r="K11" s="16"/>
      <c r="M11" s="35">
        <f>61+14</f>
        <v>75</v>
      </c>
      <c r="N11" s="35">
        <f>56+31</f>
        <v>87</v>
      </c>
      <c r="O11" s="35">
        <f>52+66</f>
        <v>118</v>
      </c>
      <c r="P11" s="33">
        <f>E11*M11</f>
        <v>10222.5</v>
      </c>
      <c r="Q11" s="33">
        <f t="shared" ref="Q11:R16" si="0">F11*N11</f>
        <v>8186.7</v>
      </c>
      <c r="R11" s="33">
        <f t="shared" si="0"/>
        <v>10289.6</v>
      </c>
      <c r="S11" s="33">
        <f t="shared" ref="S11:S18" si="1">M11+N11+O11</f>
        <v>280</v>
      </c>
      <c r="T11" s="33">
        <f t="shared" ref="T11:T18" si="2">P11+Q11+R11</f>
        <v>28698.800000000003</v>
      </c>
      <c r="U11" s="34">
        <f>T11/S11</f>
        <v>102.4957142857143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165</v>
      </c>
      <c r="F12" s="18">
        <v>121.1</v>
      </c>
      <c r="G12" s="18">
        <v>102.6</v>
      </c>
      <c r="I12" s="18">
        <f t="shared" ref="I12:I16" si="3">U12</f>
        <v>138.49909090909091</v>
      </c>
      <c r="J12" s="42">
        <f>(I12/'Engr 22-23'!I12)-1</f>
        <v>3.7010096451509655E-2</v>
      </c>
      <c r="K12" s="16"/>
      <c r="M12" s="35">
        <f>85+22</f>
        <v>107</v>
      </c>
      <c r="N12" s="35">
        <f>46+20</f>
        <v>66</v>
      </c>
      <c r="O12" s="35">
        <f>24+23</f>
        <v>47</v>
      </c>
      <c r="P12" s="33">
        <f t="shared" ref="P12:R18" si="4">E12*M12</f>
        <v>17655</v>
      </c>
      <c r="Q12" s="33">
        <f t="shared" si="0"/>
        <v>7992.5999999999995</v>
      </c>
      <c r="R12" s="33">
        <f t="shared" si="0"/>
        <v>4822.2</v>
      </c>
      <c r="S12" s="33">
        <f>M12+N12+O12</f>
        <v>220</v>
      </c>
      <c r="T12" s="33">
        <f t="shared" si="2"/>
        <v>30469.8</v>
      </c>
      <c r="U12" s="34">
        <f t="shared" ref="U12:U18" si="5">T12/S12</f>
        <v>138.49909090909091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179</v>
      </c>
      <c r="F13" s="18">
        <v>130.6</v>
      </c>
      <c r="G13" s="18">
        <v>124.4</v>
      </c>
      <c r="I13" s="18">
        <f t="shared" si="3"/>
        <v>153.70499490316004</v>
      </c>
      <c r="J13" s="42">
        <f>(I13/'Engr 22-23'!I13)-1</f>
        <v>1.0351674151742873E-2</v>
      </c>
      <c r="K13" s="16"/>
      <c r="M13" s="35">
        <f>404+93</f>
        <v>497</v>
      </c>
      <c r="N13" s="35">
        <f>181+79</f>
        <v>260</v>
      </c>
      <c r="O13" s="35">
        <f>134+90</f>
        <v>224</v>
      </c>
      <c r="P13" s="33">
        <f t="shared" si="4"/>
        <v>88963</v>
      </c>
      <c r="Q13" s="33">
        <f t="shared" si="0"/>
        <v>33956</v>
      </c>
      <c r="R13" s="33">
        <f t="shared" si="0"/>
        <v>27865.600000000002</v>
      </c>
      <c r="S13" s="33">
        <f>M13+N13+O13</f>
        <v>981</v>
      </c>
      <c r="T13" s="33">
        <f t="shared" si="2"/>
        <v>150784.6</v>
      </c>
      <c r="U13" s="34">
        <f t="shared" si="5"/>
        <v>153.70499490316004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133.9</v>
      </c>
      <c r="F14" s="18">
        <v>105</v>
      </c>
      <c r="G14" s="18">
        <v>95.4</v>
      </c>
      <c r="I14" s="18">
        <f t="shared" si="3"/>
        <v>112.59966329966332</v>
      </c>
      <c r="J14" s="42">
        <f>(I14/'Engr 22-23'!I14)-1</f>
        <v>2.8734465362372452E-2</v>
      </c>
      <c r="K14" s="16"/>
      <c r="M14" s="35">
        <f>82+25</f>
        <v>107</v>
      </c>
      <c r="N14" s="35">
        <f>71+32</f>
        <v>103</v>
      </c>
      <c r="O14" s="35">
        <f>53+34</f>
        <v>87</v>
      </c>
      <c r="P14" s="33">
        <f t="shared" si="4"/>
        <v>14327.300000000001</v>
      </c>
      <c r="Q14" s="33">
        <f t="shared" si="0"/>
        <v>10815</v>
      </c>
      <c r="R14" s="33">
        <f t="shared" si="0"/>
        <v>8299.8000000000011</v>
      </c>
      <c r="S14" s="33">
        <f t="shared" si="1"/>
        <v>297</v>
      </c>
      <c r="T14" s="33">
        <f t="shared" si="2"/>
        <v>33442.100000000006</v>
      </c>
      <c r="U14" s="34">
        <f t="shared" si="5"/>
        <v>112.59966329966332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141.19999999999999</v>
      </c>
      <c r="F15" s="23">
        <v>98.8</v>
      </c>
      <c r="G15" s="23">
        <v>84.1</v>
      </c>
      <c r="H15" s="22"/>
      <c r="I15" s="23">
        <f t="shared" si="3"/>
        <v>113.212012987013</v>
      </c>
      <c r="J15" s="44">
        <f>(I15/'Engr 22-23'!I15)-1</f>
        <v>5.5622030137151945E-2</v>
      </c>
      <c r="K15" s="16"/>
      <c r="M15" s="35">
        <f>100+30</f>
        <v>130</v>
      </c>
      <c r="N15" s="35">
        <f>71+34</f>
        <v>105</v>
      </c>
      <c r="O15" s="35">
        <f>54+19</f>
        <v>73</v>
      </c>
      <c r="P15" s="33">
        <f t="shared" si="4"/>
        <v>18356</v>
      </c>
      <c r="Q15" s="33">
        <f t="shared" si="0"/>
        <v>10374</v>
      </c>
      <c r="R15" s="33">
        <f t="shared" si="0"/>
        <v>6139.2999999999993</v>
      </c>
      <c r="S15" s="33">
        <f t="shared" si="1"/>
        <v>308</v>
      </c>
      <c r="T15" s="33">
        <f t="shared" si="2"/>
        <v>34869.300000000003</v>
      </c>
      <c r="U15" s="34">
        <f t="shared" si="5"/>
        <v>113.212012987013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209.4</v>
      </c>
      <c r="F16" s="18">
        <v>139.30000000000001</v>
      </c>
      <c r="G16" s="18">
        <v>115.1</v>
      </c>
      <c r="I16" s="18">
        <f t="shared" si="3"/>
        <v>160.01035502958581</v>
      </c>
      <c r="J16" s="42">
        <f>(I16/'Engr 22-23'!I16)-1</f>
        <v>3.2919010348402944E-2</v>
      </c>
      <c r="K16" s="16"/>
      <c r="M16" s="35">
        <f>119+14</f>
        <v>133</v>
      </c>
      <c r="N16" s="35">
        <f>86+23</f>
        <v>109</v>
      </c>
      <c r="O16" s="35">
        <f>56+40</f>
        <v>96</v>
      </c>
      <c r="P16" s="33">
        <f t="shared" si="4"/>
        <v>27850.2</v>
      </c>
      <c r="Q16" s="33">
        <f t="shared" si="0"/>
        <v>15183.7</v>
      </c>
      <c r="R16" s="33">
        <f t="shared" si="0"/>
        <v>11049.599999999999</v>
      </c>
      <c r="S16" s="33">
        <f t="shared" si="1"/>
        <v>338</v>
      </c>
      <c r="T16" s="33">
        <f t="shared" si="2"/>
        <v>54083.5</v>
      </c>
      <c r="U16" s="34">
        <f t="shared" si="5"/>
        <v>160.01035502958581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4"/>
        <v>0</v>
      </c>
      <c r="Q17" s="33">
        <f t="shared" si="4"/>
        <v>0</v>
      </c>
      <c r="R17" s="33">
        <f t="shared" si="4"/>
        <v>0</v>
      </c>
      <c r="S17" s="33">
        <f t="shared" si="1"/>
        <v>0</v>
      </c>
      <c r="T17" s="33">
        <f t="shared" si="2"/>
        <v>0</v>
      </c>
      <c r="U17" s="34" t="e">
        <f t="shared" si="5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>E18*M18</f>
        <v>0</v>
      </c>
      <c r="Q18" s="33">
        <f t="shared" si="4"/>
        <v>0</v>
      </c>
      <c r="R18" s="33">
        <f t="shared" si="4"/>
        <v>0</v>
      </c>
      <c r="S18" s="33">
        <f t="shared" si="1"/>
        <v>0</v>
      </c>
      <c r="T18" s="33">
        <f t="shared" si="2"/>
        <v>0</v>
      </c>
      <c r="U18" s="34" t="e">
        <f t="shared" si="5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169.0886558627264</v>
      </c>
      <c r="F20" s="38">
        <f>Q20/N20</f>
        <v>118.50410958904109</v>
      </c>
      <c r="G20" s="38">
        <f>R20/O20</f>
        <v>106.14899224806203</v>
      </c>
      <c r="H20" s="36"/>
      <c r="I20" s="38">
        <f>U20</f>
        <v>137.107301980198</v>
      </c>
      <c r="J20" s="43">
        <f>(I20/'Engr 22-23'!I20)-1</f>
        <v>2.3607601037586745E-2</v>
      </c>
      <c r="K20" s="16"/>
      <c r="M20" s="37">
        <f t="shared" ref="M20:R20" si="6">SUM(M11:M18)</f>
        <v>1049</v>
      </c>
      <c r="N20" s="37">
        <f t="shared" si="6"/>
        <v>730</v>
      </c>
      <c r="O20" s="37">
        <f t="shared" si="6"/>
        <v>645</v>
      </c>
      <c r="P20" s="37">
        <f t="shared" si="6"/>
        <v>177374</v>
      </c>
      <c r="Q20" s="37">
        <f t="shared" si="6"/>
        <v>86508</v>
      </c>
      <c r="R20" s="37">
        <f t="shared" si="6"/>
        <v>68466.100000000006</v>
      </c>
      <c r="S20" s="33">
        <f>M20+N20+O20</f>
        <v>2424</v>
      </c>
      <c r="T20" s="33">
        <f>P20+Q20+R20</f>
        <v>332348.09999999998</v>
      </c>
      <c r="U20" s="34">
        <f>T20/S20</f>
        <v>137.107301980198</v>
      </c>
    </row>
    <row r="21" spans="1:21" ht="13.5" customHeight="1" x14ac:dyDescent="0.2">
      <c r="A21" s="17"/>
      <c r="D21" s="41" t="s">
        <v>38</v>
      </c>
      <c r="E21" s="38">
        <f>MEDIAN(E11:E18)</f>
        <v>153.1</v>
      </c>
      <c r="F21" s="38">
        <f>MEDIAN(F11:F18)</f>
        <v>113.05</v>
      </c>
      <c r="G21" s="38">
        <f>MEDIAN(G11:G18)</f>
        <v>99</v>
      </c>
      <c r="H21" s="36"/>
      <c r="I21" s="38">
        <f>MEDIAN(I11:I18)</f>
        <v>125.85555194805195</v>
      </c>
      <c r="J21" s="43">
        <f>(I21/'Engr 22-23'!I21)-1</f>
        <v>3.5802512834899325E-2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17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68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B810-8AD0-4D5B-AA18-6446AA45D018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65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134.5</v>
      </c>
      <c r="F11" s="18">
        <v>97</v>
      </c>
      <c r="G11" s="18">
        <v>84.8</v>
      </c>
      <c r="I11" s="18">
        <f>U11</f>
        <v>103.20037735849056</v>
      </c>
      <c r="J11" s="42">
        <f>(I11/'Engr 21-22'!I11)-1</f>
        <v>5.3453711856318531E-2</v>
      </c>
      <c r="K11" s="16"/>
      <c r="M11" s="35">
        <f>62+15</f>
        <v>77</v>
      </c>
      <c r="N11" s="35">
        <f>59+27</f>
        <v>86</v>
      </c>
      <c r="O11" s="35">
        <f>43+59</f>
        <v>102</v>
      </c>
      <c r="P11" s="33">
        <f>E11*M11</f>
        <v>10356.5</v>
      </c>
      <c r="Q11" s="33">
        <f t="shared" ref="Q11:R16" si="0">F11*N11</f>
        <v>8342</v>
      </c>
      <c r="R11" s="33">
        <f t="shared" si="0"/>
        <v>8649.6</v>
      </c>
      <c r="S11" s="33">
        <f t="shared" ref="S11:S18" si="1">M11+N11+O11</f>
        <v>265</v>
      </c>
      <c r="T11" s="33">
        <f t="shared" ref="T11:T18" si="2">P11+Q11+R11</f>
        <v>27348.1</v>
      </c>
      <c r="U11" s="34">
        <f>T11/S11</f>
        <v>103.20037735849056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159.5</v>
      </c>
      <c r="F12" s="18">
        <v>116.6</v>
      </c>
      <c r="G12" s="18">
        <v>99.2</v>
      </c>
      <c r="I12" s="18">
        <f t="shared" ref="I12:I16" si="3">U12</f>
        <v>133.55616438356162</v>
      </c>
      <c r="J12" s="42">
        <f>(I12/'Engr 21-22'!I12)-1</f>
        <v>-0.11577421489306428</v>
      </c>
      <c r="K12" s="16"/>
      <c r="M12" s="35">
        <f>81+23</f>
        <v>104</v>
      </c>
      <c r="N12" s="35">
        <f>52+20</f>
        <v>72</v>
      </c>
      <c r="O12" s="35">
        <f>22+21</f>
        <v>43</v>
      </c>
      <c r="P12" s="33">
        <f t="shared" ref="P12:R18" si="4">E12*M12</f>
        <v>16588</v>
      </c>
      <c r="Q12" s="33">
        <f t="shared" si="0"/>
        <v>8395.1999999999989</v>
      </c>
      <c r="R12" s="33">
        <f t="shared" si="0"/>
        <v>4265.6000000000004</v>
      </c>
      <c r="S12" s="33">
        <f>M12+N12+O12</f>
        <v>219</v>
      </c>
      <c r="T12" s="33">
        <f t="shared" si="2"/>
        <v>29248.799999999996</v>
      </c>
      <c r="U12" s="34">
        <f t="shared" ref="U12:U18" si="5">T12/S12</f>
        <v>133.55616438356162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177.9</v>
      </c>
      <c r="F13" s="18">
        <v>130.30000000000001</v>
      </c>
      <c r="G13" s="18">
        <v>119.7</v>
      </c>
      <c r="I13" s="18">
        <f t="shared" si="3"/>
        <v>152.13019271948608</v>
      </c>
      <c r="J13" s="42">
        <f>(I13/'Engr 21-22'!I13)-1</f>
        <v>9.1982627040011034E-2</v>
      </c>
      <c r="K13" s="16"/>
      <c r="M13" s="35">
        <f>390+84</f>
        <v>474</v>
      </c>
      <c r="N13" s="35">
        <f>183+72</f>
        <v>255</v>
      </c>
      <c r="O13" s="35">
        <f>122+83</f>
        <v>205</v>
      </c>
      <c r="P13" s="33">
        <f t="shared" si="4"/>
        <v>84324.6</v>
      </c>
      <c r="Q13" s="33">
        <f t="shared" si="0"/>
        <v>33226.5</v>
      </c>
      <c r="R13" s="33">
        <f t="shared" si="0"/>
        <v>24538.5</v>
      </c>
      <c r="S13" s="33">
        <f>M13+N13+O13</f>
        <v>934</v>
      </c>
      <c r="T13" s="33">
        <f t="shared" si="2"/>
        <v>142089.60000000001</v>
      </c>
      <c r="U13" s="34">
        <f t="shared" si="5"/>
        <v>152.13019271948608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130.30000000000001</v>
      </c>
      <c r="F14" s="18">
        <v>102</v>
      </c>
      <c r="G14" s="18">
        <v>92.5</v>
      </c>
      <c r="I14" s="18">
        <f t="shared" si="3"/>
        <v>109.45454545454545</v>
      </c>
      <c r="J14" s="42">
        <f>(I14/'Engr 21-22'!I14)-1</f>
        <v>3.9627307568878223E-2</v>
      </c>
      <c r="K14" s="16"/>
      <c r="M14" s="35">
        <f>84+26</f>
        <v>110</v>
      </c>
      <c r="N14" s="35">
        <f>79+33</f>
        <v>112</v>
      </c>
      <c r="O14" s="35">
        <f>51+35</f>
        <v>86</v>
      </c>
      <c r="P14" s="33">
        <f t="shared" si="4"/>
        <v>14333.000000000002</v>
      </c>
      <c r="Q14" s="33">
        <f t="shared" si="0"/>
        <v>11424</v>
      </c>
      <c r="R14" s="33">
        <f t="shared" si="0"/>
        <v>7955</v>
      </c>
      <c r="S14" s="33">
        <f t="shared" si="1"/>
        <v>308</v>
      </c>
      <c r="T14" s="33">
        <f t="shared" si="2"/>
        <v>33712</v>
      </c>
      <c r="U14" s="34">
        <f t="shared" si="5"/>
        <v>109.45454545454545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136.19999999999999</v>
      </c>
      <c r="F15" s="23">
        <v>92.8</v>
      </c>
      <c r="G15" s="23">
        <v>81.099999999999994</v>
      </c>
      <c r="H15" s="22"/>
      <c r="I15" s="23">
        <f t="shared" si="3"/>
        <v>107.24673202614376</v>
      </c>
      <c r="J15" s="44">
        <f>(I15/'Engr 21-22'!I15)-1</f>
        <v>5.3977542796381117E-2</v>
      </c>
      <c r="K15" s="16"/>
      <c r="M15" s="35">
        <f>96+25</f>
        <v>121</v>
      </c>
      <c r="N15" s="35">
        <f>76+38</f>
        <v>114</v>
      </c>
      <c r="O15" s="35">
        <f>47+24</f>
        <v>71</v>
      </c>
      <c r="P15" s="33">
        <f t="shared" si="4"/>
        <v>16480.199999999997</v>
      </c>
      <c r="Q15" s="33">
        <f t="shared" si="0"/>
        <v>10579.199999999999</v>
      </c>
      <c r="R15" s="33">
        <f t="shared" si="0"/>
        <v>5758.0999999999995</v>
      </c>
      <c r="S15" s="33">
        <f t="shared" si="1"/>
        <v>306</v>
      </c>
      <c r="T15" s="33">
        <f t="shared" si="2"/>
        <v>32817.499999999993</v>
      </c>
      <c r="U15" s="34">
        <f t="shared" si="5"/>
        <v>107.24673202614376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201.2</v>
      </c>
      <c r="F16" s="18">
        <v>135.19999999999999</v>
      </c>
      <c r="G16" s="18">
        <v>109.2</v>
      </c>
      <c r="I16" s="18">
        <f t="shared" si="3"/>
        <v>154.91084337349395</v>
      </c>
      <c r="J16" s="42">
        <f>(I16/'Engr 21-22'!I16)-1</f>
        <v>2.3930406935558368E-2</v>
      </c>
      <c r="K16" s="16"/>
      <c r="M16" s="35">
        <f>120+15</f>
        <v>135</v>
      </c>
      <c r="N16" s="35">
        <f>82+24</f>
        <v>106</v>
      </c>
      <c r="O16" s="35">
        <f>55+36</f>
        <v>91</v>
      </c>
      <c r="P16" s="33">
        <f t="shared" si="4"/>
        <v>27162</v>
      </c>
      <c r="Q16" s="33">
        <f t="shared" si="0"/>
        <v>14331.199999999999</v>
      </c>
      <c r="R16" s="33">
        <f t="shared" si="0"/>
        <v>9937.2000000000007</v>
      </c>
      <c r="S16" s="33">
        <f t="shared" si="1"/>
        <v>332</v>
      </c>
      <c r="T16" s="33">
        <f t="shared" si="2"/>
        <v>51430.399999999994</v>
      </c>
      <c r="U16" s="34">
        <f t="shared" si="5"/>
        <v>154.91084337349395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4"/>
        <v>0</v>
      </c>
      <c r="Q17" s="33">
        <f t="shared" si="4"/>
        <v>0</v>
      </c>
      <c r="R17" s="33">
        <f t="shared" si="4"/>
        <v>0</v>
      </c>
      <c r="S17" s="33">
        <f t="shared" si="1"/>
        <v>0</v>
      </c>
      <c r="T17" s="33">
        <f t="shared" si="2"/>
        <v>0</v>
      </c>
      <c r="U17" s="34" t="e">
        <f t="shared" si="5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>E18*M18</f>
        <v>0</v>
      </c>
      <c r="Q18" s="33">
        <f t="shared" si="4"/>
        <v>0</v>
      </c>
      <c r="R18" s="33">
        <f t="shared" si="4"/>
        <v>0</v>
      </c>
      <c r="S18" s="33">
        <f t="shared" si="1"/>
        <v>0</v>
      </c>
      <c r="T18" s="33">
        <f t="shared" si="2"/>
        <v>0</v>
      </c>
      <c r="U18" s="34" t="e">
        <f t="shared" si="5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165.76327130264445</v>
      </c>
      <c r="F20" s="38">
        <f>Q20/N20</f>
        <v>115.83637583892616</v>
      </c>
      <c r="G20" s="38">
        <f>R20/O20</f>
        <v>102.18060200668896</v>
      </c>
      <c r="H20" s="36"/>
      <c r="I20" s="38">
        <f>U20</f>
        <v>133.94517766497461</v>
      </c>
      <c r="J20" s="42">
        <f>(I20/'Engr 21-22'!I20)-1</f>
        <v>5.1327834246025938E-2</v>
      </c>
      <c r="K20" s="16"/>
      <c r="M20" s="37">
        <f t="shared" ref="M20:R20" si="6">SUM(M11:M18)</f>
        <v>1021</v>
      </c>
      <c r="N20" s="37">
        <f t="shared" si="6"/>
        <v>745</v>
      </c>
      <c r="O20" s="37">
        <f t="shared" si="6"/>
        <v>598</v>
      </c>
      <c r="P20" s="37">
        <f t="shared" si="6"/>
        <v>169244.3</v>
      </c>
      <c r="Q20" s="37">
        <f t="shared" si="6"/>
        <v>86298.099999999991</v>
      </c>
      <c r="R20" s="37">
        <f t="shared" si="6"/>
        <v>61104</v>
      </c>
      <c r="S20" s="33">
        <f>M20+N20+O20</f>
        <v>2364</v>
      </c>
      <c r="T20" s="33">
        <f>P20+Q20+R20</f>
        <v>316646.39999999997</v>
      </c>
      <c r="U20" s="34">
        <f>T20/S20</f>
        <v>133.94517766497461</v>
      </c>
    </row>
    <row r="21" spans="1:21" ht="13.5" customHeight="1" x14ac:dyDescent="0.2">
      <c r="A21" s="17"/>
      <c r="D21" s="41" t="s">
        <v>38</v>
      </c>
      <c r="E21" s="38">
        <f>MEDIAN(E11:E18)</f>
        <v>147.85</v>
      </c>
      <c r="F21" s="38">
        <f>MEDIAN(F11:F18)</f>
        <v>109.3</v>
      </c>
      <c r="G21" s="38">
        <f>MEDIAN(G11:G18)</f>
        <v>95.85</v>
      </c>
      <c r="H21" s="36"/>
      <c r="I21" s="38">
        <f>MEDIAN(I11:I18)</f>
        <v>121.50535491905353</v>
      </c>
      <c r="J21" s="43">
        <f>(I21/'Engr 21-22'!I21)-1</f>
        <v>-6.489642329531975E-3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66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0EABD-547D-4E34-A4D7-69C3A6E60484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63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127.1</v>
      </c>
      <c r="F11" s="18">
        <v>93.5</v>
      </c>
      <c r="G11" s="18">
        <v>79.3</v>
      </c>
      <c r="I11" s="18">
        <f>U11</f>
        <v>97.963846153846148</v>
      </c>
      <c r="J11" s="42">
        <f>(I11/'Engr 20-21'!I11)-1</f>
        <v>2.5809819794728739E-3</v>
      </c>
      <c r="K11" s="16"/>
      <c r="M11" s="35">
        <f>59+14</f>
        <v>73</v>
      </c>
      <c r="N11" s="35">
        <f>64+32</f>
        <v>96</v>
      </c>
      <c r="O11" s="35">
        <f>37+54</f>
        <v>91</v>
      </c>
      <c r="P11" s="33">
        <f>E11*M11</f>
        <v>9278.2999999999993</v>
      </c>
      <c r="Q11" s="33">
        <f t="shared" ref="Q11:R16" si="0">F11*N11</f>
        <v>8976</v>
      </c>
      <c r="R11" s="33">
        <f t="shared" si="0"/>
        <v>7216.3</v>
      </c>
      <c r="S11" s="33">
        <f t="shared" ref="S11:S18" si="1">M11+N11+O11</f>
        <v>260</v>
      </c>
      <c r="T11" s="33">
        <f t="shared" ref="T11:T18" si="2">P11+Q11+R11</f>
        <v>25470.6</v>
      </c>
      <c r="U11" s="34">
        <f>T11/S11</f>
        <v>97.963846153846148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199.5</v>
      </c>
      <c r="F12" s="18">
        <v>113.8</v>
      </c>
      <c r="G12" s="18">
        <v>95.6</v>
      </c>
      <c r="I12" s="18">
        <f t="shared" ref="I12:I16" si="3">U12</f>
        <v>151.04305555555555</v>
      </c>
      <c r="J12" s="42">
        <f>(I12/'Engr 20-21'!I12)-1</f>
        <v>0.22858524612489473</v>
      </c>
      <c r="K12" s="16"/>
      <c r="M12" s="35">
        <f>82+21</f>
        <v>103</v>
      </c>
      <c r="N12" s="35">
        <f>49+21</f>
        <v>70</v>
      </c>
      <c r="O12" s="35">
        <f>28+15</f>
        <v>43</v>
      </c>
      <c r="P12" s="33">
        <f t="shared" ref="P12:R18" si="4">E12*M12</f>
        <v>20548.5</v>
      </c>
      <c r="Q12" s="33">
        <f t="shared" si="0"/>
        <v>7966</v>
      </c>
      <c r="R12" s="33">
        <f t="shared" si="0"/>
        <v>4110.8</v>
      </c>
      <c r="S12" s="33">
        <f>M12+N12+O12</f>
        <v>216</v>
      </c>
      <c r="T12" s="33">
        <f t="shared" si="2"/>
        <v>32625.3</v>
      </c>
      <c r="U12" s="34">
        <f t="shared" ref="U12:U18" si="5">T12/S12</f>
        <v>151.04305555555555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167.2</v>
      </c>
      <c r="F13" s="18">
        <v>117</v>
      </c>
      <c r="G13" s="18">
        <v>108.7</v>
      </c>
      <c r="I13" s="18">
        <f t="shared" si="3"/>
        <v>139.3155797101449</v>
      </c>
      <c r="J13" s="42">
        <f>(I13/'Engr 20-21'!I13)-1</f>
        <v>2.5675074132236464E-3</v>
      </c>
      <c r="K13" s="16"/>
      <c r="M13" s="35">
        <f>331+67</f>
        <v>398</v>
      </c>
      <c r="N13" s="35">
        <f>179+70</f>
        <v>249</v>
      </c>
      <c r="O13" s="35">
        <f>103+78</f>
        <v>181</v>
      </c>
      <c r="P13" s="33">
        <f t="shared" si="4"/>
        <v>66545.599999999991</v>
      </c>
      <c r="Q13" s="33">
        <f t="shared" si="0"/>
        <v>29133</v>
      </c>
      <c r="R13" s="33">
        <f t="shared" si="0"/>
        <v>19674.7</v>
      </c>
      <c r="S13" s="33">
        <f>M13+N13+O13</f>
        <v>828</v>
      </c>
      <c r="T13" s="33">
        <f t="shared" si="2"/>
        <v>115353.29999999999</v>
      </c>
      <c r="U13" s="34">
        <f t="shared" si="5"/>
        <v>139.3155797101449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125.8</v>
      </c>
      <c r="F14" s="18">
        <v>97.3</v>
      </c>
      <c r="G14" s="18">
        <v>88.9</v>
      </c>
      <c r="I14" s="18">
        <f t="shared" si="3"/>
        <v>105.28248407643311</v>
      </c>
      <c r="J14" s="42">
        <f>(I14/'Engr 20-21'!I14)-1</f>
        <v>1.9188388427529235E-2</v>
      </c>
      <c r="K14" s="16"/>
      <c r="M14" s="35">
        <f>91+22</f>
        <v>113</v>
      </c>
      <c r="N14" s="35">
        <f>84+32</f>
        <v>116</v>
      </c>
      <c r="O14" s="35">
        <f>47+38</f>
        <v>85</v>
      </c>
      <c r="P14" s="33">
        <f t="shared" si="4"/>
        <v>14215.4</v>
      </c>
      <c r="Q14" s="33">
        <f t="shared" si="0"/>
        <v>11286.8</v>
      </c>
      <c r="R14" s="33">
        <f t="shared" si="0"/>
        <v>7556.5000000000009</v>
      </c>
      <c r="S14" s="33">
        <f t="shared" si="1"/>
        <v>314</v>
      </c>
      <c r="T14" s="33">
        <f t="shared" si="2"/>
        <v>33058.699999999997</v>
      </c>
      <c r="U14" s="34">
        <f t="shared" si="5"/>
        <v>105.28248407643311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128.80000000000001</v>
      </c>
      <c r="F15" s="23">
        <v>87.8</v>
      </c>
      <c r="G15" s="23">
        <v>79.5</v>
      </c>
      <c r="H15" s="22"/>
      <c r="I15" s="23">
        <f t="shared" si="3"/>
        <v>101.75428571428571</v>
      </c>
      <c r="J15" s="44">
        <f>(I15/'Engr 20-21'!I15)-1</f>
        <v>1.9302914728349219E-2</v>
      </c>
      <c r="K15" s="16"/>
      <c r="M15" s="35">
        <f>98+25</f>
        <v>123</v>
      </c>
      <c r="N15" s="35">
        <f>72+42</f>
        <v>114</v>
      </c>
      <c r="O15" s="35">
        <f>55+23</f>
        <v>78</v>
      </c>
      <c r="P15" s="33">
        <f t="shared" si="4"/>
        <v>15842.400000000001</v>
      </c>
      <c r="Q15" s="33">
        <f t="shared" si="0"/>
        <v>10009.199999999999</v>
      </c>
      <c r="R15" s="33">
        <f t="shared" si="0"/>
        <v>6201</v>
      </c>
      <c r="S15" s="33">
        <f t="shared" si="1"/>
        <v>315</v>
      </c>
      <c r="T15" s="33">
        <f t="shared" si="2"/>
        <v>32052.6</v>
      </c>
      <c r="U15" s="34">
        <f t="shared" si="5"/>
        <v>101.75428571428571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193.7</v>
      </c>
      <c r="F16" s="18">
        <v>133.1</v>
      </c>
      <c r="G16" s="18">
        <v>106.6</v>
      </c>
      <c r="I16" s="18">
        <f t="shared" si="3"/>
        <v>151.29040247678017</v>
      </c>
      <c r="J16" s="42">
        <f>(I16/'Engr 20-21'!I16)-1</f>
        <v>3.3440358025343286E-2</v>
      </c>
      <c r="K16" s="16"/>
      <c r="M16" s="35">
        <f>118+17</f>
        <v>135</v>
      </c>
      <c r="N16" s="35">
        <f>76+25</f>
        <v>101</v>
      </c>
      <c r="O16" s="35">
        <f>58+29</f>
        <v>87</v>
      </c>
      <c r="P16" s="33">
        <f t="shared" si="4"/>
        <v>26149.5</v>
      </c>
      <c r="Q16" s="33">
        <f t="shared" si="0"/>
        <v>13443.099999999999</v>
      </c>
      <c r="R16" s="33">
        <f t="shared" si="0"/>
        <v>9274.1999999999989</v>
      </c>
      <c r="S16" s="33">
        <f t="shared" si="1"/>
        <v>323</v>
      </c>
      <c r="T16" s="33">
        <f t="shared" si="2"/>
        <v>48866.799999999996</v>
      </c>
      <c r="U16" s="34">
        <f t="shared" si="5"/>
        <v>151.29040247678017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4"/>
        <v>0</v>
      </c>
      <c r="Q17" s="33">
        <f t="shared" si="4"/>
        <v>0</v>
      </c>
      <c r="R17" s="33">
        <f t="shared" si="4"/>
        <v>0</v>
      </c>
      <c r="S17" s="33">
        <f t="shared" si="1"/>
        <v>0</v>
      </c>
      <c r="T17" s="33">
        <f t="shared" si="2"/>
        <v>0</v>
      </c>
      <c r="U17" s="34" t="e">
        <f t="shared" si="5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>E18*M18</f>
        <v>0</v>
      </c>
      <c r="Q18" s="33">
        <f t="shared" si="4"/>
        <v>0</v>
      </c>
      <c r="R18" s="33">
        <f t="shared" si="4"/>
        <v>0</v>
      </c>
      <c r="S18" s="33">
        <f t="shared" si="1"/>
        <v>0</v>
      </c>
      <c r="T18" s="33">
        <f t="shared" si="2"/>
        <v>0</v>
      </c>
      <c r="U18" s="34" t="e">
        <f t="shared" si="5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161.45999999999998</v>
      </c>
      <c r="F20" s="38">
        <f>Q20/N20</f>
        <v>108.32989276139411</v>
      </c>
      <c r="G20" s="38">
        <f>R20/O20</f>
        <v>95.634513274336285</v>
      </c>
      <c r="H20" s="36"/>
      <c r="I20" s="38">
        <f>U20</f>
        <v>127.40571808510637</v>
      </c>
      <c r="J20" s="42">
        <f>(I20/'Engr 20-21'!I20)-1</f>
        <v>3.6791274153169073E-2</v>
      </c>
      <c r="K20" s="16"/>
      <c r="M20" s="37">
        <f t="shared" ref="M20:R20" si="6">SUM(M11:M18)</f>
        <v>945</v>
      </c>
      <c r="N20" s="37">
        <f t="shared" si="6"/>
        <v>746</v>
      </c>
      <c r="O20" s="37">
        <f t="shared" si="6"/>
        <v>565</v>
      </c>
      <c r="P20" s="37">
        <f t="shared" si="6"/>
        <v>152579.69999999998</v>
      </c>
      <c r="Q20" s="37">
        <f t="shared" si="6"/>
        <v>80814.100000000006</v>
      </c>
      <c r="R20" s="37">
        <f t="shared" si="6"/>
        <v>54033.5</v>
      </c>
      <c r="S20" s="33">
        <f>M20+N20+O20</f>
        <v>2256</v>
      </c>
      <c r="T20" s="33">
        <f>P20+Q20+R20</f>
        <v>287427.3</v>
      </c>
      <c r="U20" s="34">
        <f>T20/S20</f>
        <v>127.40571808510637</v>
      </c>
    </row>
    <row r="21" spans="1:21" ht="13.5" customHeight="1" x14ac:dyDescent="0.2">
      <c r="A21" s="17"/>
      <c r="D21" s="41" t="s">
        <v>38</v>
      </c>
      <c r="E21" s="38">
        <f>MEDIAN(E11:E18)</f>
        <v>148</v>
      </c>
      <c r="F21" s="38">
        <f>MEDIAN(F11:F18)</f>
        <v>105.55</v>
      </c>
      <c r="G21" s="38">
        <f>MEDIAN(G11:G18)</f>
        <v>92.25</v>
      </c>
      <c r="H21" s="36"/>
      <c r="I21" s="38">
        <f>MEDIAN(I11:I18)</f>
        <v>122.299031893289</v>
      </c>
      <c r="J21" s="43">
        <f>(I21/'Engr 20-21'!I21)-1</f>
        <v>8.1139627953325189E-2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64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8229-5A1E-41D2-B9B1-F3CD5879AF06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61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124.8</v>
      </c>
      <c r="F11" s="18">
        <v>94.9</v>
      </c>
      <c r="G11" s="18">
        <v>79</v>
      </c>
      <c r="I11" s="18">
        <f>U11</f>
        <v>97.711654135338364</v>
      </c>
      <c r="J11" s="42">
        <f>(I11/'Engr 19-20'!I11)-1</f>
        <v>-1.2100833115902265E-3</v>
      </c>
      <c r="K11" s="16"/>
      <c r="M11" s="35">
        <f>60+15</f>
        <v>75</v>
      </c>
      <c r="N11" s="35">
        <f>67+30</f>
        <v>97</v>
      </c>
      <c r="O11" s="35">
        <f>37+57</f>
        <v>94</v>
      </c>
      <c r="P11" s="33">
        <f>E11*M11</f>
        <v>9360</v>
      </c>
      <c r="Q11" s="33">
        <f t="shared" ref="Q11:Q16" si="0">F11*N11</f>
        <v>9205.3000000000011</v>
      </c>
      <c r="R11" s="33">
        <f t="shared" ref="R11:R16" si="1">G11*O11</f>
        <v>7426</v>
      </c>
      <c r="S11" s="33">
        <f t="shared" ref="S11:S18" si="2">M11+N11+O11</f>
        <v>266</v>
      </c>
      <c r="T11" s="33">
        <f t="shared" ref="T11:T18" si="3">P11+Q11+R11</f>
        <v>25991.300000000003</v>
      </c>
      <c r="U11" s="34">
        <f>T11/S11</f>
        <v>97.711654135338364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145.5</v>
      </c>
      <c r="F12" s="18">
        <v>110.5</v>
      </c>
      <c r="G12" s="18">
        <v>94</v>
      </c>
      <c r="I12" s="18">
        <f t="shared" ref="I12:I16" si="4">U12</f>
        <v>122.94063926940639</v>
      </c>
      <c r="J12" s="42">
        <f>(I12/'Engr 19-20'!I12)-1</f>
        <v>-4.5544250851433654E-3</v>
      </c>
      <c r="K12" s="16"/>
      <c r="M12" s="35">
        <f>82+18</f>
        <v>100</v>
      </c>
      <c r="N12" s="35">
        <f>50+22</f>
        <v>72</v>
      </c>
      <c r="O12" s="35">
        <f>33+14</f>
        <v>47</v>
      </c>
      <c r="P12" s="33">
        <f t="shared" ref="P12:P16" si="5">E12*M12</f>
        <v>14550</v>
      </c>
      <c r="Q12" s="33">
        <f t="shared" si="0"/>
        <v>7956</v>
      </c>
      <c r="R12" s="33">
        <f t="shared" si="1"/>
        <v>4418</v>
      </c>
      <c r="S12" s="33">
        <f>M12+N12+O12</f>
        <v>219</v>
      </c>
      <c r="T12" s="33">
        <f t="shared" si="3"/>
        <v>26924</v>
      </c>
      <c r="U12" s="34">
        <f t="shared" ref="U12:U18" si="6">T12/S12</f>
        <v>122.94063926940639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165.9</v>
      </c>
      <c r="F13" s="18">
        <v>117.8</v>
      </c>
      <c r="G13" s="18">
        <v>108.3</v>
      </c>
      <c r="I13" s="18">
        <f t="shared" si="4"/>
        <v>138.95880195599022</v>
      </c>
      <c r="J13" s="42">
        <f>(I13/'Engr 19-20'!I13)-1</f>
        <v>5.8706149797675966E-3</v>
      </c>
      <c r="K13" s="16"/>
      <c r="M13" s="35">
        <f>333+61</f>
        <v>394</v>
      </c>
      <c r="N13" s="35">
        <f>177+74</f>
        <v>251</v>
      </c>
      <c r="O13" s="35">
        <f>105+68</f>
        <v>173</v>
      </c>
      <c r="P13" s="33">
        <f t="shared" si="5"/>
        <v>65364.600000000006</v>
      </c>
      <c r="Q13" s="33">
        <f t="shared" si="0"/>
        <v>29567.8</v>
      </c>
      <c r="R13" s="33">
        <f t="shared" si="1"/>
        <v>18735.899999999998</v>
      </c>
      <c r="S13" s="33">
        <f>M13+N13+O13</f>
        <v>818</v>
      </c>
      <c r="T13" s="33">
        <f t="shared" si="3"/>
        <v>113668.3</v>
      </c>
      <c r="U13" s="34">
        <f t="shared" si="6"/>
        <v>138.95880195599022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122.2</v>
      </c>
      <c r="F14" s="18">
        <v>96.5</v>
      </c>
      <c r="G14" s="18">
        <v>86.7</v>
      </c>
      <c r="I14" s="18">
        <f t="shared" si="4"/>
        <v>103.30031746031746</v>
      </c>
      <c r="J14" s="42">
        <f>(I14/'Engr 19-20'!I14)-1</f>
        <v>-4.0093236370701835E-3</v>
      </c>
      <c r="K14" s="16"/>
      <c r="M14" s="35">
        <f>91+24</f>
        <v>115</v>
      </c>
      <c r="N14" s="35">
        <f>84+33</f>
        <v>117</v>
      </c>
      <c r="O14" s="35">
        <f>52+31</f>
        <v>83</v>
      </c>
      <c r="P14" s="33">
        <f t="shared" si="5"/>
        <v>14053</v>
      </c>
      <c r="Q14" s="33">
        <f t="shared" si="0"/>
        <v>11290.5</v>
      </c>
      <c r="R14" s="33">
        <f t="shared" si="1"/>
        <v>7196.1</v>
      </c>
      <c r="S14" s="33">
        <f t="shared" si="2"/>
        <v>315</v>
      </c>
      <c r="T14" s="33">
        <f t="shared" si="3"/>
        <v>32539.599999999999</v>
      </c>
      <c r="U14" s="34">
        <f t="shared" si="6"/>
        <v>103.30031746031746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129.19999999999999</v>
      </c>
      <c r="F15" s="23">
        <v>86.1</v>
      </c>
      <c r="G15" s="23">
        <v>76.599999999999994</v>
      </c>
      <c r="H15" s="22"/>
      <c r="I15" s="23">
        <f t="shared" si="4"/>
        <v>99.827327327327311</v>
      </c>
      <c r="J15" s="44">
        <f>(I15/'Engr 19-20'!I15)-1</f>
        <v>8.1632962525932662E-3</v>
      </c>
      <c r="K15" s="16"/>
      <c r="M15" s="35">
        <f>100+27</f>
        <v>127</v>
      </c>
      <c r="N15" s="35">
        <f>73+38</f>
        <v>111</v>
      </c>
      <c r="O15" s="35">
        <f>62+33</f>
        <v>95</v>
      </c>
      <c r="P15" s="33">
        <f t="shared" si="5"/>
        <v>16408.399999999998</v>
      </c>
      <c r="Q15" s="33">
        <f t="shared" si="0"/>
        <v>9557.0999999999985</v>
      </c>
      <c r="R15" s="33">
        <f t="shared" si="1"/>
        <v>7276.9999999999991</v>
      </c>
      <c r="S15" s="33">
        <f t="shared" si="2"/>
        <v>333</v>
      </c>
      <c r="T15" s="33">
        <f t="shared" si="3"/>
        <v>33242.499999999993</v>
      </c>
      <c r="U15" s="34">
        <f t="shared" si="6"/>
        <v>99.827327327327311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185.4</v>
      </c>
      <c r="F16" s="18">
        <v>128.19999999999999</v>
      </c>
      <c r="G16" s="18">
        <v>103.4</v>
      </c>
      <c r="I16" s="18">
        <f t="shared" si="4"/>
        <v>146.39490445859872</v>
      </c>
      <c r="J16" s="42">
        <f>(I16/'Engr 19-20'!I16)-1</f>
        <v>-1.3621857427241424E-2</v>
      </c>
      <c r="K16" s="16"/>
      <c r="M16" s="35">
        <f>118+17</f>
        <v>135</v>
      </c>
      <c r="N16" s="35">
        <f>75+23</f>
        <v>98</v>
      </c>
      <c r="O16" s="35">
        <f>53+28</f>
        <v>81</v>
      </c>
      <c r="P16" s="33">
        <f t="shared" si="5"/>
        <v>25029</v>
      </c>
      <c r="Q16" s="33">
        <f t="shared" si="0"/>
        <v>12563.599999999999</v>
      </c>
      <c r="R16" s="33">
        <f t="shared" si="1"/>
        <v>8375.4</v>
      </c>
      <c r="S16" s="33">
        <f t="shared" si="2"/>
        <v>314</v>
      </c>
      <c r="T16" s="33">
        <f t="shared" si="3"/>
        <v>45968</v>
      </c>
      <c r="U16" s="34">
        <f t="shared" si="6"/>
        <v>146.39490445859872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ref="P17:R18" si="7">E17*M17</f>
        <v>0</v>
      </c>
      <c r="Q17" s="33">
        <f t="shared" si="7"/>
        <v>0</v>
      </c>
      <c r="R17" s="33">
        <f t="shared" si="7"/>
        <v>0</v>
      </c>
      <c r="S17" s="33">
        <f t="shared" si="2"/>
        <v>0</v>
      </c>
      <c r="T17" s="33">
        <f t="shared" si="3"/>
        <v>0</v>
      </c>
      <c r="U17" s="34" t="e">
        <f t="shared" si="6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>E18*M18</f>
        <v>0</v>
      </c>
      <c r="Q18" s="33">
        <f t="shared" si="7"/>
        <v>0</v>
      </c>
      <c r="R18" s="33">
        <f t="shared" si="7"/>
        <v>0</v>
      </c>
      <c r="S18" s="33">
        <f t="shared" si="2"/>
        <v>0</v>
      </c>
      <c r="T18" s="33">
        <f t="shared" si="3"/>
        <v>0</v>
      </c>
      <c r="U18" s="34" t="e">
        <f t="shared" si="6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153.02854122621565</v>
      </c>
      <c r="F20" s="38">
        <f>Q20/N20</f>
        <v>107.42667560321718</v>
      </c>
      <c r="G20" s="38">
        <f>R20/O20</f>
        <v>93.243280977312395</v>
      </c>
      <c r="H20" s="36"/>
      <c r="I20" s="38">
        <f>U20</f>
        <v>122.88463576158941</v>
      </c>
      <c r="J20" s="43">
        <f>(I20/'Engr 19-20'!I20)-1</f>
        <v>-5.3595432241154706E-3</v>
      </c>
      <c r="K20" s="16"/>
      <c r="M20" s="37">
        <f t="shared" ref="M20:R20" si="8">SUM(M11:M18)</f>
        <v>946</v>
      </c>
      <c r="N20" s="37">
        <f t="shared" si="8"/>
        <v>746</v>
      </c>
      <c r="O20" s="37">
        <f t="shared" si="8"/>
        <v>573</v>
      </c>
      <c r="P20" s="37">
        <f t="shared" si="8"/>
        <v>144765</v>
      </c>
      <c r="Q20" s="37">
        <f t="shared" si="8"/>
        <v>80140.300000000017</v>
      </c>
      <c r="R20" s="37">
        <f t="shared" si="8"/>
        <v>53428.4</v>
      </c>
      <c r="S20" s="33">
        <f>M20+N20+O20</f>
        <v>2265</v>
      </c>
      <c r="T20" s="33">
        <f>P20+Q20+R20</f>
        <v>278333.7</v>
      </c>
      <c r="U20" s="34">
        <f>T20/S20</f>
        <v>122.88463576158941</v>
      </c>
    </row>
    <row r="21" spans="1:21" ht="13.5" customHeight="1" x14ac:dyDescent="0.2">
      <c r="A21" s="17"/>
      <c r="D21" s="41" t="s">
        <v>38</v>
      </c>
      <c r="E21" s="38">
        <f>MEDIAN(E11:E18)</f>
        <v>137.35</v>
      </c>
      <c r="F21" s="38">
        <f>MEDIAN(F11:F18)</f>
        <v>103.5</v>
      </c>
      <c r="G21" s="38">
        <f>MEDIAN(G11:G18)</f>
        <v>90.35</v>
      </c>
      <c r="H21" s="36"/>
      <c r="I21" s="38">
        <f>MEDIAN(I11:I18)</f>
        <v>113.12047836486192</v>
      </c>
      <c r="J21" s="43">
        <f>(I21/'Engr 19-20'!I21)-1</f>
        <v>-4.3056089436538381E-3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62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EE693-B901-4E5C-A315-3DC04FA9D3E1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59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128.5</v>
      </c>
      <c r="F11" s="18">
        <v>94.1</v>
      </c>
      <c r="G11" s="18">
        <v>78</v>
      </c>
      <c r="I11" s="18">
        <f>U11</f>
        <v>97.830036630036631</v>
      </c>
      <c r="J11" s="42">
        <f>(I11/'Engr 18-19'!I11)-1</f>
        <v>2.6925278224286364E-2</v>
      </c>
      <c r="K11" s="16"/>
      <c r="M11" s="35">
        <f>60+15</f>
        <v>75</v>
      </c>
      <c r="N11" s="35">
        <f>70+31</f>
        <v>101</v>
      </c>
      <c r="O11" s="35">
        <f>40+57</f>
        <v>97</v>
      </c>
      <c r="P11" s="33">
        <f>E11*M11</f>
        <v>9637.5</v>
      </c>
      <c r="Q11" s="33">
        <f t="shared" ref="P11:R18" si="0">F11*N11</f>
        <v>9504.0999999999985</v>
      </c>
      <c r="R11" s="33">
        <f t="shared" si="0"/>
        <v>7566</v>
      </c>
      <c r="S11" s="33">
        <f t="shared" ref="S11:S18" si="1">M11+N11+O11</f>
        <v>273</v>
      </c>
      <c r="T11" s="33">
        <f t="shared" ref="T11:T18" si="2">P11+Q11+R11</f>
        <v>26707.599999999999</v>
      </c>
      <c r="U11" s="34">
        <f>T11/S11</f>
        <v>97.830036630036631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148</v>
      </c>
      <c r="F12" s="18">
        <v>111.1</v>
      </c>
      <c r="G12" s="18">
        <v>94.9</v>
      </c>
      <c r="I12" s="18">
        <f t="shared" ref="I12:I16" si="3">U12</f>
        <v>123.50312499999998</v>
      </c>
      <c r="J12" s="42">
        <f>(I12/'Engr 18-19'!I12)-1</f>
        <v>9.7990863455723609E-3</v>
      </c>
      <c r="K12" s="16"/>
      <c r="M12" s="35">
        <f>81+18</f>
        <v>99</v>
      </c>
      <c r="N12" s="35">
        <f>50+21</f>
        <v>71</v>
      </c>
      <c r="O12" s="35">
        <f>38+16</f>
        <v>54</v>
      </c>
      <c r="P12" s="33">
        <f t="shared" si="0"/>
        <v>14652</v>
      </c>
      <c r="Q12" s="33">
        <f t="shared" si="0"/>
        <v>7888.0999999999995</v>
      </c>
      <c r="R12" s="33">
        <f t="shared" si="0"/>
        <v>5124.6000000000004</v>
      </c>
      <c r="S12" s="33">
        <f>M12+N12+O12</f>
        <v>224</v>
      </c>
      <c r="T12" s="33">
        <f t="shared" si="2"/>
        <v>27664.699999999997</v>
      </c>
      <c r="U12" s="34">
        <f t="shared" ref="U12:U18" si="4">T12/S12</f>
        <v>123.50312499999998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166.8</v>
      </c>
      <c r="F13" s="18">
        <v>116.4</v>
      </c>
      <c r="G13" s="18">
        <v>105.6</v>
      </c>
      <c r="I13" s="18">
        <f t="shared" si="3"/>
        <v>138.14778947368424</v>
      </c>
      <c r="J13" s="42">
        <f>(I13/'Engr 18-19'!I13)-1</f>
        <v>-1.7191494088242498E-2</v>
      </c>
      <c r="K13" s="16"/>
      <c r="M13" s="35">
        <f>386+70</f>
        <v>456</v>
      </c>
      <c r="N13" s="35">
        <f>204+75</f>
        <v>279</v>
      </c>
      <c r="O13" s="35">
        <f>136+79</f>
        <v>215</v>
      </c>
      <c r="P13" s="33">
        <f t="shared" si="0"/>
        <v>76060.800000000003</v>
      </c>
      <c r="Q13" s="33">
        <f t="shared" si="0"/>
        <v>32475.600000000002</v>
      </c>
      <c r="R13" s="33">
        <f t="shared" si="0"/>
        <v>22704</v>
      </c>
      <c r="S13" s="33">
        <f>M13+N13+O13</f>
        <v>950</v>
      </c>
      <c r="T13" s="33">
        <f t="shared" si="2"/>
        <v>131240.40000000002</v>
      </c>
      <c r="U13" s="34">
        <f t="shared" si="4"/>
        <v>138.14778947368424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122.9</v>
      </c>
      <c r="F14" s="18">
        <v>96.1</v>
      </c>
      <c r="G14" s="18">
        <v>85.7</v>
      </c>
      <c r="I14" s="18">
        <f t="shared" si="3"/>
        <v>103.71614906832298</v>
      </c>
      <c r="J14" s="42">
        <f>(I14/'Engr 18-19'!I14)-1</f>
        <v>1.5964212665879884E-2</v>
      </c>
      <c r="K14" s="16"/>
      <c r="M14" s="35">
        <f>94+27</f>
        <v>121</v>
      </c>
      <c r="N14" s="35">
        <f>92+33</f>
        <v>125</v>
      </c>
      <c r="O14" s="35">
        <f>46+30</f>
        <v>76</v>
      </c>
      <c r="P14" s="33">
        <f t="shared" si="0"/>
        <v>14870.900000000001</v>
      </c>
      <c r="Q14" s="33">
        <f t="shared" si="0"/>
        <v>12012.5</v>
      </c>
      <c r="R14" s="33">
        <f t="shared" si="0"/>
        <v>6513.2</v>
      </c>
      <c r="S14" s="33">
        <f t="shared" si="1"/>
        <v>322</v>
      </c>
      <c r="T14" s="33">
        <f t="shared" si="2"/>
        <v>33396.6</v>
      </c>
      <c r="U14" s="34">
        <f t="shared" si="4"/>
        <v>103.71614906832298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131.6</v>
      </c>
      <c r="F15" s="23">
        <v>86.2</v>
      </c>
      <c r="G15" s="23">
        <v>76.5</v>
      </c>
      <c r="H15" s="22"/>
      <c r="I15" s="23">
        <f t="shared" si="3"/>
        <v>99.01900584795321</v>
      </c>
      <c r="J15" s="44">
        <f>(I15/'Engr 18-19'!I15)-1</f>
        <v>1.2506702102093703E-2</v>
      </c>
      <c r="K15" s="16"/>
      <c r="M15" s="35">
        <f>93+26</f>
        <v>119</v>
      </c>
      <c r="N15" s="35">
        <f>81+37</f>
        <v>118</v>
      </c>
      <c r="O15" s="35">
        <f>68+37</f>
        <v>105</v>
      </c>
      <c r="P15" s="33">
        <f t="shared" si="0"/>
        <v>15660.4</v>
      </c>
      <c r="Q15" s="33">
        <f t="shared" si="0"/>
        <v>10171.6</v>
      </c>
      <c r="R15" s="33">
        <f t="shared" si="0"/>
        <v>8032.5</v>
      </c>
      <c r="S15" s="33">
        <f t="shared" si="1"/>
        <v>342</v>
      </c>
      <c r="T15" s="33">
        <f t="shared" si="2"/>
        <v>33864.5</v>
      </c>
      <c r="U15" s="34">
        <f t="shared" si="4"/>
        <v>99.01900584795321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187.3</v>
      </c>
      <c r="F16" s="18">
        <v>130.19999999999999</v>
      </c>
      <c r="G16" s="18">
        <v>103.9</v>
      </c>
      <c r="I16" s="18">
        <f t="shared" si="3"/>
        <v>148.41661442006267</v>
      </c>
      <c r="J16" s="42">
        <f>(I16/'Engr 18-19'!I16)-1</f>
        <v>-7.7565946564716048E-3</v>
      </c>
      <c r="K16" s="16"/>
      <c r="M16" s="35">
        <f>122+18</f>
        <v>140</v>
      </c>
      <c r="N16" s="35">
        <f>75+21</f>
        <v>96</v>
      </c>
      <c r="O16" s="35">
        <f>54+29</f>
        <v>83</v>
      </c>
      <c r="P16" s="33">
        <f t="shared" si="0"/>
        <v>26222</v>
      </c>
      <c r="Q16" s="33">
        <f t="shared" si="0"/>
        <v>12499.199999999999</v>
      </c>
      <c r="R16" s="33">
        <f t="shared" si="0"/>
        <v>8623.7000000000007</v>
      </c>
      <c r="S16" s="33">
        <f t="shared" si="1"/>
        <v>319</v>
      </c>
      <c r="T16" s="33">
        <f t="shared" si="2"/>
        <v>47344.899999999994</v>
      </c>
      <c r="U16" s="34">
        <f t="shared" si="4"/>
        <v>148.41661442006267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4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155.54811881188118</v>
      </c>
      <c r="F20" s="38">
        <f>Q20/N20</f>
        <v>107.0267088607595</v>
      </c>
      <c r="G20" s="38">
        <f>R20/O20</f>
        <v>92.958730158730162</v>
      </c>
      <c r="H20" s="36"/>
      <c r="I20" s="38">
        <f>U20</f>
        <v>123.5467901234568</v>
      </c>
      <c r="J20" s="43">
        <f>(I20/'Engr 18-19'!I20)-1</f>
        <v>-3.6358100758768774E-3</v>
      </c>
      <c r="K20" s="16"/>
      <c r="M20" s="37">
        <f t="shared" ref="M20:R20" si="5">SUM(M11:M18)</f>
        <v>1010</v>
      </c>
      <c r="N20" s="37">
        <f t="shared" si="5"/>
        <v>790</v>
      </c>
      <c r="O20" s="37">
        <f t="shared" si="5"/>
        <v>630</v>
      </c>
      <c r="P20" s="37">
        <f t="shared" si="5"/>
        <v>157103.6</v>
      </c>
      <c r="Q20" s="37">
        <f t="shared" si="5"/>
        <v>84551.1</v>
      </c>
      <c r="R20" s="37">
        <f t="shared" si="5"/>
        <v>58564</v>
      </c>
      <c r="S20" s="33">
        <f>M20+N20+O20</f>
        <v>2430</v>
      </c>
      <c r="T20" s="33">
        <f>P20+Q20+R20</f>
        <v>300218.7</v>
      </c>
      <c r="U20" s="34">
        <f>T20/S20</f>
        <v>123.5467901234568</v>
      </c>
    </row>
    <row r="21" spans="1:21" ht="13.5" customHeight="1" x14ac:dyDescent="0.2">
      <c r="A21" s="17"/>
      <c r="D21" s="41" t="s">
        <v>38</v>
      </c>
      <c r="E21" s="38">
        <f>MEDIAN(E11:E18)</f>
        <v>139.80000000000001</v>
      </c>
      <c r="F21" s="38">
        <f>MEDIAN(F11:F18)</f>
        <v>103.6</v>
      </c>
      <c r="G21" s="38">
        <f>MEDIAN(G11:G18)</f>
        <v>90.300000000000011</v>
      </c>
      <c r="H21" s="36"/>
      <c r="I21" s="38">
        <f>MEDIAN(I11:I18)</f>
        <v>113.60963703416148</v>
      </c>
      <c r="J21" s="43">
        <f>(I21/'Engr 18-19'!I21)-1</f>
        <v>1.2603902378567122E-2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60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57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126.4</v>
      </c>
      <c r="F11" s="18">
        <v>92.5</v>
      </c>
      <c r="G11" s="18">
        <v>76.2</v>
      </c>
      <c r="I11" s="18">
        <f>U11</f>
        <v>95.264999999999986</v>
      </c>
      <c r="J11" s="42">
        <f>(I11/'Engr 17-18'!I11)-1</f>
        <v>-1.1859931113662681E-2</v>
      </c>
      <c r="K11" s="16"/>
      <c r="M11" s="35">
        <f>53+11</f>
        <v>64</v>
      </c>
      <c r="N11" s="35">
        <f>72+35</f>
        <v>107</v>
      </c>
      <c r="O11" s="35">
        <f>38+51</f>
        <v>89</v>
      </c>
      <c r="P11" s="33">
        <f t="shared" ref="P11:R18" si="0">E11*M11</f>
        <v>8089.6</v>
      </c>
      <c r="Q11" s="33">
        <f t="shared" si="0"/>
        <v>9897.5</v>
      </c>
      <c r="R11" s="33">
        <f t="shared" si="0"/>
        <v>6781.8</v>
      </c>
      <c r="S11" s="33">
        <f t="shared" ref="S11:S18" si="1">M11+N11+O11</f>
        <v>260</v>
      </c>
      <c r="T11" s="33">
        <f t="shared" ref="T11:T18" si="2">P11+Q11+R11</f>
        <v>24768.899999999998</v>
      </c>
      <c r="U11" s="34">
        <f>T11/S11</f>
        <v>95.264999999999986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148.30000000000001</v>
      </c>
      <c r="F12" s="18">
        <v>108.7</v>
      </c>
      <c r="G12" s="18">
        <v>93.2</v>
      </c>
      <c r="I12" s="18">
        <f>U12</f>
        <v>122.30465116279069</v>
      </c>
      <c r="J12" s="42">
        <f>(I12/'Engr 17-18'!I12)-1</f>
        <v>5.8796302450615734E-2</v>
      </c>
      <c r="K12" s="16"/>
      <c r="M12" s="35">
        <f>78+17</f>
        <v>95</v>
      </c>
      <c r="N12" s="35">
        <f>51+15</f>
        <v>66</v>
      </c>
      <c r="O12" s="35">
        <f>37+17</f>
        <v>54</v>
      </c>
      <c r="P12" s="33">
        <f t="shared" si="0"/>
        <v>14088.500000000002</v>
      </c>
      <c r="Q12" s="33">
        <f t="shared" si="0"/>
        <v>7174.2</v>
      </c>
      <c r="R12" s="33">
        <f t="shared" si="0"/>
        <v>5032.8</v>
      </c>
      <c r="S12" s="33">
        <f>M12+N12+O12</f>
        <v>215</v>
      </c>
      <c r="T12" s="33">
        <f t="shared" si="2"/>
        <v>26295.5</v>
      </c>
      <c r="U12" s="34">
        <f t="shared" ref="U12:U18" si="3">T12/S12</f>
        <v>122.30465116279069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169.3</v>
      </c>
      <c r="F13" s="18">
        <v>114.1</v>
      </c>
      <c r="G13" s="18">
        <v>104</v>
      </c>
      <c r="I13" s="18">
        <f t="shared" ref="I13:I16" si="4">U13</f>
        <v>140.56429980276135</v>
      </c>
      <c r="J13" s="42">
        <f>(I13/'Engr 17-18'!I13)-1</f>
        <v>7.7968174956428715E-3</v>
      </c>
      <c r="K13" s="16"/>
      <c r="M13" s="35">
        <f>432+90</f>
        <v>522</v>
      </c>
      <c r="N13" s="35">
        <f>221+75</f>
        <v>296</v>
      </c>
      <c r="O13" s="35">
        <f>131+65</f>
        <v>196</v>
      </c>
      <c r="P13" s="33">
        <f t="shared" si="0"/>
        <v>88374.6</v>
      </c>
      <c r="Q13" s="33">
        <f t="shared" si="0"/>
        <v>33773.599999999999</v>
      </c>
      <c r="R13" s="33">
        <f t="shared" si="0"/>
        <v>20384</v>
      </c>
      <c r="S13" s="33">
        <f>M13+N13+O13</f>
        <v>1014</v>
      </c>
      <c r="T13" s="33">
        <f t="shared" si="2"/>
        <v>142532.20000000001</v>
      </c>
      <c r="U13" s="34">
        <f t="shared" si="3"/>
        <v>140.56429980276135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120.7</v>
      </c>
      <c r="F14" s="18">
        <v>96.5</v>
      </c>
      <c r="G14" s="18">
        <v>82.9</v>
      </c>
      <c r="I14" s="18">
        <f t="shared" si="4"/>
        <v>102.08641975308642</v>
      </c>
      <c r="J14" s="42">
        <f>(I14/'Engr 17-18'!I14)-1</f>
        <v>1.8730855269241564E-2</v>
      </c>
      <c r="K14" s="16"/>
      <c r="M14" s="35">
        <f>96+26</f>
        <v>122</v>
      </c>
      <c r="N14" s="35">
        <f>85+33</f>
        <v>118</v>
      </c>
      <c r="O14" s="35">
        <f>52+32</f>
        <v>84</v>
      </c>
      <c r="P14" s="33">
        <f t="shared" si="0"/>
        <v>14725.4</v>
      </c>
      <c r="Q14" s="33">
        <f t="shared" si="0"/>
        <v>11387</v>
      </c>
      <c r="R14" s="33">
        <f t="shared" si="0"/>
        <v>6963.6</v>
      </c>
      <c r="S14" s="33">
        <f t="shared" si="1"/>
        <v>324</v>
      </c>
      <c r="T14" s="33">
        <f t="shared" si="2"/>
        <v>33076</v>
      </c>
      <c r="U14" s="34">
        <f t="shared" si="3"/>
        <v>102.08641975308642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127.7</v>
      </c>
      <c r="F15" s="23">
        <v>83.7</v>
      </c>
      <c r="G15" s="23">
        <v>76.400000000000006</v>
      </c>
      <c r="H15" s="22"/>
      <c r="I15" s="23">
        <f t="shared" si="4"/>
        <v>97.795901639344265</v>
      </c>
      <c r="J15" s="44">
        <f>(I15/'Engr 17-18'!I15)-1</f>
        <v>2.0653074307202646E-2</v>
      </c>
      <c r="K15" s="16"/>
      <c r="M15" s="35">
        <f>112+24</f>
        <v>136</v>
      </c>
      <c r="N15" s="35">
        <f>81+36</f>
        <v>117</v>
      </c>
      <c r="O15" s="35">
        <f>77+36</f>
        <v>113</v>
      </c>
      <c r="P15" s="33">
        <f t="shared" si="0"/>
        <v>17367.2</v>
      </c>
      <c r="Q15" s="33">
        <f t="shared" si="0"/>
        <v>9792.9</v>
      </c>
      <c r="R15" s="33">
        <f t="shared" si="0"/>
        <v>8633.2000000000007</v>
      </c>
      <c r="S15" s="33">
        <f t="shared" si="1"/>
        <v>366</v>
      </c>
      <c r="T15" s="33">
        <f t="shared" si="2"/>
        <v>35793.300000000003</v>
      </c>
      <c r="U15" s="34">
        <f t="shared" si="3"/>
        <v>97.795901639344265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186.7</v>
      </c>
      <c r="F16" s="18">
        <v>131.30000000000001</v>
      </c>
      <c r="G16" s="18">
        <v>103.7</v>
      </c>
      <c r="I16" s="18">
        <f t="shared" si="4"/>
        <v>149.57682119205296</v>
      </c>
      <c r="J16" s="42">
        <f>(I16/'Engr 17-18'!I16)-1</f>
        <v>-9.6637122835195877E-3</v>
      </c>
      <c r="K16" s="16"/>
      <c r="M16" s="35">
        <f>119+17</f>
        <v>136</v>
      </c>
      <c r="N16" s="35">
        <f>74+19</f>
        <v>93</v>
      </c>
      <c r="O16" s="35">
        <f>47+26</f>
        <v>73</v>
      </c>
      <c r="P16" s="33">
        <f t="shared" si="0"/>
        <v>25391.199999999997</v>
      </c>
      <c r="Q16" s="33">
        <f t="shared" si="0"/>
        <v>12210.900000000001</v>
      </c>
      <c r="R16" s="33">
        <f t="shared" si="0"/>
        <v>7570.1</v>
      </c>
      <c r="S16" s="33">
        <f t="shared" si="1"/>
        <v>302</v>
      </c>
      <c r="T16" s="33">
        <f t="shared" si="2"/>
        <v>45172.2</v>
      </c>
      <c r="U16" s="34">
        <f t="shared" si="3"/>
        <v>149.57682119205296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3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3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156.31302325581396</v>
      </c>
      <c r="F20" s="38">
        <f>Q20/N20</f>
        <v>105.69146800501883</v>
      </c>
      <c r="G20" s="38">
        <f>R20/O20</f>
        <v>90.912151067323464</v>
      </c>
      <c r="H20" s="36"/>
      <c r="I20" s="38">
        <f>U20</f>
        <v>123.99762192664247</v>
      </c>
      <c r="J20" s="43">
        <f>(I20/'Engr 17-18'!I20)-1</f>
        <v>1.1220674779901962E-2</v>
      </c>
      <c r="K20" s="16"/>
      <c r="M20" s="37">
        <f t="shared" ref="M20:R20" si="5">SUM(M11:M18)</f>
        <v>1075</v>
      </c>
      <c r="N20" s="37">
        <f t="shared" si="5"/>
        <v>797</v>
      </c>
      <c r="O20" s="37">
        <f t="shared" si="5"/>
        <v>609</v>
      </c>
      <c r="P20" s="37">
        <f t="shared" si="5"/>
        <v>168036.5</v>
      </c>
      <c r="Q20" s="37">
        <f t="shared" si="5"/>
        <v>84236.1</v>
      </c>
      <c r="R20" s="37">
        <f t="shared" si="5"/>
        <v>55365.499999999993</v>
      </c>
      <c r="S20" s="33">
        <f>M20+N20+O20</f>
        <v>2481</v>
      </c>
      <c r="T20" s="33">
        <f>P20+Q20+R20</f>
        <v>307638.09999999998</v>
      </c>
      <c r="U20" s="34">
        <f>T20/S20</f>
        <v>123.99762192664247</v>
      </c>
    </row>
    <row r="21" spans="1:21" ht="13.5" customHeight="1" x14ac:dyDescent="0.2">
      <c r="A21" s="17"/>
      <c r="D21" s="41" t="s">
        <v>38</v>
      </c>
      <c r="E21" s="38">
        <f>MEDIAN(E11:E18)</f>
        <v>138</v>
      </c>
      <c r="F21" s="38">
        <f>MEDIAN(F11:F18)</f>
        <v>102.6</v>
      </c>
      <c r="G21" s="38">
        <f>MEDIAN(G11:G18)</f>
        <v>88.050000000000011</v>
      </c>
      <c r="H21" s="36"/>
      <c r="I21" s="38">
        <f>MEDIAN(I11:I18)</f>
        <v>112.19553545793855</v>
      </c>
      <c r="J21" s="43">
        <f>(I21/'Engr 17-18'!I21)-1</f>
        <v>4.0184715573051477E-2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58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6"/>
  <sheetViews>
    <sheetView workbookViewId="0"/>
  </sheetViews>
  <sheetFormatPr defaultColWidth="9.140625" defaultRowHeight="13.5" customHeight="1" x14ac:dyDescent="0.2"/>
  <cols>
    <col min="1" max="2" width="2.7109375" style="1" customWidth="1"/>
    <col min="3" max="3" width="2.7109375" style="29" hidden="1" customWidth="1"/>
    <col min="4" max="4" width="37.7109375" style="1" customWidth="1"/>
    <col min="5" max="7" width="7.7109375" style="1" customWidth="1"/>
    <col min="8" max="8" width="2.7109375" style="1" customWidth="1"/>
    <col min="9" max="9" width="6.7109375" style="1" customWidth="1"/>
    <col min="10" max="10" width="7.7109375" style="1" customWidth="1"/>
    <col min="11" max="11" width="2.7109375" style="1" customWidth="1"/>
    <col min="12" max="16384" width="9.140625" style="1"/>
  </cols>
  <sheetData>
    <row r="1" spans="1:21" s="2" customFormat="1" ht="13.5" customHeight="1" x14ac:dyDescent="0.2">
      <c r="C1" s="24"/>
    </row>
    <row r="2" spans="1:21" s="2" customFormat="1" ht="15" customHeight="1" x14ac:dyDescent="0.25">
      <c r="A2" s="49" t="s">
        <v>39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21" s="2" customFormat="1" ht="13.5" customHeight="1" x14ac:dyDescent="0.2">
      <c r="A3" s="3"/>
      <c r="B3" s="4"/>
      <c r="C3" s="25"/>
      <c r="D3" s="4"/>
      <c r="E3" s="4"/>
      <c r="F3" s="4"/>
      <c r="G3" s="4"/>
      <c r="H3" s="4"/>
      <c r="I3" s="4"/>
      <c r="J3" s="4"/>
      <c r="K3" s="5"/>
    </row>
    <row r="4" spans="1:21" s="2" customFormat="1" ht="15" customHeight="1" x14ac:dyDescent="0.25">
      <c r="A4" s="3"/>
      <c r="B4" s="6" t="s">
        <v>56</v>
      </c>
      <c r="C4" s="26"/>
      <c r="D4" s="7"/>
      <c r="K4" s="5"/>
    </row>
    <row r="5" spans="1:21" s="2" customFormat="1" ht="15" customHeight="1" x14ac:dyDescent="0.25">
      <c r="A5" s="3"/>
      <c r="B5" s="48" t="s">
        <v>28</v>
      </c>
      <c r="C5" s="26"/>
      <c r="D5" s="7"/>
      <c r="K5" s="5"/>
    </row>
    <row r="6" spans="1:21" ht="13.5" customHeight="1" thickBot="1" x14ac:dyDescent="0.25">
      <c r="A6" s="8"/>
      <c r="B6" s="9"/>
      <c r="C6" s="27"/>
      <c r="D6" s="9"/>
      <c r="E6" s="9"/>
      <c r="F6" s="9"/>
      <c r="G6" s="9"/>
      <c r="H6" s="9"/>
      <c r="I6" s="9"/>
      <c r="J6" s="9"/>
      <c r="K6" s="16"/>
    </row>
    <row r="7" spans="1:21" ht="13.5" customHeight="1" thickTop="1" x14ac:dyDescent="0.2">
      <c r="A7" s="8"/>
      <c r="B7" s="10"/>
      <c r="C7" s="15"/>
      <c r="D7" s="52" t="s">
        <v>0</v>
      </c>
      <c r="E7" s="52"/>
      <c r="F7" s="52"/>
      <c r="G7" s="52"/>
      <c r="H7" s="52"/>
      <c r="I7" s="52"/>
      <c r="J7" s="11" t="s">
        <v>1</v>
      </c>
      <c r="K7" s="16"/>
      <c r="N7" s="15" t="s">
        <v>7</v>
      </c>
      <c r="O7" s="10"/>
      <c r="P7" s="31"/>
      <c r="Q7" s="15" t="s">
        <v>13</v>
      </c>
      <c r="R7" s="31"/>
      <c r="S7" s="32" t="s">
        <v>11</v>
      </c>
      <c r="T7" s="32" t="s">
        <v>11</v>
      </c>
      <c r="U7" s="32" t="s">
        <v>15</v>
      </c>
    </row>
    <row r="8" spans="1:21" ht="13.5" customHeight="1" x14ac:dyDescent="0.2">
      <c r="A8" s="8"/>
      <c r="B8" s="12"/>
      <c r="C8" s="28"/>
      <c r="D8" s="12"/>
      <c r="E8" s="13" t="s">
        <v>2</v>
      </c>
      <c r="F8" s="13" t="s">
        <v>3</v>
      </c>
      <c r="G8" s="13" t="s">
        <v>4</v>
      </c>
      <c r="H8" s="13"/>
      <c r="I8" s="13" t="s">
        <v>5</v>
      </c>
      <c r="J8" s="13" t="s">
        <v>6</v>
      </c>
      <c r="K8" s="16"/>
      <c r="M8" s="11" t="s">
        <v>8</v>
      </c>
      <c r="N8" s="11" t="s">
        <v>9</v>
      </c>
      <c r="O8" s="11" t="s">
        <v>10</v>
      </c>
      <c r="P8" s="11" t="s">
        <v>8</v>
      </c>
      <c r="Q8" s="11" t="s">
        <v>9</v>
      </c>
      <c r="R8" s="11" t="s">
        <v>10</v>
      </c>
      <c r="S8" s="11" t="s">
        <v>12</v>
      </c>
      <c r="T8" s="11" t="s">
        <v>14</v>
      </c>
      <c r="U8" s="11" t="s">
        <v>14</v>
      </c>
    </row>
    <row r="9" spans="1:21" ht="13.5" customHeight="1" x14ac:dyDescent="0.2">
      <c r="A9" s="17"/>
      <c r="K9" s="16"/>
    </row>
    <row r="10" spans="1:21" ht="13.5" customHeight="1" x14ac:dyDescent="0.2">
      <c r="A10" s="17"/>
      <c r="B10" s="45" t="s">
        <v>27</v>
      </c>
      <c r="C10" s="46"/>
      <c r="D10" s="47"/>
      <c r="E10" s="47"/>
      <c r="F10" s="47"/>
      <c r="G10" s="47"/>
      <c r="H10" s="47"/>
      <c r="I10" s="47"/>
      <c r="J10" s="47"/>
      <c r="K10" s="16"/>
    </row>
    <row r="11" spans="1:21" ht="13.5" customHeight="1" x14ac:dyDescent="0.2">
      <c r="A11" s="17"/>
      <c r="C11" s="29">
        <v>1</v>
      </c>
      <c r="D11" s="1" t="s">
        <v>36</v>
      </c>
      <c r="E11" s="18">
        <v>131</v>
      </c>
      <c r="F11" s="18">
        <v>94.9</v>
      </c>
      <c r="G11" s="18">
        <v>75.5</v>
      </c>
      <c r="I11" s="18">
        <f>U11</f>
        <v>96.408396946564892</v>
      </c>
      <c r="J11" s="42">
        <f>(I11/'Engr 16-17'!I11)-1</f>
        <v>1.6782045813426016E-3</v>
      </c>
      <c r="K11" s="16"/>
      <c r="M11" s="35">
        <f>50+12</f>
        <v>62</v>
      </c>
      <c r="N11" s="35">
        <f>72+33</f>
        <v>105</v>
      </c>
      <c r="O11" s="35">
        <f>42+53</f>
        <v>95</v>
      </c>
      <c r="P11" s="33">
        <f t="shared" ref="P11:R18" si="0">E11*M11</f>
        <v>8122</v>
      </c>
      <c r="Q11" s="33">
        <f t="shared" si="0"/>
        <v>9964.5</v>
      </c>
      <c r="R11" s="33">
        <f t="shared" si="0"/>
        <v>7172.5</v>
      </c>
      <c r="S11" s="33">
        <f t="shared" ref="S11:S18" si="1">M11+N11+O11</f>
        <v>262</v>
      </c>
      <c r="T11" s="33">
        <f t="shared" ref="T11:T18" si="2">P11+Q11+R11</f>
        <v>25259</v>
      </c>
      <c r="U11" s="34">
        <f>T11/S11</f>
        <v>96.408396946564892</v>
      </c>
    </row>
    <row r="12" spans="1:21" ht="13.5" customHeight="1" x14ac:dyDescent="0.2">
      <c r="A12" s="17"/>
      <c r="C12" s="29">
        <v>2</v>
      </c>
      <c r="D12" s="1" t="s">
        <v>29</v>
      </c>
      <c r="E12" s="18">
        <v>139.6</v>
      </c>
      <c r="F12" s="18">
        <v>104.7</v>
      </c>
      <c r="G12" s="18">
        <v>91.4</v>
      </c>
      <c r="I12" s="18">
        <f t="shared" ref="I12:I16" si="3">U12</f>
        <v>115.51291866028708</v>
      </c>
      <c r="J12" s="42">
        <f>(I12/'Engr 16-17'!I12)-1</f>
        <v>2.9490921933916114E-2</v>
      </c>
      <c r="K12" s="16"/>
      <c r="M12" s="35">
        <f>72+16</f>
        <v>88</v>
      </c>
      <c r="N12" s="35">
        <f>47+13</f>
        <v>60</v>
      </c>
      <c r="O12" s="35">
        <f>43+18</f>
        <v>61</v>
      </c>
      <c r="P12" s="33">
        <f t="shared" si="0"/>
        <v>12284.8</v>
      </c>
      <c r="Q12" s="33">
        <f t="shared" si="0"/>
        <v>6282</v>
      </c>
      <c r="R12" s="33">
        <f t="shared" si="0"/>
        <v>5575.4000000000005</v>
      </c>
      <c r="S12" s="33">
        <f>M12+N12+O12</f>
        <v>209</v>
      </c>
      <c r="T12" s="33">
        <f t="shared" si="2"/>
        <v>24142.2</v>
      </c>
      <c r="U12" s="34">
        <f t="shared" ref="U12:U18" si="4">T12/S12</f>
        <v>115.51291866028708</v>
      </c>
    </row>
    <row r="13" spans="1:21" ht="13.5" customHeight="1" x14ac:dyDescent="0.2">
      <c r="A13" s="17"/>
      <c r="C13" s="29">
        <v>3</v>
      </c>
      <c r="D13" s="1" t="s">
        <v>30</v>
      </c>
      <c r="E13" s="18">
        <v>168.4</v>
      </c>
      <c r="F13" s="18">
        <v>113.1</v>
      </c>
      <c r="G13" s="18">
        <v>103</v>
      </c>
      <c r="I13" s="18">
        <f t="shared" si="3"/>
        <v>139.47682445759369</v>
      </c>
      <c r="J13" s="42">
        <f>(I13/'Engr 16-17'!I13)-1</f>
        <v>3.7619583823788716E-2</v>
      </c>
      <c r="K13" s="16"/>
      <c r="M13" s="35">
        <f>431+89</f>
        <v>520</v>
      </c>
      <c r="N13" s="35">
        <f>218+77</f>
        <v>295</v>
      </c>
      <c r="O13" s="35">
        <f>135+64</f>
        <v>199</v>
      </c>
      <c r="P13" s="33">
        <f t="shared" si="0"/>
        <v>87568</v>
      </c>
      <c r="Q13" s="33">
        <f t="shared" si="0"/>
        <v>33364.5</v>
      </c>
      <c r="R13" s="33">
        <f t="shared" si="0"/>
        <v>20497</v>
      </c>
      <c r="S13" s="33">
        <f>M13+N13+O13</f>
        <v>1014</v>
      </c>
      <c r="T13" s="33">
        <f t="shared" si="2"/>
        <v>141429.5</v>
      </c>
      <c r="U13" s="34">
        <f t="shared" si="4"/>
        <v>139.47682445759369</v>
      </c>
    </row>
    <row r="14" spans="1:21" ht="13.5" customHeight="1" x14ac:dyDescent="0.2">
      <c r="A14" s="17"/>
      <c r="C14" s="29">
        <v>4</v>
      </c>
      <c r="D14" s="1" t="s">
        <v>31</v>
      </c>
      <c r="E14" s="18">
        <v>118.8</v>
      </c>
      <c r="F14" s="18">
        <v>97.4</v>
      </c>
      <c r="G14" s="18">
        <v>80.8</v>
      </c>
      <c r="I14" s="18">
        <f t="shared" si="3"/>
        <v>100.20941176470588</v>
      </c>
      <c r="J14" s="42">
        <f>(I14/'Engr 16-17'!I14)-1</f>
        <v>3.0588496899162543E-2</v>
      </c>
      <c r="K14" s="16"/>
      <c r="M14" s="35">
        <f>93+23</f>
        <v>116</v>
      </c>
      <c r="N14" s="35">
        <f>95+37</f>
        <v>132</v>
      </c>
      <c r="O14" s="35">
        <f>61+31</f>
        <v>92</v>
      </c>
      <c r="P14" s="33">
        <f t="shared" si="0"/>
        <v>13780.8</v>
      </c>
      <c r="Q14" s="33">
        <f t="shared" si="0"/>
        <v>12856.800000000001</v>
      </c>
      <c r="R14" s="33">
        <f t="shared" si="0"/>
        <v>7433.5999999999995</v>
      </c>
      <c r="S14" s="33">
        <f t="shared" si="1"/>
        <v>340</v>
      </c>
      <c r="T14" s="33">
        <f t="shared" si="2"/>
        <v>34071.199999999997</v>
      </c>
      <c r="U14" s="34">
        <f t="shared" si="4"/>
        <v>100.20941176470588</v>
      </c>
    </row>
    <row r="15" spans="1:21" ht="13.5" customHeight="1" x14ac:dyDescent="0.2">
      <c r="A15" s="17"/>
      <c r="C15" s="29">
        <v>5</v>
      </c>
      <c r="D15" s="22" t="s">
        <v>32</v>
      </c>
      <c r="E15" s="23">
        <v>125.8</v>
      </c>
      <c r="F15" s="23">
        <v>83.1</v>
      </c>
      <c r="G15" s="23">
        <v>74.599999999999994</v>
      </c>
      <c r="H15" s="22"/>
      <c r="I15" s="23">
        <f t="shared" si="3"/>
        <v>95.816986301369852</v>
      </c>
      <c r="J15" s="44">
        <f>(I15/'Engr 16-17'!I15)-1</f>
        <v>5.4277204723953698E-3</v>
      </c>
      <c r="K15" s="16"/>
      <c r="M15" s="35">
        <f>109+22</f>
        <v>131</v>
      </c>
      <c r="N15" s="35">
        <f>85+37</f>
        <v>122</v>
      </c>
      <c r="O15" s="35">
        <f>74+38</f>
        <v>112</v>
      </c>
      <c r="P15" s="33">
        <f t="shared" si="0"/>
        <v>16479.8</v>
      </c>
      <c r="Q15" s="33">
        <f t="shared" si="0"/>
        <v>10138.199999999999</v>
      </c>
      <c r="R15" s="33">
        <f t="shared" si="0"/>
        <v>8355.1999999999989</v>
      </c>
      <c r="S15" s="33">
        <f t="shared" si="1"/>
        <v>365</v>
      </c>
      <c r="T15" s="33">
        <f t="shared" si="2"/>
        <v>34973.199999999997</v>
      </c>
      <c r="U15" s="34">
        <f t="shared" si="4"/>
        <v>95.816986301369852</v>
      </c>
    </row>
    <row r="16" spans="1:21" ht="13.5" customHeight="1" x14ac:dyDescent="0.2">
      <c r="A16" s="17"/>
      <c r="C16" s="29">
        <v>6</v>
      </c>
      <c r="D16" s="1" t="s">
        <v>33</v>
      </c>
      <c r="E16" s="18">
        <v>187.7</v>
      </c>
      <c r="F16" s="18">
        <v>134.1</v>
      </c>
      <c r="G16" s="18">
        <v>102.5</v>
      </c>
      <c r="I16" s="18">
        <f t="shared" si="3"/>
        <v>151.03639344262294</v>
      </c>
      <c r="J16" s="42">
        <f>(I16/'Engr 16-17'!I16)-1</f>
        <v>1.211836142644751E-3</v>
      </c>
      <c r="K16" s="16"/>
      <c r="M16" s="35">
        <f>126+14</f>
        <v>140</v>
      </c>
      <c r="N16" s="35">
        <f>71+20</f>
        <v>91</v>
      </c>
      <c r="O16" s="35">
        <f>52+22</f>
        <v>74</v>
      </c>
      <c r="P16" s="33">
        <f t="shared" si="0"/>
        <v>26278</v>
      </c>
      <c r="Q16" s="33">
        <f t="shared" si="0"/>
        <v>12203.1</v>
      </c>
      <c r="R16" s="33">
        <f t="shared" si="0"/>
        <v>7585</v>
      </c>
      <c r="S16" s="33">
        <f t="shared" si="1"/>
        <v>305</v>
      </c>
      <c r="T16" s="33">
        <f t="shared" si="2"/>
        <v>46066.1</v>
      </c>
      <c r="U16" s="34">
        <f t="shared" si="4"/>
        <v>151.03639344262294</v>
      </c>
    </row>
    <row r="17" spans="1:21" ht="13.5" customHeight="1" x14ac:dyDescent="0.2">
      <c r="A17" s="17"/>
      <c r="C17" s="29">
        <v>7</v>
      </c>
      <c r="D17" s="1" t="s">
        <v>34</v>
      </c>
      <c r="E17" s="18"/>
      <c r="F17" s="18"/>
      <c r="G17" s="18"/>
      <c r="I17" s="18"/>
      <c r="J17" s="42"/>
      <c r="K17" s="16"/>
      <c r="M17" s="35"/>
      <c r="N17" s="35"/>
      <c r="O17" s="35"/>
      <c r="P17" s="33">
        <f t="shared" si="0"/>
        <v>0</v>
      </c>
      <c r="Q17" s="33">
        <f t="shared" si="0"/>
        <v>0</v>
      </c>
      <c r="R17" s="33">
        <f t="shared" si="0"/>
        <v>0</v>
      </c>
      <c r="S17" s="33">
        <f t="shared" si="1"/>
        <v>0</v>
      </c>
      <c r="T17" s="33">
        <f t="shared" si="2"/>
        <v>0</v>
      </c>
      <c r="U17" s="34" t="e">
        <f t="shared" si="4"/>
        <v>#DIV/0!</v>
      </c>
    </row>
    <row r="18" spans="1:21" ht="13.5" customHeight="1" x14ac:dyDescent="0.2">
      <c r="A18" s="17"/>
      <c r="C18" s="29">
        <v>8</v>
      </c>
      <c r="D18" s="1" t="s">
        <v>35</v>
      </c>
      <c r="E18" s="18"/>
      <c r="F18" s="18"/>
      <c r="G18" s="18"/>
      <c r="I18" s="18"/>
      <c r="J18" s="42"/>
      <c r="K18" s="16"/>
      <c r="M18" s="35"/>
      <c r="N18" s="35"/>
      <c r="O18" s="35"/>
      <c r="P18" s="33">
        <f t="shared" si="0"/>
        <v>0</v>
      </c>
      <c r="Q18" s="33">
        <f t="shared" si="0"/>
        <v>0</v>
      </c>
      <c r="R18" s="33">
        <f t="shared" si="0"/>
        <v>0</v>
      </c>
      <c r="S18" s="33">
        <f t="shared" si="1"/>
        <v>0</v>
      </c>
      <c r="T18" s="33">
        <f t="shared" si="2"/>
        <v>0</v>
      </c>
      <c r="U18" s="34" t="e">
        <f t="shared" si="4"/>
        <v>#DIV/0!</v>
      </c>
    </row>
    <row r="19" spans="1:21" ht="13.5" customHeight="1" x14ac:dyDescent="0.2">
      <c r="A19" s="17"/>
      <c r="K19" s="16"/>
    </row>
    <row r="20" spans="1:21" ht="13.5" customHeight="1" x14ac:dyDescent="0.2">
      <c r="A20" s="17"/>
      <c r="D20" s="41" t="s">
        <v>37</v>
      </c>
      <c r="E20" s="38">
        <f>P20/M20</f>
        <v>155.64181646168402</v>
      </c>
      <c r="F20" s="38">
        <f>Q20/N20</f>
        <v>105.35291925465839</v>
      </c>
      <c r="G20" s="38">
        <f>R20/O20</f>
        <v>89.445023696682455</v>
      </c>
      <c r="H20" s="36"/>
      <c r="I20" s="38">
        <f>U20</f>
        <v>122.6217234468938</v>
      </c>
      <c r="J20" s="43">
        <f>(I20/'Engr 16-17'!I20)-1</f>
        <v>2.414762327835529E-2</v>
      </c>
      <c r="K20" s="16"/>
      <c r="M20" s="37">
        <f t="shared" ref="M20:R20" si="5">SUM(M11:M18)</f>
        <v>1057</v>
      </c>
      <c r="N20" s="37">
        <f t="shared" si="5"/>
        <v>805</v>
      </c>
      <c r="O20" s="37">
        <f t="shared" si="5"/>
        <v>633</v>
      </c>
      <c r="P20" s="37">
        <f t="shared" si="5"/>
        <v>164513.4</v>
      </c>
      <c r="Q20" s="37">
        <f t="shared" si="5"/>
        <v>84809.1</v>
      </c>
      <c r="R20" s="37">
        <f t="shared" si="5"/>
        <v>56618.7</v>
      </c>
      <c r="S20" s="33">
        <f>M20+N20+O20</f>
        <v>2495</v>
      </c>
      <c r="T20" s="33">
        <f>P20+Q20+R20</f>
        <v>305941.2</v>
      </c>
      <c r="U20" s="34">
        <f>T20/S20</f>
        <v>122.6217234468938</v>
      </c>
    </row>
    <row r="21" spans="1:21" ht="13.5" customHeight="1" x14ac:dyDescent="0.2">
      <c r="A21" s="17"/>
      <c r="D21" s="41" t="s">
        <v>38</v>
      </c>
      <c r="E21" s="38">
        <f>MEDIAN(E11:E18)</f>
        <v>135.30000000000001</v>
      </c>
      <c r="F21" s="38">
        <f>MEDIAN(F11:F18)</f>
        <v>101.05000000000001</v>
      </c>
      <c r="G21" s="38">
        <f>MEDIAN(G11:G18)</f>
        <v>86.1</v>
      </c>
      <c r="H21" s="36"/>
      <c r="I21" s="38">
        <f>MEDIAN(I11:I18)</f>
        <v>107.86116521249647</v>
      </c>
      <c r="J21" s="43">
        <f>(I21/'Engr 16-17'!I21)-1</f>
        <v>3.0000487111234486E-2</v>
      </c>
      <c r="K21" s="16"/>
    </row>
    <row r="22" spans="1:21" ht="13.5" customHeight="1" x14ac:dyDescent="0.2">
      <c r="A22" s="17"/>
      <c r="B22" s="20"/>
      <c r="C22" s="30"/>
      <c r="D22" s="20"/>
      <c r="E22" s="20"/>
      <c r="F22" s="20"/>
      <c r="G22" s="20"/>
      <c r="H22" s="20"/>
      <c r="I22" s="20"/>
      <c r="J22" s="20"/>
      <c r="K22" s="16"/>
    </row>
    <row r="23" spans="1:21" ht="13.5" customHeight="1" x14ac:dyDescent="0.2">
      <c r="A23" s="17"/>
      <c r="K23" s="16"/>
    </row>
    <row r="24" spans="1:21" ht="13.5" customHeight="1" x14ac:dyDescent="0.2">
      <c r="A24" s="17"/>
      <c r="B24" s="14" t="s">
        <v>23</v>
      </c>
      <c r="K24" s="16"/>
    </row>
    <row r="25" spans="1:21" ht="13.5" customHeight="1" x14ac:dyDescent="0.2">
      <c r="A25" s="17"/>
      <c r="B25" s="14"/>
      <c r="K25" s="16"/>
    </row>
    <row r="26" spans="1:21" ht="13.5" customHeight="1" x14ac:dyDescent="0.2">
      <c r="A26" s="19"/>
      <c r="B26" s="39" t="s">
        <v>16</v>
      </c>
      <c r="C26" s="30"/>
      <c r="D26" s="20"/>
      <c r="E26" s="20"/>
      <c r="F26" s="20"/>
      <c r="G26" s="20"/>
      <c r="H26" s="20"/>
      <c r="I26" s="20"/>
      <c r="J26" s="40" t="s">
        <v>55</v>
      </c>
      <c r="K26" s="21"/>
    </row>
  </sheetData>
  <mergeCells count="2">
    <mergeCell ref="A2:K2"/>
    <mergeCell ref="D7:I7"/>
  </mergeCells>
  <printOptions horizontalCentered="1"/>
  <pageMargins left="0.7" right="0.45" top="0.5" bottom="0.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Engr 25-26</vt:lpstr>
      <vt:lpstr>Engr 24-25</vt:lpstr>
      <vt:lpstr>Engr 23-24</vt:lpstr>
      <vt:lpstr>Engr 22-23</vt:lpstr>
      <vt:lpstr>Engr 21-22</vt:lpstr>
      <vt:lpstr>Engr 20-21</vt:lpstr>
      <vt:lpstr>Engr 19-20</vt:lpstr>
      <vt:lpstr>Engr 18-19</vt:lpstr>
      <vt:lpstr>Engr 17-18</vt:lpstr>
      <vt:lpstr>Engr 16-17</vt:lpstr>
      <vt:lpstr>Engr 15-16</vt:lpstr>
      <vt:lpstr>Engr 14-15</vt:lpstr>
      <vt:lpstr>Engr 13-14</vt:lpstr>
      <vt:lpstr>Engr 12-13</vt:lpstr>
      <vt:lpstr>Engr 11-12</vt:lpstr>
      <vt:lpstr>Engr 10-11</vt:lpstr>
      <vt:lpstr>Engr 09-10</vt:lpstr>
      <vt:lpstr>Engr 08-09</vt:lpstr>
      <vt:lpstr>'Engr 08-09'!Print_Area</vt:lpstr>
      <vt:lpstr>'Engr 09-10'!Print_Area</vt:lpstr>
      <vt:lpstr>'Engr 10-11'!Print_Area</vt:lpstr>
      <vt:lpstr>'Engr 11-12'!Print_Area</vt:lpstr>
      <vt:lpstr>'Engr 12-13'!Print_Area</vt:lpstr>
      <vt:lpstr>'Engr 13-14'!Print_Area</vt:lpstr>
      <vt:lpstr>'Engr 14-15'!Print_Area</vt:lpstr>
      <vt:lpstr>'Engr 15-16'!Print_Area</vt:lpstr>
      <vt:lpstr>'Engr 16-17'!Print_Area</vt:lpstr>
      <vt:lpstr>'Engr 17-18'!Print_Area</vt:lpstr>
      <vt:lpstr>'Engr 18-19'!Print_Area</vt:lpstr>
      <vt:lpstr>'Engr 19-20'!Print_Area</vt:lpstr>
      <vt:lpstr>'Engr 20-21'!Print_Area</vt:lpstr>
      <vt:lpstr>'Engr 21-22'!Print_Area</vt:lpstr>
      <vt:lpstr>'Engr 22-23'!Print_Area</vt:lpstr>
      <vt:lpstr>'Engr 23-24'!Print_Area</vt:lpstr>
      <vt:lpstr>'Engr 24-25'!Print_Area</vt:lpstr>
      <vt:lpstr>'Engr 25-26'!Print_Area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Sade, Randy</dc:creator>
  <cp:lastModifiedBy>Sade, Randy</cp:lastModifiedBy>
  <cp:lastPrinted>2024-08-13T14:55:46Z</cp:lastPrinted>
  <dcterms:created xsi:type="dcterms:W3CDTF">2015-04-20T19:27:21Z</dcterms:created>
  <dcterms:modified xsi:type="dcterms:W3CDTF">2026-04-07T19:00:21Z</dcterms:modified>
</cp:coreProperties>
</file>