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ilmissouri-my.sharepoint.com/personal/moorevm_umsystem_edu/Documents/FPD Website Files (Copied to SharePoint)/Building Inspections Program/"/>
    </mc:Choice>
  </mc:AlternateContent>
  <xr:revisionPtr revIDLastSave="0" documentId="8_{4D8B0307-2DA5-420A-97EE-30FAE6112621}" xr6:coauthVersionLast="47" xr6:coauthVersionMax="47" xr10:uidLastSave="{00000000-0000-0000-0000-000000000000}"/>
  <bookViews>
    <workbookView xWindow="38280" yWindow="-15" windowWidth="38640" windowHeight="21120" xr2:uid="{B78B58CC-4225-49FA-B357-6C9CA4AF5831}"/>
  </bookViews>
  <sheets>
    <sheet name="GBA Fee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L28" i="1"/>
  <c r="L10" i="1"/>
  <c r="L9" i="1"/>
  <c r="L32" i="1"/>
  <c r="L31" i="1"/>
  <c r="L30" i="1"/>
  <c r="L29" i="1"/>
  <c r="L8" i="1"/>
  <c r="L14" i="1"/>
  <c r="L13" i="1"/>
  <c r="L12" i="1"/>
  <c r="H33" i="1" l="1"/>
  <c r="F33" i="1" l="1"/>
  <c r="F32" i="1"/>
  <c r="H32" i="1"/>
  <c r="D32" i="1"/>
  <c r="D28" i="1"/>
  <c r="D29" i="1"/>
  <c r="D30" i="1"/>
  <c r="D31" i="1"/>
  <c r="D33" i="1"/>
  <c r="D27" i="1"/>
  <c r="H28" i="1"/>
  <c r="H30" i="1"/>
  <c r="H31" i="1"/>
  <c r="H27" i="1"/>
  <c r="F31" i="1"/>
  <c r="F30" i="1"/>
  <c r="F29" i="1"/>
  <c r="L27" i="1" l="1"/>
  <c r="L26" i="1"/>
  <c r="D34" i="1" l="1"/>
  <c r="J38" i="1" s="1"/>
  <c r="J40" i="1" l="1"/>
  <c r="J41" i="1" s="1"/>
  <c r="J44" i="1" s="1"/>
  <c r="D38" i="1"/>
  <c r="D40" i="1" s="1"/>
  <c r="D37" i="1"/>
  <c r="D41" i="1" l="1"/>
  <c r="F12" i="1"/>
  <c r="D15" i="1" l="1"/>
  <c r="J18" i="1" s="1"/>
  <c r="J20" i="1" l="1"/>
  <c r="J21" i="1" s="1"/>
  <c r="J24" i="1" s="1"/>
  <c r="D17" i="1"/>
  <c r="D18" i="1" l="1"/>
  <c r="D20" i="1" s="1"/>
  <c r="D21" i="1" s="1"/>
  <c r="D46" i="1" s="1"/>
  <c r="D48" i="1" s="1"/>
  <c r="J46" i="1" l="1"/>
  <c r="J48" i="1" l="1"/>
  <c r="J49" i="1" s="1"/>
  <c r="J47" i="1"/>
</calcChain>
</file>

<file path=xl/sharedStrings.xml><?xml version="1.0" encoding="utf-8"?>
<sst xmlns="http://schemas.openxmlformats.org/spreadsheetml/2006/main" count="109" uniqueCount="49">
  <si>
    <t>Adjusted Inspection Fee</t>
  </si>
  <si>
    <t>% by Code Consultant</t>
  </si>
  <si>
    <t>for Inspections</t>
  </si>
  <si>
    <t>for Administrative/Permitting</t>
  </si>
  <si>
    <t>subtotal</t>
  </si>
  <si>
    <t xml:space="preserve">for each additional $1,000 
or fraction thereof </t>
  </si>
  <si>
    <t>plus</t>
  </si>
  <si>
    <t>for the first</t>
  </si>
  <si>
    <t>for each additional $1,000 
or fraction thereof to and including</t>
  </si>
  <si>
    <t>Fee Calculation</t>
  </si>
  <si>
    <t>Construction Valuation</t>
  </si>
  <si>
    <t>Inspections &amp; CO Administration</t>
  </si>
  <si>
    <t xml:space="preserve">     Adjusted Plan Review Fee</t>
  </si>
  <si>
    <t xml:space="preserve">     % Plan Review by Code Consultant</t>
  </si>
  <si>
    <t>for Plan Review</t>
  </si>
  <si>
    <t xml:space="preserve"> </t>
  </si>
  <si>
    <t>Plan Review &amp; Permitting Administration</t>
  </si>
  <si>
    <t>Project Construction Valuation:</t>
  </si>
  <si>
    <t>$1-30,000</t>
  </si>
  <si>
    <t>$30,001-100,000</t>
  </si>
  <si>
    <t>$100,001-250,000</t>
  </si>
  <si>
    <t>$250,001-500,000</t>
  </si>
  <si>
    <t>CODE SERVICES % OF CONSTRUCTION:</t>
  </si>
  <si>
    <t>$40,000,001 and over</t>
  </si>
  <si>
    <t>$10,000-30,000</t>
  </si>
  <si>
    <t>Project Name:</t>
  </si>
  <si>
    <t>Adjustments- 3rd Party</t>
  </si>
  <si>
    <t>Adjustments- Campus</t>
  </si>
  <si>
    <t>Total Plan Review Fee [line 410 PCS]</t>
  </si>
  <si>
    <t>Total Plan Review Fee [line 420 PCS]</t>
  </si>
  <si>
    <t>Total Inspection Fee [line 2400 PCS]</t>
  </si>
  <si>
    <t>Total Inspection Fee [line 2420 PCS]</t>
  </si>
  <si>
    <t>CODE SERVICES FEE 3rd Party:</t>
  </si>
  <si>
    <t xml:space="preserve">        </t>
  </si>
  <si>
    <t xml:space="preserve">                                                              </t>
  </si>
  <si>
    <t>For site improvement projects ( summer paving, underground utility only, field lighting upgrade, etc)</t>
  </si>
  <si>
    <t>Total Fee for Site Improvement Projects:</t>
  </si>
  <si>
    <t>....</t>
  </si>
  <si>
    <t>Plan Review Total</t>
  </si>
  <si>
    <t>Inspection Fee Total</t>
  </si>
  <si>
    <t>CODE SERVICES FEE Campus: (Total Fee):</t>
  </si>
  <si>
    <t>% of Construction Cost:</t>
  </si>
  <si>
    <t xml:space="preserve">                               % of Construction Cost:</t>
  </si>
  <si>
    <t>$500,001-3,000,000</t>
  </si>
  <si>
    <t>$3,000,001-40,000,000</t>
  </si>
  <si>
    <t>$40,000,001 +</t>
  </si>
  <si>
    <t xml:space="preserve">        C</t>
  </si>
  <si>
    <t>UM AHJ- permit calculator</t>
  </si>
  <si>
    <t>Revised 7/1/2025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</si>
</sst>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0.000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3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</cellStyleXfs>
  <cellXfs count="98">
    <xf numFmtId="0" fontId="0" fillId="0" borderId="0" xfId="0"/>
    <xf numFmtId="0" fontId="2" fillId="0" borderId="0" xfId="2" applyFont="1" applyAlignment="1">
      <alignment vertical="center"/>
    </xf>
    <xf numFmtId="3" fontId="1" fillId="0" borderId="0" xfId="2" applyNumberFormat="1" applyAlignment="1">
      <alignment vertical="center"/>
    </xf>
    <xf numFmtId="164" fontId="4" fillId="0" borderId="0" xfId="2" applyNumberFormat="1" applyFont="1" applyAlignment="1">
      <alignment vertical="center"/>
    </xf>
    <xf numFmtId="2" fontId="3" fillId="0" borderId="0" xfId="2" applyNumberFormat="1" applyFont="1" applyAlignment="1">
      <alignment vertical="center"/>
    </xf>
    <xf numFmtId="3" fontId="1" fillId="0" borderId="0" xfId="2" applyNumberFormat="1" applyAlignment="1">
      <alignment horizontal="right" vertical="center"/>
    </xf>
    <xf numFmtId="164" fontId="3" fillId="0" borderId="0" xfId="2" applyNumberFormat="1" applyFont="1" applyAlignment="1">
      <alignment vertical="center"/>
    </xf>
    <xf numFmtId="0" fontId="3" fillId="0" borderId="0" xfId="2" applyFont="1" applyAlignment="1">
      <alignment horizontal="right" vertical="center"/>
    </xf>
    <xf numFmtId="3" fontId="1" fillId="0" borderId="0" xfId="2" applyNumberFormat="1" applyAlignment="1">
      <alignment horizontal="left" vertical="center"/>
    </xf>
    <xf numFmtId="49" fontId="1" fillId="0" borderId="0" xfId="2" applyNumberFormat="1" applyAlignment="1">
      <alignment vertical="center"/>
    </xf>
    <xf numFmtId="164" fontId="1" fillId="0" borderId="0" xfId="2" applyNumberFormat="1" applyAlignment="1">
      <alignment vertical="center"/>
    </xf>
    <xf numFmtId="165" fontId="1" fillId="0" borderId="3" xfId="2" applyNumberFormat="1" applyBorder="1" applyAlignment="1">
      <alignment vertical="center"/>
    </xf>
    <xf numFmtId="0" fontId="1" fillId="0" borderId="3" xfId="2" applyBorder="1" applyAlignment="1">
      <alignment vertical="center"/>
    </xf>
    <xf numFmtId="164" fontId="1" fillId="0" borderId="3" xfId="2" applyNumberFormat="1" applyBorder="1" applyAlignment="1">
      <alignment horizontal="right" vertical="center"/>
    </xf>
    <xf numFmtId="0" fontId="5" fillId="0" borderId="0" xfId="2" applyFont="1" applyAlignment="1">
      <alignment vertical="center"/>
    </xf>
    <xf numFmtId="165" fontId="1" fillId="0" borderId="0" xfId="2" applyNumberFormat="1" applyAlignment="1">
      <alignment vertical="center"/>
    </xf>
    <xf numFmtId="164" fontId="1" fillId="0" borderId="0" xfId="2" applyNumberFormat="1" applyAlignment="1">
      <alignment horizontal="right" vertical="center"/>
    </xf>
    <xf numFmtId="164" fontId="1" fillId="0" borderId="3" xfId="2" applyNumberFormat="1" applyBorder="1" applyAlignment="1">
      <alignment vertical="center"/>
    </xf>
    <xf numFmtId="164" fontId="6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right" vertical="center"/>
    </xf>
    <xf numFmtId="0" fontId="8" fillId="0" borderId="0" xfId="2" applyFont="1" applyAlignment="1">
      <alignment vertical="center"/>
    </xf>
    <xf numFmtId="164" fontId="1" fillId="0" borderId="2" xfId="2" applyNumberFormat="1" applyBorder="1" applyAlignment="1">
      <alignment horizontal="left" vertical="center"/>
    </xf>
    <xf numFmtId="0" fontId="9" fillId="0" borderId="3" xfId="2" applyFont="1" applyBorder="1" applyAlignment="1">
      <alignment horizontal="left" vertical="center" wrapText="1" indent="1"/>
    </xf>
    <xf numFmtId="44" fontId="1" fillId="0" borderId="0" xfId="1" applyAlignment="1">
      <alignment vertical="center"/>
    </xf>
    <xf numFmtId="165" fontId="2" fillId="0" borderId="0" xfId="2" applyNumberFormat="1" applyFont="1" applyAlignment="1">
      <alignment vertical="center"/>
    </xf>
    <xf numFmtId="0" fontId="5" fillId="0" borderId="0" xfId="2" applyFont="1" applyAlignment="1">
      <alignment horizontal="left" vertical="center"/>
    </xf>
    <xf numFmtId="0" fontId="1" fillId="0" borderId="0" xfId="2" applyAlignment="1">
      <alignment horizontal="left" vertical="center"/>
    </xf>
    <xf numFmtId="0" fontId="1" fillId="0" borderId="0" xfId="2" applyAlignment="1">
      <alignment vertical="center"/>
    </xf>
    <xf numFmtId="0" fontId="1" fillId="0" borderId="0" xfId="2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" fillId="0" borderId="0" xfId="2"/>
    <xf numFmtId="0" fontId="13" fillId="0" borderId="0" xfId="2" applyFont="1" applyAlignment="1">
      <alignment horizontal="left"/>
    </xf>
    <xf numFmtId="10" fontId="6" fillId="0" borderId="0" xfId="3" applyNumberFormat="1" applyFont="1" applyAlignment="1">
      <alignment horizontal="right" vertical="center"/>
    </xf>
    <xf numFmtId="0" fontId="2" fillId="0" borderId="0" xfId="2" applyFont="1" applyAlignment="1">
      <alignment horizontal="right"/>
    </xf>
    <xf numFmtId="9" fontId="1" fillId="2" borderId="8" xfId="2" applyNumberFormat="1" applyFill="1" applyBorder="1" applyAlignment="1" applyProtection="1">
      <alignment horizontal="left" vertical="center"/>
      <protection locked="0"/>
    </xf>
    <xf numFmtId="9" fontId="1" fillId="2" borderId="9" xfId="2" applyNumberFormat="1" applyFill="1" applyBorder="1" applyAlignment="1" applyProtection="1">
      <alignment vertical="center"/>
      <protection locked="0"/>
    </xf>
    <xf numFmtId="164" fontId="3" fillId="2" borderId="7" xfId="2" applyNumberFormat="1" applyFont="1" applyFill="1" applyBorder="1" applyAlignment="1">
      <alignment vertical="center"/>
    </xf>
    <xf numFmtId="0" fontId="1" fillId="2" borderId="0" xfId="2" applyFill="1" applyAlignment="1">
      <alignment horizontal="left" vertical="center"/>
    </xf>
    <xf numFmtId="164" fontId="1" fillId="2" borderId="9" xfId="2" applyNumberFormat="1" applyFill="1" applyBorder="1" applyAlignment="1">
      <alignment vertical="center"/>
    </xf>
    <xf numFmtId="164" fontId="1" fillId="2" borderId="11" xfId="2" applyNumberFormat="1" applyFill="1" applyBorder="1" applyAlignment="1">
      <alignment vertical="center"/>
    </xf>
    <xf numFmtId="0" fontId="1" fillId="2" borderId="12" xfId="2" applyFill="1" applyBorder="1" applyAlignment="1">
      <alignment horizontal="left" vertical="center"/>
    </xf>
    <xf numFmtId="0" fontId="3" fillId="2" borderId="13" xfId="2" applyFont="1" applyFill="1" applyBorder="1" applyAlignment="1">
      <alignment horizontal="right" vertical="center"/>
    </xf>
    <xf numFmtId="164" fontId="3" fillId="2" borderId="14" xfId="2" applyNumberFormat="1" applyFont="1" applyFill="1" applyBorder="1" applyAlignment="1">
      <alignment vertical="center"/>
    </xf>
    <xf numFmtId="164" fontId="1" fillId="2" borderId="7" xfId="2" applyNumberFormat="1" applyFill="1" applyBorder="1" applyAlignment="1">
      <alignment vertical="center"/>
    </xf>
    <xf numFmtId="164" fontId="3" fillId="3" borderId="7" xfId="2" applyNumberFormat="1" applyFont="1" applyFill="1" applyBorder="1" applyAlignment="1">
      <alignment vertical="center"/>
    </xf>
    <xf numFmtId="9" fontId="1" fillId="3" borderId="8" xfId="2" applyNumberFormat="1" applyFill="1" applyBorder="1" applyAlignment="1" applyProtection="1">
      <alignment horizontal="left" vertical="center"/>
      <protection locked="0"/>
    </xf>
    <xf numFmtId="164" fontId="1" fillId="3" borderId="9" xfId="2" applyNumberFormat="1" applyFill="1" applyBorder="1" applyAlignment="1">
      <alignment vertical="center"/>
    </xf>
    <xf numFmtId="9" fontId="1" fillId="3" borderId="9" xfId="2" applyNumberFormat="1" applyFill="1" applyBorder="1" applyAlignment="1" applyProtection="1">
      <alignment vertical="center"/>
      <protection locked="0"/>
    </xf>
    <xf numFmtId="164" fontId="1" fillId="3" borderId="11" xfId="2" applyNumberFormat="1" applyFill="1" applyBorder="1" applyAlignment="1">
      <alignment vertical="center"/>
    </xf>
    <xf numFmtId="0" fontId="1" fillId="3" borderId="12" xfId="2" applyFill="1" applyBorder="1" applyAlignment="1">
      <alignment horizontal="left" vertical="center"/>
    </xf>
    <xf numFmtId="0" fontId="3" fillId="3" borderId="13" xfId="2" applyFont="1" applyFill="1" applyBorder="1" applyAlignment="1">
      <alignment horizontal="right" vertical="center"/>
    </xf>
    <xf numFmtId="164" fontId="3" fillId="3" borderId="14" xfId="2" applyNumberFormat="1" applyFont="1" applyFill="1" applyBorder="1" applyAlignment="1">
      <alignment vertical="center"/>
    </xf>
    <xf numFmtId="164" fontId="1" fillId="3" borderId="7" xfId="2" applyNumberFormat="1" applyFill="1" applyBorder="1" applyAlignment="1">
      <alignment vertical="center"/>
    </xf>
    <xf numFmtId="0" fontId="1" fillId="3" borderId="0" xfId="2" applyFill="1" applyAlignment="1">
      <alignment horizontal="left" vertical="center"/>
    </xf>
    <xf numFmtId="0" fontId="0" fillId="0" borderId="0" xfId="2" applyFont="1" applyAlignment="1">
      <alignment vertical="center"/>
    </xf>
    <xf numFmtId="0" fontId="1" fillId="4" borderId="0" xfId="2" applyFill="1" applyAlignment="1">
      <alignment horizontal="left" vertical="center"/>
    </xf>
    <xf numFmtId="0" fontId="3" fillId="4" borderId="0" xfId="2" applyFont="1" applyFill="1" applyAlignment="1">
      <alignment horizontal="right" vertical="center"/>
    </xf>
    <xf numFmtId="164" fontId="3" fillId="4" borderId="0" xfId="2" applyNumberFormat="1" applyFont="1" applyFill="1" applyAlignment="1">
      <alignment vertical="center"/>
    </xf>
    <xf numFmtId="0" fontId="0" fillId="4" borderId="0" xfId="2" applyFont="1" applyFill="1" applyAlignment="1">
      <alignment vertical="center"/>
    </xf>
    <xf numFmtId="0" fontId="3" fillId="4" borderId="0" xfId="2" applyFont="1" applyFill="1" applyAlignment="1">
      <alignment vertical="center"/>
    </xf>
    <xf numFmtId="164" fontId="0" fillId="0" borderId="0" xfId="2" applyNumberFormat="1" applyFont="1" applyAlignment="1">
      <alignment horizontal="right" vertical="center"/>
    </xf>
    <xf numFmtId="0" fontId="14" fillId="3" borderId="13" xfId="2" applyFont="1" applyFill="1" applyBorder="1" applyAlignment="1">
      <alignment horizontal="right" vertical="center"/>
    </xf>
    <xf numFmtId="0" fontId="14" fillId="3" borderId="12" xfId="2" applyFont="1" applyFill="1" applyBorder="1" applyAlignment="1">
      <alignment horizontal="left" vertical="center"/>
    </xf>
    <xf numFmtId="0" fontId="1" fillId="0" borderId="13" xfId="2" applyBorder="1" applyAlignment="1">
      <alignment horizontal="right" vertical="center"/>
    </xf>
    <xf numFmtId="0" fontId="1" fillId="3" borderId="12" xfId="2" applyFill="1" applyBorder="1" applyAlignment="1">
      <alignment vertical="center"/>
    </xf>
    <xf numFmtId="7" fontId="14" fillId="3" borderId="14" xfId="1" applyNumberFormat="1" applyFont="1" applyFill="1" applyBorder="1" applyAlignment="1">
      <alignment horizontal="right" vertical="center"/>
    </xf>
    <xf numFmtId="0" fontId="1" fillId="3" borderId="13" xfId="2" applyFill="1" applyBorder="1" applyAlignment="1">
      <alignment vertical="center"/>
    </xf>
    <xf numFmtId="165" fontId="4" fillId="0" borderId="0" xfId="3" applyNumberFormat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6" fillId="0" borderId="0" xfId="2" applyFont="1" applyAlignment="1">
      <alignment vertical="center"/>
    </xf>
    <xf numFmtId="166" fontId="3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10" fontId="4" fillId="0" borderId="0" xfId="2" applyNumberFormat="1" applyFont="1" applyAlignment="1">
      <alignment vertical="center"/>
    </xf>
    <xf numFmtId="10" fontId="4" fillId="0" borderId="0" xfId="2" applyNumberFormat="1" applyFont="1" applyAlignment="1">
      <alignment horizontal="right" vertical="center"/>
    </xf>
    <xf numFmtId="0" fontId="5" fillId="3" borderId="6" xfId="2" applyFont="1" applyFill="1" applyBorder="1" applyAlignment="1">
      <alignment horizontal="left" vertical="center"/>
    </xf>
    <xf numFmtId="0" fontId="5" fillId="3" borderId="5" xfId="2" applyFont="1" applyFill="1" applyBorder="1" applyAlignment="1">
      <alignment horizontal="left" vertical="center"/>
    </xf>
    <xf numFmtId="0" fontId="1" fillId="3" borderId="8" xfId="2" applyFill="1" applyBorder="1" applyAlignment="1">
      <alignment horizontal="left" vertical="center"/>
    </xf>
    <xf numFmtId="0" fontId="1" fillId="3" borderId="0" xfId="2" applyFill="1" applyAlignment="1">
      <alignment horizontal="left" vertical="center"/>
    </xf>
    <xf numFmtId="0" fontId="1" fillId="3" borderId="10" xfId="2" applyFill="1" applyBorder="1" applyAlignment="1">
      <alignment horizontal="left" vertical="center"/>
    </xf>
    <xf numFmtId="0" fontId="1" fillId="3" borderId="1" xfId="2" applyFill="1" applyBorder="1" applyAlignment="1">
      <alignment horizontal="left" vertical="center"/>
    </xf>
    <xf numFmtId="0" fontId="4" fillId="0" borderId="0" xfId="2" applyFont="1" applyAlignment="1">
      <alignment horizontal="right" vertical="center"/>
    </xf>
    <xf numFmtId="0" fontId="14" fillId="3" borderId="6" xfId="2" applyFont="1" applyFill="1" applyBorder="1" applyAlignment="1">
      <alignment horizontal="left" vertical="center" wrapText="1"/>
    </xf>
    <xf numFmtId="0" fontId="14" fillId="3" borderId="5" xfId="2" applyFont="1" applyFill="1" applyBorder="1" applyAlignment="1">
      <alignment horizontal="left" vertical="center" wrapText="1"/>
    </xf>
    <xf numFmtId="0" fontId="14" fillId="3" borderId="7" xfId="2" applyFont="1" applyFill="1" applyBorder="1" applyAlignment="1">
      <alignment horizontal="left" vertical="center" wrapText="1"/>
    </xf>
    <xf numFmtId="0" fontId="14" fillId="3" borderId="8" xfId="2" applyFont="1" applyFill="1" applyBorder="1" applyAlignment="1">
      <alignment horizontal="left" vertical="center" wrapText="1"/>
    </xf>
    <xf numFmtId="0" fontId="14" fillId="3" borderId="0" xfId="2" applyFont="1" applyFill="1" applyAlignment="1">
      <alignment horizontal="left" vertical="center" wrapText="1"/>
    </xf>
    <xf numFmtId="0" fontId="14" fillId="3" borderId="9" xfId="2" applyFont="1" applyFill="1" applyBorder="1" applyAlignment="1">
      <alignment horizontal="left" vertical="center" wrapText="1"/>
    </xf>
    <xf numFmtId="49" fontId="11" fillId="2" borderId="4" xfId="0" applyNumberFormat="1" applyFont="1" applyFill="1" applyBorder="1" applyAlignment="1" applyProtection="1">
      <alignment horizontal="left" vertical="center"/>
      <protection locked="0"/>
    </xf>
    <xf numFmtId="164" fontId="11" fillId="2" borderId="4" xfId="0" applyNumberFormat="1" applyFont="1" applyFill="1" applyBorder="1" applyAlignment="1" applyProtection="1">
      <alignment horizontal="left" vertical="center"/>
      <protection locked="0"/>
    </xf>
    <xf numFmtId="0" fontId="6" fillId="0" borderId="0" xfId="2" applyFont="1" applyAlignment="1">
      <alignment horizontal="right" vertical="center"/>
    </xf>
    <xf numFmtId="0" fontId="5" fillId="2" borderId="6" xfId="2" applyFont="1" applyFill="1" applyBorder="1" applyAlignment="1">
      <alignment horizontal="left" vertical="center"/>
    </xf>
    <xf numFmtId="0" fontId="5" fillId="2" borderId="5" xfId="2" applyFont="1" applyFill="1" applyBorder="1" applyAlignment="1">
      <alignment horizontal="left" vertical="center"/>
    </xf>
    <xf numFmtId="0" fontId="1" fillId="2" borderId="8" xfId="2" applyFill="1" applyBorder="1" applyAlignment="1">
      <alignment horizontal="left" vertical="center"/>
    </xf>
    <xf numFmtId="0" fontId="1" fillId="2" borderId="0" xfId="2" applyFill="1" applyAlignment="1">
      <alignment horizontal="left" vertical="center"/>
    </xf>
    <xf numFmtId="0" fontId="1" fillId="2" borderId="10" xfId="2" applyFill="1" applyBorder="1" applyAlignment="1">
      <alignment horizontal="left" vertical="center"/>
    </xf>
    <xf numFmtId="0" fontId="1" fillId="2" borderId="1" xfId="2" applyFill="1" applyBorder="1" applyAlignment="1">
      <alignment horizontal="left" vertical="center"/>
    </xf>
    <xf numFmtId="0" fontId="1" fillId="0" borderId="4" xfId="2" applyBorder="1" applyAlignment="1">
      <alignment horizontal="left" vertical="center"/>
    </xf>
    <xf numFmtId="0" fontId="1" fillId="0" borderId="5" xfId="2" applyBorder="1" applyAlignment="1">
      <alignment horizontal="right" vertical="center"/>
    </xf>
  </cellXfs>
  <cellStyles count="6">
    <cellStyle name="Currency" xfId="1" builtinId="4"/>
    <cellStyle name="Currency 2" xfId="4" xr:uid="{0393F697-FC59-46D4-892B-0AD89E82D2D1}"/>
    <cellStyle name="Normal" xfId="0" builtinId="0"/>
    <cellStyle name="Normal 2" xfId="2" xr:uid="{555408A9-4D15-4D86-A28D-BAA39D1C8BDB}"/>
    <cellStyle name="Normal 3" xfId="5" xr:uid="{C3EB8240-E893-4B36-9CF5-531E252A8632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78FD5-4CBE-4AD7-8A74-D44A30973E52}">
  <sheetPr>
    <pageSetUpPr fitToPage="1"/>
  </sheetPr>
  <dimension ref="A1:M52"/>
  <sheetViews>
    <sheetView showGridLines="0" tabSelected="1" zoomScaleNormal="100" workbookViewId="0">
      <selection activeCell="J2" sqref="J2"/>
    </sheetView>
  </sheetViews>
  <sheetFormatPr defaultColWidth="0" defaultRowHeight="14.4" zeroHeight="1" x14ac:dyDescent="0.3"/>
  <cols>
    <col min="1" max="1" width="5.5546875" style="27" customWidth="1"/>
    <col min="2" max="2" width="4.88671875" style="26" customWidth="1"/>
    <col min="3" max="3" width="28.88671875" style="26" customWidth="1"/>
    <col min="4" max="4" width="9.88671875" style="27" customWidth="1"/>
    <col min="5" max="5" width="12.33203125" style="27" bestFit="1" customWidth="1"/>
    <col min="6" max="6" width="11.109375" style="28" bestFit="1" customWidth="1"/>
    <col min="7" max="7" width="5.6640625" style="27" customWidth="1"/>
    <col min="8" max="8" width="11.88671875" style="27" customWidth="1"/>
    <col min="9" max="9" width="36.44140625" style="27" customWidth="1"/>
    <col min="10" max="10" width="12.5546875" style="26" customWidth="1"/>
    <col min="11" max="11" width="5.6640625" style="27" customWidth="1"/>
    <col min="12" max="12" width="17.88671875" style="15" hidden="1" customWidth="1"/>
    <col min="13" max="13" width="11.5546875" style="27" hidden="1" customWidth="1"/>
    <col min="14" max="16384" width="9.109375" style="27" hidden="1"/>
  </cols>
  <sheetData>
    <row r="1" spans="2:13" ht="36" customHeight="1" x14ac:dyDescent="0.75">
      <c r="B1" s="31" t="s">
        <v>47</v>
      </c>
      <c r="C1" s="27"/>
      <c r="E1" s="30"/>
      <c r="J1" s="33" t="s">
        <v>48</v>
      </c>
    </row>
    <row r="2" spans="2:13" ht="10.050000000000001" customHeight="1" x14ac:dyDescent="0.3"/>
    <row r="3" spans="2:13" ht="18" x14ac:dyDescent="0.3">
      <c r="D3" s="29" t="s">
        <v>25</v>
      </c>
      <c r="E3" s="87"/>
      <c r="F3" s="87"/>
      <c r="G3" s="87"/>
      <c r="H3" s="87"/>
      <c r="I3" s="87"/>
    </row>
    <row r="4" spans="2:13" ht="18" x14ac:dyDescent="0.3">
      <c r="D4" s="29" t="s">
        <v>17</v>
      </c>
      <c r="E4" s="88">
        <v>1000000</v>
      </c>
      <c r="F4" s="88"/>
      <c r="G4" s="88"/>
      <c r="H4" s="88"/>
      <c r="I4" s="88"/>
    </row>
    <row r="5" spans="2:13" ht="11.25" customHeight="1" x14ac:dyDescent="0.3">
      <c r="B5" s="19"/>
      <c r="C5" s="19"/>
      <c r="D5" s="18"/>
      <c r="E5" s="20"/>
    </row>
    <row r="6" spans="2:13" x14ac:dyDescent="0.3">
      <c r="B6" s="14" t="s">
        <v>16</v>
      </c>
      <c r="C6" s="14"/>
      <c r="D6" s="14"/>
      <c r="E6" s="14" t="s">
        <v>37</v>
      </c>
      <c r="F6" s="14"/>
      <c r="G6" s="14"/>
      <c r="H6" s="14"/>
      <c r="I6" s="14" t="s">
        <v>15</v>
      </c>
    </row>
    <row r="7" spans="2:13" x14ac:dyDescent="0.3">
      <c r="B7" s="14" t="s">
        <v>10</v>
      </c>
      <c r="C7" s="14"/>
      <c r="D7" s="14" t="s">
        <v>9</v>
      </c>
      <c r="E7" s="14"/>
      <c r="F7" s="14"/>
      <c r="G7" s="14"/>
      <c r="H7" s="14"/>
      <c r="I7" s="14"/>
    </row>
    <row r="8" spans="2:13" ht="30" customHeight="1" x14ac:dyDescent="0.3">
      <c r="B8" s="96" t="s">
        <v>24</v>
      </c>
      <c r="C8" s="96"/>
      <c r="D8" s="17">
        <v>400</v>
      </c>
      <c r="E8" s="12" t="s">
        <v>7</v>
      </c>
      <c r="F8" s="13">
        <v>10000</v>
      </c>
      <c r="G8" s="12" t="s">
        <v>6</v>
      </c>
      <c r="H8" s="11">
        <v>30</v>
      </c>
      <c r="I8" s="22" t="s">
        <v>8</v>
      </c>
      <c r="J8" s="21">
        <v>30000</v>
      </c>
      <c r="L8" s="15">
        <f>IF($E$4&lt;=J8,D8+H8*ROUNDUP(($E$4-F8)/1000,0),0)</f>
        <v>0</v>
      </c>
    </row>
    <row r="9" spans="2:13" ht="30" customHeight="1" x14ac:dyDescent="0.3">
      <c r="B9" s="96" t="s">
        <v>19</v>
      </c>
      <c r="C9" s="96"/>
      <c r="D9" s="17">
        <v>1000</v>
      </c>
      <c r="E9" s="12" t="s">
        <v>7</v>
      </c>
      <c r="F9" s="13">
        <v>30000</v>
      </c>
      <c r="G9" s="12" t="s">
        <v>6</v>
      </c>
      <c r="H9" s="11">
        <v>8.57</v>
      </c>
      <c r="I9" s="22" t="s">
        <v>8</v>
      </c>
      <c r="J9" s="21">
        <v>100000</v>
      </c>
      <c r="L9" s="15">
        <f>(IF(AND($E$4&lt;=J9,$E$4&gt;J8),D9+H9*ROUNDUP((E4-F9)/1000,0),0))</f>
        <v>0</v>
      </c>
      <c r="M9" s="23"/>
    </row>
    <row r="10" spans="2:13" ht="30" customHeight="1" x14ac:dyDescent="0.3">
      <c r="B10" s="96" t="s">
        <v>20</v>
      </c>
      <c r="C10" s="96"/>
      <c r="D10" s="17">
        <v>1600</v>
      </c>
      <c r="E10" s="12" t="s">
        <v>7</v>
      </c>
      <c r="F10" s="13">
        <v>100000</v>
      </c>
      <c r="G10" s="12" t="s">
        <v>6</v>
      </c>
      <c r="H10" s="11">
        <v>7.33</v>
      </c>
      <c r="I10" s="22" t="s">
        <v>8</v>
      </c>
      <c r="J10" s="21">
        <v>250000</v>
      </c>
      <c r="L10" s="15">
        <f>(IF(AND($E$4&lt;=J10,$E$4&gt;J9),D10+H10*ROUNDUP((E4-F10)/1000,0),0))</f>
        <v>0</v>
      </c>
    </row>
    <row r="11" spans="2:13" ht="30" customHeight="1" x14ac:dyDescent="0.3">
      <c r="B11" s="96" t="s">
        <v>21</v>
      </c>
      <c r="C11" s="96"/>
      <c r="D11" s="17">
        <v>2700</v>
      </c>
      <c r="E11" s="12" t="s">
        <v>7</v>
      </c>
      <c r="F11" s="13">
        <v>250000</v>
      </c>
      <c r="G11" s="12" t="s">
        <v>6</v>
      </c>
      <c r="H11" s="11">
        <v>4.8</v>
      </c>
      <c r="I11" s="22" t="s">
        <v>8</v>
      </c>
      <c r="J11" s="21">
        <v>500000</v>
      </c>
      <c r="L11" s="15">
        <f>(IF(AND($E$4&lt;=J11,$E$4&gt;J10),D11+H11*ROUNDUP((E4-F11)/1000,0),0))</f>
        <v>0</v>
      </c>
    </row>
    <row r="12" spans="2:13" ht="30" customHeight="1" x14ac:dyDescent="0.3">
      <c r="B12" s="96" t="s">
        <v>43</v>
      </c>
      <c r="C12" s="96"/>
      <c r="D12" s="17">
        <v>3900</v>
      </c>
      <c r="E12" s="12" t="s">
        <v>7</v>
      </c>
      <c r="F12" s="13">
        <f t="shared" ref="F12" si="0">J11</f>
        <v>500000</v>
      </c>
      <c r="G12" s="12" t="s">
        <v>6</v>
      </c>
      <c r="H12" s="11">
        <v>1.6</v>
      </c>
      <c r="I12" s="22" t="s">
        <v>8</v>
      </c>
      <c r="J12" s="21">
        <v>3000000</v>
      </c>
      <c r="L12" s="15">
        <f>(IF(AND($E$4&lt;=J12,$E$4&gt;J11),D12+H12*ROUNDUP((E4-F12)/1000,0),0))</f>
        <v>4700</v>
      </c>
    </row>
    <row r="13" spans="2:13" ht="30" customHeight="1" x14ac:dyDescent="0.3">
      <c r="B13" s="96" t="s">
        <v>44</v>
      </c>
      <c r="C13" s="96"/>
      <c r="D13" s="17">
        <v>7900</v>
      </c>
      <c r="E13" s="12" t="s">
        <v>7</v>
      </c>
      <c r="F13" s="13">
        <v>3000000</v>
      </c>
      <c r="G13" s="12" t="s">
        <v>6</v>
      </c>
      <c r="H13" s="11">
        <v>1.41</v>
      </c>
      <c r="I13" s="22" t="s">
        <v>8</v>
      </c>
      <c r="J13" s="21">
        <v>40000000</v>
      </c>
      <c r="L13" s="15">
        <f>(IF(AND($E$4&lt;=J13,$E$4&gt;J12),D13+H13*ROUNDUP((E4-F13)/1000,0),0))</f>
        <v>0</v>
      </c>
    </row>
    <row r="14" spans="2:13" ht="30" customHeight="1" x14ac:dyDescent="0.3">
      <c r="B14" s="96" t="s">
        <v>23</v>
      </c>
      <c r="C14" s="96"/>
      <c r="D14" s="17">
        <v>60000</v>
      </c>
      <c r="E14" s="12" t="s">
        <v>7</v>
      </c>
      <c r="F14" s="13">
        <v>40000000</v>
      </c>
      <c r="G14" s="12" t="s">
        <v>6</v>
      </c>
      <c r="H14" s="11">
        <v>1.2</v>
      </c>
      <c r="I14" s="22" t="s">
        <v>5</v>
      </c>
      <c r="J14" s="21"/>
      <c r="L14" s="15">
        <f>(IF($E$4&gt;J13,D14+H14*ROUNDUP((E4-F14)/1000,0),0))</f>
        <v>0</v>
      </c>
    </row>
    <row r="15" spans="2:13" ht="15" customHeight="1" x14ac:dyDescent="0.3">
      <c r="C15" s="7" t="s">
        <v>4</v>
      </c>
      <c r="D15" s="6">
        <f>SUM(L8:L14)</f>
        <v>4700</v>
      </c>
      <c r="E15" s="97"/>
      <c r="F15" s="97"/>
      <c r="G15" s="97"/>
      <c r="H15" s="97"/>
      <c r="I15" s="97"/>
      <c r="J15" s="97"/>
    </row>
    <row r="16" spans="2:13" ht="15" customHeight="1" x14ac:dyDescent="0.3">
      <c r="B16" s="90" t="s">
        <v>26</v>
      </c>
      <c r="C16" s="91"/>
      <c r="D16" s="36"/>
      <c r="F16" s="27"/>
      <c r="H16" s="74" t="s">
        <v>27</v>
      </c>
      <c r="I16" s="75"/>
      <c r="J16" s="44"/>
    </row>
    <row r="17" spans="2:12" ht="15" customHeight="1" x14ac:dyDescent="0.3">
      <c r="B17" s="34">
        <v>0.2</v>
      </c>
      <c r="C17" s="37" t="s">
        <v>3</v>
      </c>
      <c r="D17" s="38">
        <f>D15*B17</f>
        <v>940</v>
      </c>
      <c r="F17" s="27"/>
      <c r="H17" s="45"/>
      <c r="I17" s="53"/>
      <c r="J17" s="46"/>
    </row>
    <row r="18" spans="2:12" ht="15" customHeight="1" x14ac:dyDescent="0.3">
      <c r="B18" s="34">
        <v>0.8</v>
      </c>
      <c r="C18" s="37" t="s">
        <v>14</v>
      </c>
      <c r="D18" s="38">
        <f>D15*B18</f>
        <v>3760</v>
      </c>
      <c r="F18" s="27"/>
      <c r="H18" s="45">
        <v>0.56000000000000005</v>
      </c>
      <c r="I18" s="53" t="s">
        <v>14</v>
      </c>
      <c r="J18" s="46">
        <f>D15*H18</f>
        <v>2632.0000000000005</v>
      </c>
    </row>
    <row r="19" spans="2:12" ht="15" customHeight="1" x14ac:dyDescent="0.3">
      <c r="B19" s="92" t="s">
        <v>13</v>
      </c>
      <c r="C19" s="93"/>
      <c r="D19" s="35">
        <v>1</v>
      </c>
      <c r="F19" s="27"/>
      <c r="H19" s="76"/>
      <c r="I19" s="77"/>
      <c r="J19" s="47" t="s">
        <v>15</v>
      </c>
    </row>
    <row r="20" spans="2:12" ht="15" customHeight="1" thickBot="1" x14ac:dyDescent="0.35">
      <c r="B20" s="94" t="s">
        <v>12</v>
      </c>
      <c r="C20" s="95"/>
      <c r="D20" s="39">
        <f>D18*D19</f>
        <v>3760</v>
      </c>
      <c r="F20" s="16"/>
      <c r="H20" s="78" t="s">
        <v>38</v>
      </c>
      <c r="I20" s="79"/>
      <c r="J20" s="48">
        <f>J18*100%</f>
        <v>2632.0000000000005</v>
      </c>
    </row>
    <row r="21" spans="2:12" ht="15" customHeight="1" x14ac:dyDescent="0.3">
      <c r="B21" s="40"/>
      <c r="C21" s="41" t="s">
        <v>28</v>
      </c>
      <c r="D21" s="42">
        <f>ROUNDUP(D20+D17,0)</f>
        <v>4700</v>
      </c>
      <c r="F21" s="16"/>
      <c r="H21" s="49"/>
      <c r="I21" s="50" t="s">
        <v>29</v>
      </c>
      <c r="J21" s="51">
        <f>ROUNDUP(J20,0)</f>
        <v>2632</v>
      </c>
    </row>
    <row r="22" spans="2:12" ht="14.25" customHeight="1" x14ac:dyDescent="0.3">
      <c r="B22" s="55"/>
      <c r="C22" s="56"/>
      <c r="D22" s="57"/>
      <c r="F22" s="16"/>
      <c r="H22" s="81" t="s">
        <v>35</v>
      </c>
      <c r="I22" s="82"/>
      <c r="J22" s="83"/>
    </row>
    <row r="23" spans="2:12" x14ac:dyDescent="0.3">
      <c r="D23" s="10"/>
      <c r="F23" s="16"/>
      <c r="H23" s="84"/>
      <c r="I23" s="85"/>
      <c r="J23" s="86"/>
    </row>
    <row r="24" spans="2:12" x14ac:dyDescent="0.3">
      <c r="D24" s="10"/>
      <c r="F24" s="60" t="s">
        <v>15</v>
      </c>
      <c r="G24" s="54" t="s">
        <v>15</v>
      </c>
      <c r="H24" s="64"/>
      <c r="I24" s="61"/>
      <c r="J24" s="65">
        <f>+J21*45%</f>
        <v>1184.4000000000001</v>
      </c>
      <c r="K24" s="55"/>
    </row>
    <row r="25" spans="2:12" x14ac:dyDescent="0.3">
      <c r="B25" s="25" t="s">
        <v>11</v>
      </c>
      <c r="C25" s="25"/>
      <c r="D25" s="10"/>
      <c r="H25" s="58" t="s">
        <v>33</v>
      </c>
      <c r="I25" s="59" t="s">
        <v>34</v>
      </c>
      <c r="J25" s="55"/>
    </row>
    <row r="26" spans="2:12" ht="30" customHeight="1" x14ac:dyDescent="0.3">
      <c r="B26" s="14" t="s">
        <v>10</v>
      </c>
      <c r="C26" s="25"/>
      <c r="D26" s="14" t="s">
        <v>9</v>
      </c>
      <c r="L26" s="15">
        <f>IF(E4&lt;=J27,D27+H27*ROUNDUP((E4-F27)/1000,0),0)</f>
        <v>0</v>
      </c>
    </row>
    <row r="27" spans="2:12" ht="30" customHeight="1" x14ac:dyDescent="0.3">
      <c r="B27" s="96" t="s">
        <v>18</v>
      </c>
      <c r="C27" s="96"/>
      <c r="D27" s="17">
        <f>D8*2</f>
        <v>800</v>
      </c>
      <c r="E27" s="12" t="s">
        <v>7</v>
      </c>
      <c r="F27" s="13">
        <v>10000</v>
      </c>
      <c r="G27" s="12" t="s">
        <v>6</v>
      </c>
      <c r="H27" s="11">
        <f>2*H8</f>
        <v>60</v>
      </c>
      <c r="I27" s="22" t="s">
        <v>8</v>
      </c>
      <c r="J27" s="21">
        <v>30000</v>
      </c>
      <c r="L27" s="15">
        <f>(IF(AND($E$4&lt;=J28,$E$4&gt;J27),D28+H28*ROUNDUP((E4-F28)/1000,0),0))</f>
        <v>0</v>
      </c>
    </row>
    <row r="28" spans="2:12" ht="26.25" customHeight="1" x14ac:dyDescent="0.3">
      <c r="B28" s="96" t="s">
        <v>19</v>
      </c>
      <c r="C28" s="96"/>
      <c r="D28" s="17">
        <f>D9*2</f>
        <v>2000</v>
      </c>
      <c r="E28" s="12" t="s">
        <v>7</v>
      </c>
      <c r="F28" s="13">
        <v>30000</v>
      </c>
      <c r="G28" s="12" t="s">
        <v>6</v>
      </c>
      <c r="H28" s="11">
        <f>2*H9</f>
        <v>17.14</v>
      </c>
      <c r="I28" s="22" t="s">
        <v>8</v>
      </c>
      <c r="J28" s="21">
        <v>100000</v>
      </c>
      <c r="L28" s="15">
        <f>(IF(AND($E$4&lt;=J29,$E$4&gt;J28),D29+H29*ROUNDUP((E4-F29)/1000,0),0))</f>
        <v>0</v>
      </c>
    </row>
    <row r="29" spans="2:12" ht="26.25" customHeight="1" x14ac:dyDescent="0.3">
      <c r="B29" s="96" t="s">
        <v>20</v>
      </c>
      <c r="C29" s="96"/>
      <c r="D29" s="17">
        <f>D10*2</f>
        <v>3200</v>
      </c>
      <c r="E29" s="12" t="s">
        <v>7</v>
      </c>
      <c r="F29" s="13">
        <f>J28</f>
        <v>100000</v>
      </c>
      <c r="G29" s="12" t="s">
        <v>6</v>
      </c>
      <c r="H29" s="11">
        <v>14.67</v>
      </c>
      <c r="I29" s="22" t="s">
        <v>8</v>
      </c>
      <c r="J29" s="21">
        <v>250000</v>
      </c>
      <c r="L29" s="15">
        <f>(IF(AND($E$4&lt;=J30,$E$4&gt;J29),D30+H30*ROUNDUP((E4-F30)/1000,0),0))</f>
        <v>0</v>
      </c>
    </row>
    <row r="30" spans="2:12" ht="26.25" customHeight="1" x14ac:dyDescent="0.3">
      <c r="B30" s="96" t="s">
        <v>21</v>
      </c>
      <c r="C30" s="96"/>
      <c r="D30" s="17">
        <f>D11*2</f>
        <v>5400</v>
      </c>
      <c r="E30" s="12" t="s">
        <v>7</v>
      </c>
      <c r="F30" s="13">
        <f t="shared" ref="F30:F31" si="1">J29</f>
        <v>250000</v>
      </c>
      <c r="G30" s="12" t="s">
        <v>6</v>
      </c>
      <c r="H30" s="11">
        <f>2*H11</f>
        <v>9.6</v>
      </c>
      <c r="I30" s="22" t="s">
        <v>8</v>
      </c>
      <c r="J30" s="21">
        <v>500000</v>
      </c>
      <c r="L30" s="15">
        <f>(IF(AND($E$4&lt;=J31,$E$4&gt;J30),D31+H31*ROUNDUP((E4-F31)/1000,0),0))</f>
        <v>9400</v>
      </c>
    </row>
    <row r="31" spans="2:12" ht="26.25" customHeight="1" x14ac:dyDescent="0.3">
      <c r="B31" s="96" t="s">
        <v>43</v>
      </c>
      <c r="C31" s="96"/>
      <c r="D31" s="17">
        <f>D12*2</f>
        <v>7800</v>
      </c>
      <c r="E31" s="12" t="s">
        <v>7</v>
      </c>
      <c r="F31" s="13">
        <f t="shared" si="1"/>
        <v>500000</v>
      </c>
      <c r="G31" s="12" t="s">
        <v>6</v>
      </c>
      <c r="H31" s="11">
        <f>2*H12</f>
        <v>3.2</v>
      </c>
      <c r="I31" s="22" t="s">
        <v>8</v>
      </c>
      <c r="J31" s="21">
        <v>3000000</v>
      </c>
      <c r="L31" s="15">
        <f>(IF(AND($E$4&lt;=J32,$E$4&gt;J31),D32+H32*ROUNDUP((E4-F32)/1000,0),0))</f>
        <v>0</v>
      </c>
    </row>
    <row r="32" spans="2:12" ht="25.5" customHeight="1" x14ac:dyDescent="0.3">
      <c r="B32" s="96" t="s">
        <v>44</v>
      </c>
      <c r="C32" s="96"/>
      <c r="D32" s="17">
        <f t="shared" ref="D32:D33" si="2">D13*2</f>
        <v>15800</v>
      </c>
      <c r="E32" s="12" t="s">
        <v>7</v>
      </c>
      <c r="F32" s="13">
        <f>J31</f>
        <v>3000000</v>
      </c>
      <c r="G32" s="12" t="s">
        <v>6</v>
      </c>
      <c r="H32" s="11">
        <f t="shared" ref="H32:H33" si="3">2*H13</f>
        <v>2.82</v>
      </c>
      <c r="I32" s="22" t="s">
        <v>5</v>
      </c>
      <c r="J32" s="21">
        <v>40000000</v>
      </c>
      <c r="L32" s="15">
        <f>(IF($E$4&gt;J32,D33+H33*ROUNDUP((E4-F33)/1000,0),0))</f>
        <v>0</v>
      </c>
    </row>
    <row r="33" spans="1:13" ht="24.75" customHeight="1" x14ac:dyDescent="0.3">
      <c r="B33" s="96" t="s">
        <v>45</v>
      </c>
      <c r="C33" s="96"/>
      <c r="D33" s="17">
        <f t="shared" si="2"/>
        <v>120000</v>
      </c>
      <c r="E33" s="12" t="s">
        <v>7</v>
      </c>
      <c r="F33" s="13">
        <f>J32</f>
        <v>40000000</v>
      </c>
      <c r="G33" s="12" t="s">
        <v>6</v>
      </c>
      <c r="H33" s="11">
        <f t="shared" si="3"/>
        <v>2.4</v>
      </c>
      <c r="I33" s="22" t="s">
        <v>5</v>
      </c>
      <c r="J33" s="21"/>
    </row>
    <row r="34" spans="1:13" ht="15" x14ac:dyDescent="0.3">
      <c r="C34" s="7" t="s">
        <v>4</v>
      </c>
      <c r="D34" s="6">
        <f>SUM(L26:L32)</f>
        <v>9400</v>
      </c>
      <c r="E34" s="97"/>
      <c r="F34" s="97"/>
      <c r="G34" s="97"/>
      <c r="H34" s="97"/>
      <c r="I34" s="97"/>
      <c r="J34" s="97"/>
    </row>
    <row r="35" spans="1:13" ht="15" customHeight="1" x14ac:dyDescent="0.3">
      <c r="C35" s="7"/>
      <c r="D35" s="6"/>
      <c r="E35" s="28"/>
      <c r="G35" s="28"/>
      <c r="H35" s="63"/>
      <c r="I35" s="63"/>
      <c r="J35" s="63"/>
    </row>
    <row r="36" spans="1:13" ht="15" customHeight="1" x14ac:dyDescent="0.3">
      <c r="B36" s="90" t="s">
        <v>26</v>
      </c>
      <c r="C36" s="91"/>
      <c r="D36" s="43"/>
      <c r="F36" s="5"/>
      <c r="H36" s="74" t="s">
        <v>27</v>
      </c>
      <c r="I36" s="75"/>
      <c r="J36" s="52"/>
    </row>
    <row r="37" spans="1:13" ht="15" customHeight="1" x14ac:dyDescent="0.3">
      <c r="B37" s="34">
        <v>0.2</v>
      </c>
      <c r="C37" s="37" t="s">
        <v>3</v>
      </c>
      <c r="D37" s="38">
        <f>D34*B37</f>
        <v>1880</v>
      </c>
      <c r="F37" s="5"/>
      <c r="H37" s="45"/>
      <c r="I37" s="53"/>
      <c r="J37" s="46"/>
    </row>
    <row r="38" spans="1:13" ht="15" customHeight="1" x14ac:dyDescent="0.3">
      <c r="B38" s="34">
        <v>0.8</v>
      </c>
      <c r="C38" s="37" t="s">
        <v>2</v>
      </c>
      <c r="D38" s="38">
        <f>D34*B38</f>
        <v>7520</v>
      </c>
      <c r="F38" s="5"/>
      <c r="H38" s="45">
        <v>0.56000000000000005</v>
      </c>
      <c r="I38" s="53" t="s">
        <v>2</v>
      </c>
      <c r="J38" s="46">
        <f>D34*H38</f>
        <v>5264.0000000000009</v>
      </c>
    </row>
    <row r="39" spans="1:13" ht="15" customHeight="1" x14ac:dyDescent="0.3">
      <c r="B39" s="92" t="s">
        <v>1</v>
      </c>
      <c r="C39" s="93"/>
      <c r="D39" s="35">
        <v>1</v>
      </c>
      <c r="F39" s="26"/>
      <c r="G39" s="2"/>
      <c r="H39" s="76" t="s">
        <v>15</v>
      </c>
      <c r="I39" s="77"/>
      <c r="J39" s="47" t="s">
        <v>15</v>
      </c>
    </row>
    <row r="40" spans="1:13" ht="15" customHeight="1" thickBot="1" x14ac:dyDescent="0.35">
      <c r="B40" s="94" t="s">
        <v>0</v>
      </c>
      <c r="C40" s="95"/>
      <c r="D40" s="39">
        <f>D38*D39</f>
        <v>7520</v>
      </c>
      <c r="E40" s="9"/>
      <c r="F40" s="8"/>
      <c r="H40" s="78" t="s">
        <v>39</v>
      </c>
      <c r="I40" s="79"/>
      <c r="J40" s="48">
        <f>J38*100%</f>
        <v>5264.0000000000009</v>
      </c>
    </row>
    <row r="41" spans="1:13" ht="15" customHeight="1" x14ac:dyDescent="0.3">
      <c r="B41" s="40"/>
      <c r="C41" s="41" t="s">
        <v>30</v>
      </c>
      <c r="D41" s="42">
        <f>ROUNDUP(D40+D37, 0)</f>
        <v>9400</v>
      </c>
      <c r="F41" s="5"/>
      <c r="G41" s="4"/>
      <c r="H41" s="49"/>
      <c r="I41" s="50" t="s">
        <v>31</v>
      </c>
      <c r="J41" s="51">
        <f>ROUNDUP(J40+J37, 0)</f>
        <v>5264</v>
      </c>
      <c r="L41" s="24"/>
      <c r="M41" s="1"/>
    </row>
    <row r="42" spans="1:13" x14ac:dyDescent="0.3">
      <c r="B42" s="55"/>
      <c r="C42" s="56"/>
      <c r="D42" s="57"/>
      <c r="F42" s="5"/>
      <c r="G42" s="4"/>
      <c r="H42" s="81" t="s">
        <v>35</v>
      </c>
      <c r="I42" s="82"/>
      <c r="J42" s="83"/>
    </row>
    <row r="43" spans="1:13" ht="12.75" customHeight="1" x14ac:dyDescent="0.3">
      <c r="B43" s="55"/>
      <c r="C43" s="56"/>
      <c r="D43" s="57"/>
      <c r="F43" s="5"/>
      <c r="G43" s="4"/>
      <c r="H43" s="84"/>
      <c r="I43" s="85"/>
      <c r="J43" s="86"/>
    </row>
    <row r="44" spans="1:13" x14ac:dyDescent="0.3">
      <c r="B44" s="55"/>
      <c r="C44" s="56"/>
      <c r="D44" s="57"/>
      <c r="F44" s="5"/>
      <c r="G44" s="4"/>
      <c r="H44" s="62"/>
      <c r="I44" s="66"/>
      <c r="J44" s="65">
        <f>+J41*45%</f>
        <v>2368.8000000000002</v>
      </c>
    </row>
    <row r="45" spans="1:13" ht="15.6" x14ac:dyDescent="0.3">
      <c r="C45" s="27"/>
      <c r="F45" s="27"/>
      <c r="I45" s="69" t="s">
        <v>15</v>
      </c>
      <c r="J45" s="70" t="s">
        <v>15</v>
      </c>
      <c r="K45" s="1"/>
    </row>
    <row r="46" spans="1:13" ht="15.6" x14ac:dyDescent="0.3">
      <c r="B46" s="80" t="s">
        <v>32</v>
      </c>
      <c r="C46" s="80"/>
      <c r="D46" s="3">
        <f>D21+D41</f>
        <v>14100</v>
      </c>
      <c r="H46" s="80" t="s">
        <v>40</v>
      </c>
      <c r="I46" s="80"/>
      <c r="J46" s="3">
        <f>J21+J41</f>
        <v>7896</v>
      </c>
      <c r="K46" s="1"/>
    </row>
    <row r="47" spans="1:13" ht="15.6" x14ac:dyDescent="0.3">
      <c r="B47" s="68"/>
      <c r="C47" s="68"/>
      <c r="D47" s="3"/>
      <c r="H47" s="68"/>
      <c r="I47" s="68" t="s">
        <v>41</v>
      </c>
      <c r="J47" s="72">
        <f>J46/E4</f>
        <v>7.8960000000000002E-3</v>
      </c>
      <c r="K47" s="1"/>
    </row>
    <row r="48" spans="1:13" ht="15.6" x14ac:dyDescent="0.3">
      <c r="A48" s="27" t="s">
        <v>46</v>
      </c>
      <c r="B48" s="89" t="s">
        <v>22</v>
      </c>
      <c r="C48" s="89"/>
      <c r="D48" s="32">
        <f>D46/E4</f>
        <v>1.41E-2</v>
      </c>
      <c r="G48" s="54"/>
      <c r="H48" s="80" t="s">
        <v>36</v>
      </c>
      <c r="I48" s="80"/>
      <c r="J48" s="67">
        <f>+J46*45%</f>
        <v>3553.2000000000003</v>
      </c>
    </row>
    <row r="49" spans="2:10" ht="15.6" x14ac:dyDescent="0.3">
      <c r="I49" s="71" t="s">
        <v>42</v>
      </c>
      <c r="J49" s="73">
        <f>J48/E4</f>
        <v>3.5532000000000003E-3</v>
      </c>
    </row>
    <row r="50" spans="2:10" hidden="1" x14ac:dyDescent="0.3">
      <c r="I50" s="28"/>
      <c r="J50" s="16"/>
    </row>
    <row r="52" spans="2:10" hidden="1" x14ac:dyDescent="0.3">
      <c r="B52" s="26" t="s">
        <v>15</v>
      </c>
    </row>
  </sheetData>
  <mergeCells count="36">
    <mergeCell ref="B33:C33"/>
    <mergeCell ref="B32:C32"/>
    <mergeCell ref="B8:C8"/>
    <mergeCell ref="B9:C9"/>
    <mergeCell ref="E15:J15"/>
    <mergeCell ref="B10:C10"/>
    <mergeCell ref="B11:C11"/>
    <mergeCell ref="B12:C12"/>
    <mergeCell ref="B14:C14"/>
    <mergeCell ref="B13:C13"/>
    <mergeCell ref="H16:I16"/>
    <mergeCell ref="H19:I19"/>
    <mergeCell ref="H20:I20"/>
    <mergeCell ref="H22:J23"/>
    <mergeCell ref="E3:I3"/>
    <mergeCell ref="E4:I4"/>
    <mergeCell ref="B48:C48"/>
    <mergeCell ref="B16:C16"/>
    <mergeCell ref="B19:C19"/>
    <mergeCell ref="B20:C20"/>
    <mergeCell ref="B27:C27"/>
    <mergeCell ref="B46:C46"/>
    <mergeCell ref="B28:C28"/>
    <mergeCell ref="B29:C29"/>
    <mergeCell ref="B36:C36"/>
    <mergeCell ref="B39:C39"/>
    <mergeCell ref="B40:C40"/>
    <mergeCell ref="E34:J34"/>
    <mergeCell ref="B30:C30"/>
    <mergeCell ref="B31:C31"/>
    <mergeCell ref="H36:I36"/>
    <mergeCell ref="H39:I39"/>
    <mergeCell ref="H40:I40"/>
    <mergeCell ref="H46:I46"/>
    <mergeCell ref="H48:I48"/>
    <mergeCell ref="H42:J43"/>
  </mergeCells>
  <dataValidations count="1">
    <dataValidation type="custom" showErrorMessage="1" errorTitle="Error" error="Construction Values above $10,000 are able to be input for this fee calculator." prompt="Please input Construction Value" sqref="E4:I4" xr:uid="{A11D33F4-4194-4F13-B8A4-0DDC7FC61DDE}">
      <formula1>E4&gt;=10000</formula1>
    </dataValidation>
  </dataValidations>
  <pageMargins left="0.25" right="0.25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GBA Fee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Kmetz</dc:creator>
  <cp:lastModifiedBy>Moore, Vickie</cp:lastModifiedBy>
  <cp:lastPrinted>2022-12-16T14:09:28Z</cp:lastPrinted>
  <dcterms:created xsi:type="dcterms:W3CDTF">2020-11-06T21:26:16Z</dcterms:created>
  <dcterms:modified xsi:type="dcterms:W3CDTF">2025-06-30T19:03:53Z</dcterms:modified>
</cp:coreProperties>
</file>